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16520456_mahasiswa_itb_ac_id/Documents/Pictures/"/>
    </mc:Choice>
  </mc:AlternateContent>
  <xr:revisionPtr revIDLastSave="2" documentId="11_435F78D766D59B6430E1251EFBFFC0811150E5CA" xr6:coauthVersionLast="47" xr6:coauthVersionMax="47" xr10:uidLastSave="{11758AA0-23C5-470C-ABE7-F766573AC406}"/>
  <bookViews>
    <workbookView xWindow="840" yWindow="-108" windowWidth="22308" windowHeight="13176" firstSheet="2" activeTab="7" xr2:uid="{00000000-000D-0000-FFFF-FFFF00000000}"/>
  </bookViews>
  <sheets>
    <sheet name="Data Indonesia dan Jakarta" sheetId="1" r:id="rId1"/>
    <sheet name="Data Jakarta" sheetId="2" r:id="rId2"/>
    <sheet name="Data Suspek dll (Jakarta)" sheetId="3" r:id="rId3"/>
    <sheet name="RDT Ab" sheetId="4" r:id="rId4"/>
    <sheet name="RDT Ag" sheetId="5" r:id="rId5"/>
    <sheet name="Hasil Lab" sheetId="6" r:id="rId6"/>
    <sheet name="Pemakaman" sheetId="7" r:id="rId7"/>
    <sheet name="Vaksinasi" sheetId="8" r:id="rId8"/>
    <sheet name="Vaksinasi Wilayah" sheetId="9" r:id="rId9"/>
    <sheet name="Daily Vaksinasi Wilayah" sheetId="10" r:id="rId10"/>
  </sheets>
  <definedNames>
    <definedName name="Z_010F1B4A_F5B1_46D2_ADAD_87D51C99A105_.wvu.FilterData" localSheetId="8" hidden="1">'Vaksinasi Wilayah'!$AU$3:$AU$46</definedName>
    <definedName name="Z_092CCC7A_9A3A_4B8A_92EB_940232F1C371_.wvu.FilterData" localSheetId="8" hidden="1">'Vaksinasi Wilayah'!$A$2:$AO$46</definedName>
    <definedName name="Z_0A154651_ACBC_4494_9EDB_1CCF0B57BE92_.wvu.FilterData" localSheetId="8" hidden="1">'Vaksinasi Wilayah'!$A$1:$AX$46</definedName>
    <definedName name="Z_0C3A45C9_4A4E_4F62_B7D2_64D7A2972B2B_.wvu.FilterData" localSheetId="8" hidden="1">'Vaksinasi Wilayah'!$J$12</definedName>
    <definedName name="Z_1AF4DE40_F1AC_455C_9FFF_CE1EBDB77C75_.wvu.FilterData" localSheetId="8" hidden="1">'Vaksinasi Wilayah'!$AU$3:$AU$46</definedName>
    <definedName name="Z_1B9B6831_9ACE_49A0_9994_3B22F177B35D_.wvu.FilterData" localSheetId="8" hidden="1">'Vaksinasi Wilayah'!$AU$3:$AU$46</definedName>
    <definedName name="Z_229848C3_3812_43AE_97EE_6E933DAA96BF_.wvu.FilterData" localSheetId="8" hidden="1">'Vaksinasi Wilayah'!$J$12</definedName>
    <definedName name="Z_22A5BE38_6B85_4EBD_94F0_5DD749587C58_.wvu.FilterData" localSheetId="8" hidden="1">'Vaksinasi Wilayah'!$A$1:$BD$46</definedName>
    <definedName name="Z_2C686E0C_F300_4E1B_AA56_E1706F7846CF_.wvu.FilterData" localSheetId="8" hidden="1">'Vaksinasi Wilayah'!$A$1:$AX$46</definedName>
    <definedName name="Z_2E0140E0_17EC_4B2E_8C0D_A56DE76A325A_.wvu.FilterData" localSheetId="8" hidden="1">'Vaksinasi Wilayah'!$K$19</definedName>
    <definedName name="Z_35A9A789_6E4E_4ECB_B765_96D1A67B0FE9_.wvu.FilterData" localSheetId="8" hidden="1">'Vaksinasi Wilayah'!$A$1:$BD$46</definedName>
    <definedName name="Z_53B5C5B1_9BB2_463C_B3BC_7B332E438F26_.wvu.FilterData" localSheetId="8" hidden="1">'Vaksinasi Wilayah'!$J$5</definedName>
    <definedName name="Z_582B0DBD_A893_40FA_946A_DE968A496006_.wvu.FilterData" localSheetId="8" hidden="1">'Vaksinasi Wilayah'!$J$12</definedName>
    <definedName name="Z_5F820035_FC24_4D79_91BD_2F1F1B85084E_.wvu.FilterData" localSheetId="8" hidden="1">'Vaksinasi Wilayah'!$A$1:$AX$46</definedName>
    <definedName name="Z_64A066E1_5C68_4046_8699_0D6C4C280E26_.wvu.FilterData" localSheetId="8" hidden="1">'Vaksinasi Wilayah'!$J$12</definedName>
    <definedName name="Z_6E10C8CE_B9CA_4936_96EB_748368ED514B_.wvu.FilterData" localSheetId="8" hidden="1">'Vaksinasi Wilayah'!$A$1:$AF$46</definedName>
    <definedName name="Z_767E4E03_DE98_4BAB_911A_30962AE037D3_.wvu.FilterData" localSheetId="8" hidden="1">'Vaksinasi Wilayah'!$J$12</definedName>
    <definedName name="Z_8C116E10_1BA2_4647_8A03_099E46155093_.wvu.FilterData" localSheetId="8" hidden="1">'Vaksinasi Wilayah'!$A$1:$AI$46</definedName>
    <definedName name="Z_8F48E9CB_932B_41AC_9D5D_F807E47F9757_.wvu.FilterData" localSheetId="8" hidden="1">'Vaksinasi Wilayah'!$C$1:$W$46</definedName>
    <definedName name="Z_97AC337F_96D3_4FE8_80B4_B9F7062AC341_.wvu.FilterData" localSheetId="8" hidden="1">'Vaksinasi Wilayah'!$A$1:$AI$46</definedName>
    <definedName name="Z_9E7F5CB8_EA93_46D7_B82E_9C3EFD821306_.wvu.FilterData" localSheetId="8" hidden="1">'Vaksinasi Wilayah'!$A$2:$T$46</definedName>
    <definedName name="Z_A79BC078_B710_491A_9D3E_A190D9463B3D_.wvu.FilterData" localSheetId="8" hidden="1">'Vaksinasi Wilayah'!$A$1:$Z$46</definedName>
    <definedName name="Z_A9E0C74C_C985_448A_B9E3_C40B3B67DC4F_.wvu.FilterData" localSheetId="8" hidden="1">'Vaksinasi Wilayah'!$K$19</definedName>
    <definedName name="Z_B1C84DC7_7053_423F_9F5C_F97576DD07CA_.wvu.FilterData" localSheetId="8" hidden="1">'Vaksinasi Wilayah'!$C$1:$C$909</definedName>
    <definedName name="Z_B62EB34E_055E_4036_8BE5_012978099038_.wvu.FilterData" localSheetId="8" hidden="1">'Vaksinasi Wilayah'!$BB$3:$BB$46</definedName>
    <definedName name="Z_B8198DA0_5766_4DB4_8467_819A74E8F5B0_.wvu.FilterData" localSheetId="8" hidden="1">'Vaksinasi Wilayah'!$A$1:$AO$46</definedName>
    <definedName name="Z_BB1949B8_76DE_4B08_AA30_5E5895E34325_.wvu.FilterData" localSheetId="8" hidden="1">'Vaksinasi Wilayah'!$J$10</definedName>
    <definedName name="Z_D191EA04_5677_4543_A796_0AAFF753FCA1_.wvu.FilterData" localSheetId="8" hidden="1">'Vaksinasi Wilayah'!$A$1:$Z$46</definedName>
    <definedName name="Z_D22205CC_A629_4286_8BFA_2C262A16893C_.wvu.FilterData" localSheetId="8" hidden="1">'Vaksinasi Wilayah'!$A$2:$AJ$46</definedName>
    <definedName name="Z_DEA4817C_A181_47E6_A5B4_69710B87AA8F_.wvu.FilterData" localSheetId="8" hidden="1">'Vaksinasi Wilayah'!$BB$3:$BB$46</definedName>
    <definedName name="Z_DEEE4A57_72A5_4272_AD0F_AB4B3871188E_.wvu.FilterData" localSheetId="8" hidden="1">'Vaksinasi Wilayah'!$A$1:$AX$46</definedName>
    <definedName name="Z_E46C53A5_700E_4025_9F24_51B384B0EF2C_.wvu.FilterData" localSheetId="8" hidden="1">'Vaksinasi Wilayah'!$AV$12</definedName>
    <definedName name="Z_FA0F8441_3768_4409_A603_E2B6DD655FED_.wvu.FilterData" localSheetId="8" hidden="1">'Vaksinasi Wilayah'!$A$1:$AO$46</definedName>
  </definedNames>
  <calcPr calcId="191029"/>
  <customWorkbookViews>
    <customWorkbookView name="Filter 11" guid="{FA0F8441-3768-4409-A603-E2B6DD655FED}" maximized="1" windowWidth="0" windowHeight="0" activeSheetId="0"/>
    <customWorkbookView name="Filter 33" guid="{22A5BE38-6B85-4EBD-94F0-5DD749587C58}" maximized="1" windowWidth="0" windowHeight="0" activeSheetId="0"/>
    <customWorkbookView name="Filter 12" guid="{767E4E03-DE98-4BAB-911A-30962AE037D3}" maximized="1" windowWidth="0" windowHeight="0" activeSheetId="0"/>
    <customWorkbookView name="Filter 13" guid="{64A066E1-5C68-4046-8699-0D6C4C280E26}" maximized="1" windowWidth="0" windowHeight="0" activeSheetId="0"/>
    <customWorkbookView name="Filter 14" guid="{582B0DBD-A893-40FA-946A-DE968A496006}" maximized="1" windowWidth="0" windowHeight="0" activeSheetId="0"/>
    <customWorkbookView name="Filter 15" guid="{229848C3-3812-43AE-97EE-6E933DAA96BF}" maximized="1" windowWidth="0" windowHeight="0" activeSheetId="0"/>
    <customWorkbookView name="Filter 16" guid="{0C3A45C9-4A4E-4F62-B7D2-64D7A2972B2B}" maximized="1" windowWidth="0" windowHeight="0" activeSheetId="0"/>
    <customWorkbookView name="Filter 17" guid="{BB1949B8-76DE-4B08-AA30-5E5895E34325}" maximized="1" windowWidth="0" windowHeight="0" activeSheetId="0"/>
    <customWorkbookView name="Filter 18" guid="{53B5C5B1-9BB2-463C-B3BC-7B332E438F26}" maximized="1" windowWidth="0" windowHeight="0" activeSheetId="0"/>
    <customWorkbookView name="Filter 30" guid="{35A9A789-6E4E-4ECB-B765-96D1A67B0FE9}" maximized="1" windowWidth="0" windowHeight="0" activeSheetId="0"/>
    <customWorkbookView name="Filter 31" guid="{DEA4817C-A181-47E6-A5B4-69710B87AA8F}" maximized="1" windowWidth="0" windowHeight="0" activeSheetId="0"/>
    <customWorkbookView name="Filter 32" guid="{B62EB34E-055E-4036-8BE5-012978099038}" maximized="1" windowWidth="0" windowHeight="0" activeSheetId="0"/>
    <customWorkbookView name="Filter 10" guid="{B8198DA0-5766-4DB4-8467-819A74E8F5B0}" maximized="1" windowWidth="0" windowHeight="0" activeSheetId="0"/>
    <customWorkbookView name="Filter 19" guid="{A9E0C74C-C985-448A-B9E3-C40B3B67DC4F}" maximized="1" windowWidth="0" windowHeight="0" activeSheetId="0"/>
    <customWorkbookView name="Filter 22" guid="{5F820035-FC24-4D79-91BD-2F1F1B85084E}" maximized="1" windowWidth="0" windowHeight="0" activeSheetId="0"/>
    <customWorkbookView name="Filter 23" guid="{E46C53A5-700E-4025-9F24-51B384B0EF2C}" maximized="1" windowWidth="0" windowHeight="0" activeSheetId="0"/>
    <customWorkbookView name="Filter 24" guid="{0A154651-ACBC-4494-9EDB-1CCF0B57BE92}" maximized="1" windowWidth="0" windowHeight="0" activeSheetId="0"/>
    <customWorkbookView name="Filter 25" guid="{1AF4DE40-F1AC-455C-9FFF-CE1EBDB77C75}" maximized="1" windowWidth="0" windowHeight="0" activeSheetId="0"/>
    <customWorkbookView name="Filter 26" guid="{1B9B6831-9ACE-49A0-9994-3B22F177B35D}" maximized="1" windowWidth="0" windowHeight="0" activeSheetId="0"/>
    <customWorkbookView name="Filter 27" guid="{010F1B4A-F5B1-46D2-ADAD-87D51C99A105}" maximized="1" windowWidth="0" windowHeight="0" activeSheetId="0"/>
    <customWorkbookView name="Filter 28" guid="{DEEE4A57-72A5-4272-AD0F-AB4B3871188E}" maximized="1" windowWidth="0" windowHeight="0" activeSheetId="0"/>
    <customWorkbookView name="Filter 29" guid="{2C686E0C-F300-4E1B-AA56-E1706F7846CF}" maximized="1" windowWidth="0" windowHeight="0" activeSheetId="0"/>
    <customWorkbookView name="Filter 8" guid="{8C116E10-1BA2-4647-8A03-099E46155093}" maximized="1" windowWidth="0" windowHeight="0" activeSheetId="0"/>
    <customWorkbookView name="Filter 20" guid="{2E0140E0-17EC-4B2E-8C0D-A56DE76A325A}" maximized="1" windowWidth="0" windowHeight="0" activeSheetId="0"/>
    <customWorkbookView name="Filter 9" guid="{97AC337F-96D3-4FE8-80B4-B9F7062AC341}" maximized="1" windowWidth="0" windowHeight="0" activeSheetId="0"/>
    <customWorkbookView name="Filter 21" guid="{092CCC7A-9A3A-4B8A-92EB-940232F1C371}" maximized="1" windowWidth="0" windowHeight="0" activeSheetId="0"/>
    <customWorkbookView name="Filter 6" guid="{D191EA04-5677-4543-A796-0AAFF753FCA1}" maximized="1" windowWidth="0" windowHeight="0" activeSheetId="0"/>
    <customWorkbookView name="Filter 7" guid="{6E10C8CE-B9CA-4936-96EB-748368ED514B}" maximized="1" windowWidth="0" windowHeight="0" activeSheetId="0"/>
    <customWorkbookView name="Filter 4" guid="{8F48E9CB-932B-41AC-9D5D-F807E47F9757}" maximized="1" windowWidth="0" windowHeight="0" activeSheetId="0"/>
    <customWorkbookView name="Filter 5" guid="{A79BC078-B710-491A-9D3E-A190D9463B3D}" maximized="1" windowWidth="0" windowHeight="0" activeSheetId="0"/>
    <customWorkbookView name="Filter 2" guid="{D22205CC-A629-4286-8BFA-2C262A16893C}" maximized="1" windowWidth="0" windowHeight="0" activeSheetId="0"/>
    <customWorkbookView name="Filter 3" guid="{B1C84DC7-7053-423F-9F5C-F97576DD07CA}" maximized="1" windowWidth="0" windowHeight="0" activeSheetId="0"/>
    <customWorkbookView name="Filter 1" guid="{9E7F5CB8-EA93-46D7-B82E-9C3EFD82130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0" l="1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B2" i="10"/>
  <c r="BC46" i="9"/>
  <c r="AZ46" i="9"/>
  <c r="AW46" i="9"/>
  <c r="AT46" i="9"/>
  <c r="AQ46" i="9"/>
  <c r="AN46" i="9"/>
  <c r="AK46" i="9"/>
  <c r="AH46" i="9"/>
  <c r="AE46" i="9"/>
  <c r="AB46" i="9"/>
  <c r="Y46" i="9"/>
  <c r="V46" i="9"/>
  <c r="S46" i="9"/>
  <c r="P46" i="9"/>
  <c r="M46" i="9"/>
  <c r="J46" i="9"/>
  <c r="BC45" i="9"/>
  <c r="AZ45" i="9"/>
  <c r="AW45" i="9"/>
  <c r="AT45" i="9"/>
  <c r="AQ45" i="9"/>
  <c r="AN45" i="9"/>
  <c r="AK45" i="9"/>
  <c r="AH45" i="9"/>
  <c r="AE45" i="9"/>
  <c r="AB45" i="9"/>
  <c r="Y45" i="9"/>
  <c r="V45" i="9"/>
  <c r="S45" i="9"/>
  <c r="P45" i="9"/>
  <c r="M45" i="9"/>
  <c r="J45" i="9"/>
  <c r="BC44" i="9"/>
  <c r="AZ44" i="9"/>
  <c r="AW44" i="9"/>
  <c r="AT44" i="9"/>
  <c r="AQ44" i="9"/>
  <c r="AN44" i="9"/>
  <c r="AK44" i="9"/>
  <c r="AH44" i="9"/>
  <c r="AE44" i="9"/>
  <c r="AB44" i="9"/>
  <c r="Y44" i="9"/>
  <c r="V44" i="9"/>
  <c r="S44" i="9"/>
  <c r="P44" i="9"/>
  <c r="M44" i="9"/>
  <c r="J44" i="9"/>
  <c r="BC43" i="9"/>
  <c r="AZ43" i="9"/>
  <c r="AW43" i="9"/>
  <c r="AT43" i="9"/>
  <c r="AQ43" i="9"/>
  <c r="AN43" i="9"/>
  <c r="AK43" i="9"/>
  <c r="AH43" i="9"/>
  <c r="AE43" i="9"/>
  <c r="AB43" i="9"/>
  <c r="Y43" i="9"/>
  <c r="V43" i="9"/>
  <c r="S43" i="9"/>
  <c r="P43" i="9"/>
  <c r="M43" i="9"/>
  <c r="J43" i="9"/>
  <c r="BC42" i="9"/>
  <c r="AZ42" i="9"/>
  <c r="AW42" i="9"/>
  <c r="AT42" i="9"/>
  <c r="AQ42" i="9"/>
  <c r="AN42" i="9"/>
  <c r="AK42" i="9"/>
  <c r="AH42" i="9"/>
  <c r="AE42" i="9"/>
  <c r="AB42" i="9"/>
  <c r="Y42" i="9"/>
  <c r="V42" i="9"/>
  <c r="S42" i="9"/>
  <c r="P42" i="9"/>
  <c r="M42" i="9"/>
  <c r="J42" i="9"/>
  <c r="BC41" i="9"/>
  <c r="AZ41" i="9"/>
  <c r="AW41" i="9"/>
  <c r="AT41" i="9"/>
  <c r="AQ41" i="9"/>
  <c r="AN41" i="9"/>
  <c r="AK41" i="9"/>
  <c r="AH41" i="9"/>
  <c r="AE41" i="9"/>
  <c r="AB41" i="9"/>
  <c r="Y41" i="9"/>
  <c r="V41" i="9"/>
  <c r="S41" i="9"/>
  <c r="P41" i="9"/>
  <c r="M41" i="9"/>
  <c r="J41" i="9"/>
  <c r="BC40" i="9"/>
  <c r="AZ40" i="9"/>
  <c r="AW40" i="9"/>
  <c r="AT40" i="9"/>
  <c r="AQ40" i="9"/>
  <c r="AN40" i="9"/>
  <c r="AK40" i="9"/>
  <c r="AH40" i="9"/>
  <c r="AE40" i="9"/>
  <c r="AB40" i="9"/>
  <c r="Y40" i="9"/>
  <c r="V40" i="9"/>
  <c r="S40" i="9"/>
  <c r="P40" i="9"/>
  <c r="M40" i="9"/>
  <c r="J40" i="9"/>
  <c r="BC39" i="9"/>
  <c r="AZ39" i="9"/>
  <c r="AW39" i="9"/>
  <c r="AT39" i="9"/>
  <c r="AQ39" i="9"/>
  <c r="AN39" i="9"/>
  <c r="AK39" i="9"/>
  <c r="AH39" i="9"/>
  <c r="AE39" i="9"/>
  <c r="AB39" i="9"/>
  <c r="Y39" i="9"/>
  <c r="V39" i="9"/>
  <c r="S39" i="9"/>
  <c r="P39" i="9"/>
  <c r="M39" i="9"/>
  <c r="J39" i="9"/>
  <c r="BC38" i="9"/>
  <c r="AZ38" i="9"/>
  <c r="AW38" i="9"/>
  <c r="AT38" i="9"/>
  <c r="AQ38" i="9"/>
  <c r="AN38" i="9"/>
  <c r="AK38" i="9"/>
  <c r="AH38" i="9"/>
  <c r="AE38" i="9"/>
  <c r="AB38" i="9"/>
  <c r="Y38" i="9"/>
  <c r="V38" i="9"/>
  <c r="S38" i="9"/>
  <c r="P38" i="9"/>
  <c r="M38" i="9"/>
  <c r="J38" i="9"/>
  <c r="BC37" i="9"/>
  <c r="AZ37" i="9"/>
  <c r="AW37" i="9"/>
  <c r="AT37" i="9"/>
  <c r="AQ37" i="9"/>
  <c r="AN37" i="9"/>
  <c r="AK37" i="9"/>
  <c r="AH37" i="9"/>
  <c r="AE37" i="9"/>
  <c r="AB37" i="9"/>
  <c r="Y37" i="9"/>
  <c r="V37" i="9"/>
  <c r="S37" i="9"/>
  <c r="P37" i="9"/>
  <c r="M37" i="9"/>
  <c r="J37" i="9"/>
  <c r="BC36" i="9"/>
  <c r="AZ36" i="9"/>
  <c r="AW36" i="9"/>
  <c r="AT36" i="9"/>
  <c r="AQ36" i="9"/>
  <c r="AN36" i="9"/>
  <c r="AK36" i="9"/>
  <c r="AH36" i="9"/>
  <c r="AE36" i="9"/>
  <c r="AB36" i="9"/>
  <c r="Y36" i="9"/>
  <c r="V36" i="9"/>
  <c r="S36" i="9"/>
  <c r="P36" i="9"/>
  <c r="M36" i="9"/>
  <c r="J36" i="9"/>
  <c r="BC35" i="9"/>
  <c r="AZ35" i="9"/>
  <c r="AW35" i="9"/>
  <c r="AT35" i="9"/>
  <c r="AQ35" i="9"/>
  <c r="AN35" i="9"/>
  <c r="AK35" i="9"/>
  <c r="AH35" i="9"/>
  <c r="AE35" i="9"/>
  <c r="AB35" i="9"/>
  <c r="Y35" i="9"/>
  <c r="V35" i="9"/>
  <c r="S35" i="9"/>
  <c r="P35" i="9"/>
  <c r="M35" i="9"/>
  <c r="J35" i="9"/>
  <c r="BC34" i="9"/>
  <c r="AZ34" i="9"/>
  <c r="AW34" i="9"/>
  <c r="AT34" i="9"/>
  <c r="AQ34" i="9"/>
  <c r="AN34" i="9"/>
  <c r="AK34" i="9"/>
  <c r="AH34" i="9"/>
  <c r="AE34" i="9"/>
  <c r="AB34" i="9"/>
  <c r="Y34" i="9"/>
  <c r="V34" i="9"/>
  <c r="S34" i="9"/>
  <c r="P34" i="9"/>
  <c r="M34" i="9"/>
  <c r="J34" i="9"/>
  <c r="BC33" i="9"/>
  <c r="AZ33" i="9"/>
  <c r="AW33" i="9"/>
  <c r="AT33" i="9"/>
  <c r="AQ33" i="9"/>
  <c r="AN33" i="9"/>
  <c r="AK33" i="9"/>
  <c r="AH33" i="9"/>
  <c r="AE33" i="9"/>
  <c r="AB33" i="9"/>
  <c r="Y33" i="9"/>
  <c r="V33" i="9"/>
  <c r="S33" i="9"/>
  <c r="P33" i="9"/>
  <c r="M33" i="9"/>
  <c r="J33" i="9"/>
  <c r="BC32" i="9"/>
  <c r="AZ32" i="9"/>
  <c r="AW32" i="9"/>
  <c r="AT32" i="9"/>
  <c r="AQ32" i="9"/>
  <c r="AN32" i="9"/>
  <c r="AK32" i="9"/>
  <c r="AH32" i="9"/>
  <c r="AE32" i="9"/>
  <c r="AB32" i="9"/>
  <c r="Y32" i="9"/>
  <c r="V32" i="9"/>
  <c r="S32" i="9"/>
  <c r="P32" i="9"/>
  <c r="M32" i="9"/>
  <c r="J32" i="9"/>
  <c r="BC31" i="9"/>
  <c r="AZ31" i="9"/>
  <c r="AW31" i="9"/>
  <c r="AT31" i="9"/>
  <c r="AQ31" i="9"/>
  <c r="AN31" i="9"/>
  <c r="AK31" i="9"/>
  <c r="AH31" i="9"/>
  <c r="AE31" i="9"/>
  <c r="AB31" i="9"/>
  <c r="Y31" i="9"/>
  <c r="V31" i="9"/>
  <c r="S31" i="9"/>
  <c r="P31" i="9"/>
  <c r="M31" i="9"/>
  <c r="J31" i="9"/>
  <c r="BC30" i="9"/>
  <c r="AZ30" i="9"/>
  <c r="AW30" i="9"/>
  <c r="AT30" i="9"/>
  <c r="AQ30" i="9"/>
  <c r="AN30" i="9"/>
  <c r="AK30" i="9"/>
  <c r="AH30" i="9"/>
  <c r="AE30" i="9"/>
  <c r="AB30" i="9"/>
  <c r="Y30" i="9"/>
  <c r="V30" i="9"/>
  <c r="S30" i="9"/>
  <c r="P30" i="9"/>
  <c r="M30" i="9"/>
  <c r="J30" i="9"/>
  <c r="BC29" i="9"/>
  <c r="AZ29" i="9"/>
  <c r="AW29" i="9"/>
  <c r="AT29" i="9"/>
  <c r="AQ29" i="9"/>
  <c r="AN29" i="9"/>
  <c r="AK29" i="9"/>
  <c r="AH29" i="9"/>
  <c r="AE29" i="9"/>
  <c r="AB29" i="9"/>
  <c r="Y29" i="9"/>
  <c r="V29" i="9"/>
  <c r="S29" i="9"/>
  <c r="P29" i="9"/>
  <c r="M29" i="9"/>
  <c r="J29" i="9"/>
  <c r="BC28" i="9"/>
  <c r="AZ28" i="9"/>
  <c r="AW28" i="9"/>
  <c r="AT28" i="9"/>
  <c r="AQ28" i="9"/>
  <c r="AN28" i="9"/>
  <c r="AK28" i="9"/>
  <c r="AH28" i="9"/>
  <c r="AE28" i="9"/>
  <c r="AB28" i="9"/>
  <c r="Y28" i="9"/>
  <c r="V28" i="9"/>
  <c r="S28" i="9"/>
  <c r="P28" i="9"/>
  <c r="M28" i="9"/>
  <c r="J28" i="9"/>
  <c r="BC27" i="9"/>
  <c r="AZ27" i="9"/>
  <c r="AW27" i="9"/>
  <c r="AT27" i="9"/>
  <c r="AQ27" i="9"/>
  <c r="AN27" i="9"/>
  <c r="AK27" i="9"/>
  <c r="AH27" i="9"/>
  <c r="AE27" i="9"/>
  <c r="AB27" i="9"/>
  <c r="Y27" i="9"/>
  <c r="V27" i="9"/>
  <c r="S27" i="9"/>
  <c r="P27" i="9"/>
  <c r="M27" i="9"/>
  <c r="J27" i="9"/>
  <c r="BC26" i="9"/>
  <c r="AZ26" i="9"/>
  <c r="AW26" i="9"/>
  <c r="AT26" i="9"/>
  <c r="AQ26" i="9"/>
  <c r="AN26" i="9"/>
  <c r="AK26" i="9"/>
  <c r="AH26" i="9"/>
  <c r="AE26" i="9"/>
  <c r="AB26" i="9"/>
  <c r="Y26" i="9"/>
  <c r="V26" i="9"/>
  <c r="S26" i="9"/>
  <c r="P26" i="9"/>
  <c r="M26" i="9"/>
  <c r="J26" i="9"/>
  <c r="BC25" i="9"/>
  <c r="AZ25" i="9"/>
  <c r="AW25" i="9"/>
  <c r="AT25" i="9"/>
  <c r="AQ25" i="9"/>
  <c r="AN25" i="9"/>
  <c r="AK25" i="9"/>
  <c r="AH25" i="9"/>
  <c r="AE25" i="9"/>
  <c r="AB25" i="9"/>
  <c r="Y25" i="9"/>
  <c r="V25" i="9"/>
  <c r="S25" i="9"/>
  <c r="P25" i="9"/>
  <c r="M25" i="9"/>
  <c r="J25" i="9"/>
  <c r="BC24" i="9"/>
  <c r="AZ24" i="9"/>
  <c r="AW24" i="9"/>
  <c r="AT24" i="9"/>
  <c r="AQ24" i="9"/>
  <c r="AN24" i="9"/>
  <c r="AK24" i="9"/>
  <c r="AH24" i="9"/>
  <c r="AE24" i="9"/>
  <c r="AB24" i="9"/>
  <c r="Y24" i="9"/>
  <c r="V24" i="9"/>
  <c r="S24" i="9"/>
  <c r="P24" i="9"/>
  <c r="M24" i="9"/>
  <c r="J24" i="9"/>
  <c r="BC23" i="9"/>
  <c r="AZ23" i="9"/>
  <c r="AW23" i="9"/>
  <c r="AT23" i="9"/>
  <c r="AQ23" i="9"/>
  <c r="AN23" i="9"/>
  <c r="AK23" i="9"/>
  <c r="AH23" i="9"/>
  <c r="AE23" i="9"/>
  <c r="AB23" i="9"/>
  <c r="Y23" i="9"/>
  <c r="V23" i="9"/>
  <c r="S23" i="9"/>
  <c r="P23" i="9"/>
  <c r="M23" i="9"/>
  <c r="J23" i="9"/>
  <c r="BC22" i="9"/>
  <c r="AZ22" i="9"/>
  <c r="AW22" i="9"/>
  <c r="AT22" i="9"/>
  <c r="AQ22" i="9"/>
  <c r="AN22" i="9"/>
  <c r="AK22" i="9"/>
  <c r="AH22" i="9"/>
  <c r="AE22" i="9"/>
  <c r="AB22" i="9"/>
  <c r="Y22" i="9"/>
  <c r="V22" i="9"/>
  <c r="S22" i="9"/>
  <c r="P22" i="9"/>
  <c r="M22" i="9"/>
  <c r="J22" i="9"/>
  <c r="BC21" i="9"/>
  <c r="AZ21" i="9"/>
  <c r="AW21" i="9"/>
  <c r="AT21" i="9"/>
  <c r="AQ21" i="9"/>
  <c r="AN21" i="9"/>
  <c r="AK21" i="9"/>
  <c r="AH21" i="9"/>
  <c r="AE21" i="9"/>
  <c r="AB21" i="9"/>
  <c r="Y21" i="9"/>
  <c r="V21" i="9"/>
  <c r="S21" i="9"/>
  <c r="P21" i="9"/>
  <c r="M21" i="9"/>
  <c r="J21" i="9"/>
  <c r="BC20" i="9"/>
  <c r="AZ20" i="9"/>
  <c r="AW20" i="9"/>
  <c r="AT20" i="9"/>
  <c r="AQ20" i="9"/>
  <c r="AN20" i="9"/>
  <c r="AK20" i="9"/>
  <c r="AH20" i="9"/>
  <c r="AE20" i="9"/>
  <c r="AB20" i="9"/>
  <c r="Y20" i="9"/>
  <c r="V20" i="9"/>
  <c r="S20" i="9"/>
  <c r="P20" i="9"/>
  <c r="M20" i="9"/>
  <c r="J20" i="9"/>
  <c r="BC19" i="9"/>
  <c r="AZ19" i="9"/>
  <c r="AW19" i="9"/>
  <c r="AT19" i="9"/>
  <c r="AQ19" i="9"/>
  <c r="AN19" i="9"/>
  <c r="AK19" i="9"/>
  <c r="AH19" i="9"/>
  <c r="AE19" i="9"/>
  <c r="AB19" i="9"/>
  <c r="Y19" i="9"/>
  <c r="V19" i="9"/>
  <c r="S19" i="9"/>
  <c r="P19" i="9"/>
  <c r="M19" i="9"/>
  <c r="J19" i="9"/>
  <c r="BC18" i="9"/>
  <c r="AZ18" i="9"/>
  <c r="AW18" i="9"/>
  <c r="AT18" i="9"/>
  <c r="AQ18" i="9"/>
  <c r="AN18" i="9"/>
  <c r="AK18" i="9"/>
  <c r="AH18" i="9"/>
  <c r="AE18" i="9"/>
  <c r="AB18" i="9"/>
  <c r="Y18" i="9"/>
  <c r="V18" i="9"/>
  <c r="S18" i="9"/>
  <c r="P18" i="9"/>
  <c r="M18" i="9"/>
  <c r="J18" i="9"/>
  <c r="BC17" i="9"/>
  <c r="AZ17" i="9"/>
  <c r="AW17" i="9"/>
  <c r="AT17" i="9"/>
  <c r="AQ17" i="9"/>
  <c r="AN17" i="9"/>
  <c r="AK17" i="9"/>
  <c r="AH17" i="9"/>
  <c r="AE17" i="9"/>
  <c r="AB17" i="9"/>
  <c r="Y17" i="9"/>
  <c r="V17" i="9"/>
  <c r="S17" i="9"/>
  <c r="P17" i="9"/>
  <c r="M17" i="9"/>
  <c r="J17" i="9"/>
  <c r="BC16" i="9"/>
  <c r="AZ16" i="9"/>
  <c r="AW16" i="9"/>
  <c r="AT16" i="9"/>
  <c r="AQ16" i="9"/>
  <c r="AN16" i="9"/>
  <c r="AK16" i="9"/>
  <c r="AH16" i="9"/>
  <c r="AE16" i="9"/>
  <c r="AB16" i="9"/>
  <c r="Y16" i="9"/>
  <c r="V16" i="9"/>
  <c r="S16" i="9"/>
  <c r="P16" i="9"/>
  <c r="M16" i="9"/>
  <c r="J16" i="9"/>
  <c r="BC15" i="9"/>
  <c r="AZ15" i="9"/>
  <c r="AW15" i="9"/>
  <c r="AT15" i="9"/>
  <c r="AQ15" i="9"/>
  <c r="AN15" i="9"/>
  <c r="AK15" i="9"/>
  <c r="AH15" i="9"/>
  <c r="AE15" i="9"/>
  <c r="AB15" i="9"/>
  <c r="Y15" i="9"/>
  <c r="V15" i="9"/>
  <c r="S15" i="9"/>
  <c r="P15" i="9"/>
  <c r="M15" i="9"/>
  <c r="J15" i="9"/>
  <c r="BC14" i="9"/>
  <c r="AZ14" i="9"/>
  <c r="AW14" i="9"/>
  <c r="AT14" i="9"/>
  <c r="AQ14" i="9"/>
  <c r="AN14" i="9"/>
  <c r="AK14" i="9"/>
  <c r="AH14" i="9"/>
  <c r="AE14" i="9"/>
  <c r="AB14" i="9"/>
  <c r="Y14" i="9"/>
  <c r="V14" i="9"/>
  <c r="S14" i="9"/>
  <c r="P14" i="9"/>
  <c r="M14" i="9"/>
  <c r="J14" i="9"/>
  <c r="BC13" i="9"/>
  <c r="AZ13" i="9"/>
  <c r="AW13" i="9"/>
  <c r="AT13" i="9"/>
  <c r="AQ13" i="9"/>
  <c r="AN13" i="9"/>
  <c r="AK13" i="9"/>
  <c r="AH13" i="9"/>
  <c r="AE13" i="9"/>
  <c r="AB13" i="9"/>
  <c r="Y13" i="9"/>
  <c r="V13" i="9"/>
  <c r="S13" i="9"/>
  <c r="P13" i="9"/>
  <c r="M13" i="9"/>
  <c r="J13" i="9"/>
  <c r="BC12" i="9"/>
  <c r="AZ12" i="9"/>
  <c r="AW12" i="9"/>
  <c r="AT12" i="9"/>
  <c r="AQ12" i="9"/>
  <c r="AN12" i="9"/>
  <c r="AK12" i="9"/>
  <c r="AH12" i="9"/>
  <c r="AE12" i="9"/>
  <c r="AB12" i="9"/>
  <c r="Y12" i="9"/>
  <c r="V12" i="9"/>
  <c r="S12" i="9"/>
  <c r="P12" i="9"/>
  <c r="M12" i="9"/>
  <c r="J12" i="9"/>
  <c r="BC11" i="9"/>
  <c r="AZ11" i="9"/>
  <c r="AW11" i="9"/>
  <c r="AT11" i="9"/>
  <c r="AQ11" i="9"/>
  <c r="AN11" i="9"/>
  <c r="AK11" i="9"/>
  <c r="AH11" i="9"/>
  <c r="AE11" i="9"/>
  <c r="AB11" i="9"/>
  <c r="Y11" i="9"/>
  <c r="V11" i="9"/>
  <c r="S11" i="9"/>
  <c r="P11" i="9"/>
  <c r="M11" i="9"/>
  <c r="J11" i="9"/>
  <c r="BC10" i="9"/>
  <c r="AZ10" i="9"/>
  <c r="AW10" i="9"/>
  <c r="AT10" i="9"/>
  <c r="AQ10" i="9"/>
  <c r="AN10" i="9"/>
  <c r="AK10" i="9"/>
  <c r="AH10" i="9"/>
  <c r="AE10" i="9"/>
  <c r="AB10" i="9"/>
  <c r="Y10" i="9"/>
  <c r="V10" i="9"/>
  <c r="S10" i="9"/>
  <c r="P10" i="9"/>
  <c r="M10" i="9"/>
  <c r="J10" i="9"/>
  <c r="BC9" i="9"/>
  <c r="AZ9" i="9"/>
  <c r="AW9" i="9"/>
  <c r="AT9" i="9"/>
  <c r="AQ9" i="9"/>
  <c r="AN9" i="9"/>
  <c r="AK9" i="9"/>
  <c r="AH9" i="9"/>
  <c r="AE9" i="9"/>
  <c r="AB9" i="9"/>
  <c r="Y9" i="9"/>
  <c r="V9" i="9"/>
  <c r="S9" i="9"/>
  <c r="P9" i="9"/>
  <c r="M9" i="9"/>
  <c r="J9" i="9"/>
  <c r="BC8" i="9"/>
  <c r="AZ8" i="9"/>
  <c r="AW8" i="9"/>
  <c r="AT8" i="9"/>
  <c r="AQ8" i="9"/>
  <c r="AN8" i="9"/>
  <c r="AK8" i="9"/>
  <c r="AH8" i="9"/>
  <c r="AE8" i="9"/>
  <c r="AB8" i="9"/>
  <c r="Y8" i="9"/>
  <c r="V8" i="9"/>
  <c r="S8" i="9"/>
  <c r="P8" i="9"/>
  <c r="M8" i="9"/>
  <c r="J8" i="9"/>
  <c r="BC7" i="9"/>
  <c r="AZ7" i="9"/>
  <c r="AW7" i="9"/>
  <c r="AT7" i="9"/>
  <c r="AQ7" i="9"/>
  <c r="AN7" i="9"/>
  <c r="AK7" i="9"/>
  <c r="AH7" i="9"/>
  <c r="AE7" i="9"/>
  <c r="AB7" i="9"/>
  <c r="Y7" i="9"/>
  <c r="V7" i="9"/>
  <c r="S7" i="9"/>
  <c r="P7" i="9"/>
  <c r="M7" i="9"/>
  <c r="J7" i="9"/>
  <c r="BC6" i="9"/>
  <c r="AZ6" i="9"/>
  <c r="AW6" i="9"/>
  <c r="AT6" i="9"/>
  <c r="AQ6" i="9"/>
  <c r="AN6" i="9"/>
  <c r="AK6" i="9"/>
  <c r="AH6" i="9"/>
  <c r="AE6" i="9"/>
  <c r="AB6" i="9"/>
  <c r="Y6" i="9"/>
  <c r="V6" i="9"/>
  <c r="S6" i="9"/>
  <c r="P6" i="9"/>
  <c r="M6" i="9"/>
  <c r="J6" i="9"/>
  <c r="BC5" i="9"/>
  <c r="AZ5" i="9"/>
  <c r="AW5" i="9"/>
  <c r="AT5" i="9"/>
  <c r="AQ5" i="9"/>
  <c r="AN5" i="9"/>
  <c r="AK5" i="9"/>
  <c r="AH5" i="9"/>
  <c r="AE5" i="9"/>
  <c r="AB5" i="9"/>
  <c r="Y5" i="9"/>
  <c r="V5" i="9"/>
  <c r="S5" i="9"/>
  <c r="P5" i="9"/>
  <c r="M5" i="9"/>
  <c r="J5" i="9"/>
  <c r="BC4" i="9"/>
  <c r="AZ4" i="9"/>
  <c r="AW4" i="9"/>
  <c r="AT4" i="9"/>
  <c r="AQ4" i="9"/>
  <c r="AN4" i="9"/>
  <c r="AK4" i="9"/>
  <c r="AH4" i="9"/>
  <c r="AE4" i="9"/>
  <c r="AB4" i="9"/>
  <c r="Y4" i="9"/>
  <c r="V4" i="9"/>
  <c r="S4" i="9"/>
  <c r="P4" i="9"/>
  <c r="M4" i="9"/>
  <c r="J4" i="9"/>
  <c r="BC3" i="9"/>
  <c r="AZ3" i="9"/>
  <c r="AW3" i="9"/>
  <c r="AT3" i="9"/>
  <c r="AQ3" i="9"/>
  <c r="AN3" i="9"/>
  <c r="AK3" i="9"/>
  <c r="AH3" i="9"/>
  <c r="AE3" i="9"/>
  <c r="AB3" i="9"/>
  <c r="Y3" i="9"/>
  <c r="V3" i="9"/>
  <c r="S3" i="9"/>
  <c r="P3" i="9"/>
  <c r="M3" i="9"/>
  <c r="J3" i="9"/>
  <c r="AY119" i="8"/>
  <c r="AT119" i="8"/>
  <c r="AS119" i="8"/>
  <c r="AZ119" i="8" s="1"/>
  <c r="BB119" i="8" s="1"/>
  <c r="Z119" i="8"/>
  <c r="AB119" i="8" s="1"/>
  <c r="Y119" i="8"/>
  <c r="AA119" i="8" s="1"/>
  <c r="W119" i="8"/>
  <c r="V119" i="8"/>
  <c r="U119" i="8"/>
  <c r="T119" i="8"/>
  <c r="P119" i="8"/>
  <c r="O119" i="8"/>
  <c r="N119" i="8"/>
  <c r="M119" i="8"/>
  <c r="K119" i="8"/>
  <c r="J119" i="8"/>
  <c r="F119" i="8"/>
  <c r="E119" i="8"/>
  <c r="AZ118" i="8"/>
  <c r="AY118" i="8"/>
  <c r="AT118" i="8"/>
  <c r="BA118" i="8" s="1"/>
  <c r="AS118" i="8"/>
  <c r="AW118" i="8" s="1"/>
  <c r="AA118" i="8"/>
  <c r="Z118" i="8"/>
  <c r="AB118" i="8" s="1"/>
  <c r="Y118" i="8"/>
  <c r="W118" i="8"/>
  <c r="V118" i="8"/>
  <c r="U118" i="8"/>
  <c r="T118" i="8"/>
  <c r="N118" i="8"/>
  <c r="P118" i="8" s="1"/>
  <c r="M118" i="8"/>
  <c r="O118" i="8" s="1"/>
  <c r="K118" i="8"/>
  <c r="J118" i="8"/>
  <c r="F118" i="8"/>
  <c r="E118" i="8"/>
  <c r="BA117" i="8"/>
  <c r="AZ117" i="8"/>
  <c r="BB117" i="8" s="1"/>
  <c r="AY117" i="8"/>
  <c r="BC117" i="8" s="1"/>
  <c r="AT117" i="8"/>
  <c r="AS117" i="8"/>
  <c r="Z117" i="8"/>
  <c r="AB117" i="8" s="1"/>
  <c r="Y117" i="8"/>
  <c r="AA117" i="8" s="1"/>
  <c r="W117" i="8"/>
  <c r="V117" i="8"/>
  <c r="U117" i="8"/>
  <c r="T117" i="8"/>
  <c r="N117" i="8"/>
  <c r="P117" i="8" s="1"/>
  <c r="M117" i="8"/>
  <c r="O117" i="8" s="1"/>
  <c r="K117" i="8"/>
  <c r="J117" i="8"/>
  <c r="F117" i="8"/>
  <c r="E117" i="8"/>
  <c r="AY116" i="8"/>
  <c r="AX116" i="8"/>
  <c r="AT116" i="8"/>
  <c r="BA116" i="8" s="1"/>
  <c r="AS116" i="8"/>
  <c r="AZ116" i="8" s="1"/>
  <c r="Z116" i="8"/>
  <c r="AB116" i="8" s="1"/>
  <c r="Y116" i="8"/>
  <c r="AA116" i="8" s="1"/>
  <c r="W116" i="8"/>
  <c r="V116" i="8"/>
  <c r="U116" i="8"/>
  <c r="T116" i="8"/>
  <c r="N116" i="8"/>
  <c r="P116" i="8" s="1"/>
  <c r="M116" i="8"/>
  <c r="O116" i="8" s="1"/>
  <c r="K116" i="8"/>
  <c r="J116" i="8"/>
  <c r="F116" i="8"/>
  <c r="E116" i="8"/>
  <c r="AY115" i="8"/>
  <c r="AX115" i="8"/>
  <c r="AT115" i="8"/>
  <c r="BA115" i="8" s="1"/>
  <c r="BC115" i="8" s="1"/>
  <c r="AS115" i="8"/>
  <c r="AW115" i="8" s="1"/>
  <c r="AB115" i="8"/>
  <c r="AA115" i="8"/>
  <c r="Z115" i="8"/>
  <c r="Y115" i="8"/>
  <c r="W115" i="8"/>
  <c r="BE115" i="8" s="1"/>
  <c r="V115" i="8"/>
  <c r="U115" i="8"/>
  <c r="T115" i="8"/>
  <c r="P115" i="8"/>
  <c r="O115" i="8"/>
  <c r="N115" i="8"/>
  <c r="M115" i="8"/>
  <c r="K115" i="8"/>
  <c r="J115" i="8"/>
  <c r="F115" i="8"/>
  <c r="E115" i="8"/>
  <c r="BA114" i="8"/>
  <c r="BC114" i="8" s="1"/>
  <c r="AY114" i="8"/>
  <c r="AT114" i="8"/>
  <c r="AS114" i="8"/>
  <c r="AZ114" i="8" s="1"/>
  <c r="BB114" i="8" s="1"/>
  <c r="Z114" i="8"/>
  <c r="AB114" i="8" s="1"/>
  <c r="Y114" i="8"/>
  <c r="AA114" i="8" s="1"/>
  <c r="W114" i="8"/>
  <c r="V114" i="8"/>
  <c r="U114" i="8"/>
  <c r="T114" i="8"/>
  <c r="O114" i="8"/>
  <c r="N114" i="8"/>
  <c r="P114" i="8" s="1"/>
  <c r="M114" i="8"/>
  <c r="K114" i="8"/>
  <c r="J114" i="8"/>
  <c r="F114" i="8"/>
  <c r="E114" i="8"/>
  <c r="AY113" i="8"/>
  <c r="AT113" i="8"/>
  <c r="BA113" i="8" s="1"/>
  <c r="BC113" i="8" s="1"/>
  <c r="AS113" i="8"/>
  <c r="AW114" i="8" s="1"/>
  <c r="BD114" i="8" s="1"/>
  <c r="Z113" i="8"/>
  <c r="AB113" i="8" s="1"/>
  <c r="Y113" i="8"/>
  <c r="AA113" i="8" s="1"/>
  <c r="W113" i="8"/>
  <c r="V113" i="8"/>
  <c r="U113" i="8"/>
  <c r="T113" i="8"/>
  <c r="N113" i="8"/>
  <c r="P113" i="8" s="1"/>
  <c r="M113" i="8"/>
  <c r="O113" i="8" s="1"/>
  <c r="K113" i="8"/>
  <c r="J113" i="8"/>
  <c r="F113" i="8"/>
  <c r="E113" i="8"/>
  <c r="AY112" i="8"/>
  <c r="AX112" i="8"/>
  <c r="AT112" i="8"/>
  <c r="BA112" i="8" s="1"/>
  <c r="AS112" i="8"/>
  <c r="AW112" i="8" s="1"/>
  <c r="AB112" i="8"/>
  <c r="Z112" i="8"/>
  <c r="Y112" i="8"/>
  <c r="AA112" i="8" s="1"/>
  <c r="W112" i="8"/>
  <c r="V112" i="8"/>
  <c r="U112" i="8"/>
  <c r="T112" i="8"/>
  <c r="P112" i="8"/>
  <c r="N112" i="8"/>
  <c r="M112" i="8"/>
  <c r="O112" i="8" s="1"/>
  <c r="K112" i="8"/>
  <c r="J112" i="8"/>
  <c r="F112" i="8"/>
  <c r="E112" i="8"/>
  <c r="BA111" i="8"/>
  <c r="BC111" i="8" s="1"/>
  <c r="AY111" i="8"/>
  <c r="AT111" i="8"/>
  <c r="AS111" i="8"/>
  <c r="AZ111" i="8" s="1"/>
  <c r="Z111" i="8"/>
  <c r="AB111" i="8" s="1"/>
  <c r="Y111" i="8"/>
  <c r="AA111" i="8" s="1"/>
  <c r="W111" i="8"/>
  <c r="V111" i="8"/>
  <c r="U111" i="8"/>
  <c r="T111" i="8"/>
  <c r="N111" i="8"/>
  <c r="P111" i="8" s="1"/>
  <c r="M111" i="8"/>
  <c r="O111" i="8" s="1"/>
  <c r="K111" i="8"/>
  <c r="J111" i="8"/>
  <c r="F111" i="8"/>
  <c r="E111" i="8"/>
  <c r="BA110" i="8"/>
  <c r="AZ110" i="8"/>
  <c r="AY110" i="8"/>
  <c r="AV110" i="8"/>
  <c r="AT110" i="8"/>
  <c r="AX111" i="8" s="1"/>
  <c r="BE111" i="8" s="1"/>
  <c r="AS110" i="8"/>
  <c r="AU110" i="8" s="1"/>
  <c r="AQ110" i="8"/>
  <c r="AP110" i="8"/>
  <c r="AL110" i="8"/>
  <c r="AK110" i="8"/>
  <c r="AG110" i="8"/>
  <c r="AF110" i="8"/>
  <c r="Z110" i="8"/>
  <c r="AB110" i="8" s="1"/>
  <c r="Y110" i="8"/>
  <c r="X110" i="8"/>
  <c r="AA110" i="8" s="1"/>
  <c r="W110" i="8"/>
  <c r="V110" i="8"/>
  <c r="U110" i="8"/>
  <c r="T110" i="8"/>
  <c r="P110" i="8"/>
  <c r="O110" i="8"/>
  <c r="N110" i="8"/>
  <c r="M110" i="8"/>
  <c r="K110" i="8"/>
  <c r="J110" i="8"/>
  <c r="F110" i="8"/>
  <c r="E110" i="8"/>
  <c r="BA109" i="8"/>
  <c r="BC109" i="8" s="1"/>
  <c r="AY109" i="8"/>
  <c r="AT109" i="8"/>
  <c r="AV109" i="8" s="1"/>
  <c r="AS109" i="8"/>
  <c r="AW109" i="8" s="1"/>
  <c r="AQ109" i="8"/>
  <c r="AP109" i="8"/>
  <c r="AL109" i="8"/>
  <c r="AK109" i="8"/>
  <c r="AG109" i="8"/>
  <c r="AF109" i="8"/>
  <c r="Z109" i="8"/>
  <c r="AB109" i="8" s="1"/>
  <c r="Y109" i="8"/>
  <c r="AA109" i="8" s="1"/>
  <c r="X109" i="8"/>
  <c r="W109" i="8"/>
  <c r="V109" i="8"/>
  <c r="BD109" i="8" s="1"/>
  <c r="U109" i="8"/>
  <c r="T109" i="8"/>
  <c r="O109" i="8"/>
  <c r="N109" i="8"/>
  <c r="P109" i="8" s="1"/>
  <c r="M109" i="8"/>
  <c r="K109" i="8"/>
  <c r="J109" i="8"/>
  <c r="F109" i="8"/>
  <c r="E109" i="8"/>
  <c r="AT108" i="8"/>
  <c r="AV108" i="8" s="1"/>
  <c r="AS108" i="8"/>
  <c r="AR108" i="8"/>
  <c r="AU108" i="8" s="1"/>
  <c r="AQ108" i="8"/>
  <c r="AP108" i="8"/>
  <c r="AL108" i="8"/>
  <c r="AK108" i="8"/>
  <c r="AG108" i="8"/>
  <c r="AF108" i="8"/>
  <c r="V108" i="8"/>
  <c r="U108" i="8"/>
  <c r="T108" i="8"/>
  <c r="N108" i="8"/>
  <c r="P108" i="8" s="1"/>
  <c r="M108" i="8"/>
  <c r="O108" i="8" s="1"/>
  <c r="K108" i="8"/>
  <c r="J108" i="8"/>
  <c r="F108" i="8"/>
  <c r="E108" i="8"/>
  <c r="AT107" i="8"/>
  <c r="AV107" i="8" s="1"/>
  <c r="AS107" i="8"/>
  <c r="AU107" i="8" s="1"/>
  <c r="AR107" i="8"/>
  <c r="AQ107" i="8"/>
  <c r="AP107" i="8"/>
  <c r="AL107" i="8"/>
  <c r="AK107" i="8"/>
  <c r="AG107" i="8"/>
  <c r="AF107" i="8"/>
  <c r="V107" i="8"/>
  <c r="U107" i="8"/>
  <c r="T107" i="8"/>
  <c r="O107" i="8"/>
  <c r="N107" i="8"/>
  <c r="P107" i="8" s="1"/>
  <c r="M107" i="8"/>
  <c r="K107" i="8"/>
  <c r="J107" i="8"/>
  <c r="F107" i="8"/>
  <c r="E107" i="8"/>
  <c r="AT106" i="8"/>
  <c r="AS106" i="8"/>
  <c r="AR106" i="8"/>
  <c r="AV106" i="8" s="1"/>
  <c r="AQ106" i="8"/>
  <c r="AP106" i="8"/>
  <c r="AL106" i="8"/>
  <c r="AK106" i="8"/>
  <c r="AG106" i="8"/>
  <c r="AF106" i="8"/>
  <c r="V106" i="8"/>
  <c r="U106" i="8"/>
  <c r="T106" i="8"/>
  <c r="N106" i="8"/>
  <c r="P106" i="8" s="1"/>
  <c r="M106" i="8"/>
  <c r="O106" i="8" s="1"/>
  <c r="K106" i="8"/>
  <c r="J106" i="8"/>
  <c r="F106" i="8"/>
  <c r="E106" i="8"/>
  <c r="AT105" i="8"/>
  <c r="AS105" i="8"/>
  <c r="AR105" i="8"/>
  <c r="AQ105" i="8"/>
  <c r="AP105" i="8"/>
  <c r="AL105" i="8"/>
  <c r="AK105" i="8"/>
  <c r="AG105" i="8"/>
  <c r="AF105" i="8"/>
  <c r="V105" i="8"/>
  <c r="U105" i="8"/>
  <c r="T105" i="8"/>
  <c r="P105" i="8"/>
  <c r="N105" i="8"/>
  <c r="M105" i="8"/>
  <c r="O105" i="8" s="1"/>
  <c r="K105" i="8"/>
  <c r="J105" i="8"/>
  <c r="F105" i="8"/>
  <c r="E105" i="8"/>
  <c r="AT104" i="8"/>
  <c r="AS104" i="8"/>
  <c r="AU104" i="8" s="1"/>
  <c r="AR104" i="8"/>
  <c r="AV104" i="8" s="1"/>
  <c r="AQ104" i="8"/>
  <c r="AP104" i="8"/>
  <c r="AL104" i="8"/>
  <c r="AK104" i="8"/>
  <c r="AG104" i="8"/>
  <c r="AF104" i="8"/>
  <c r="U104" i="8"/>
  <c r="T104" i="8"/>
  <c r="N104" i="8"/>
  <c r="P104" i="8" s="1"/>
  <c r="M104" i="8"/>
  <c r="O104" i="8" s="1"/>
  <c r="K104" i="8"/>
  <c r="J104" i="8"/>
  <c r="F104" i="8"/>
  <c r="E104" i="8"/>
  <c r="AT103" i="8"/>
  <c r="AS103" i="8"/>
  <c r="AR103" i="8"/>
  <c r="AV103" i="8" s="1"/>
  <c r="AQ103" i="8"/>
  <c r="AP103" i="8"/>
  <c r="AL103" i="8"/>
  <c r="AK103" i="8"/>
  <c r="AG103" i="8"/>
  <c r="AF103" i="8"/>
  <c r="U103" i="8"/>
  <c r="T103" i="8"/>
  <c r="N103" i="8"/>
  <c r="P103" i="8" s="1"/>
  <c r="M103" i="8"/>
  <c r="O103" i="8" s="1"/>
  <c r="K103" i="8"/>
  <c r="J103" i="8"/>
  <c r="F103" i="8"/>
  <c r="E103" i="8"/>
  <c r="AT102" i="8"/>
  <c r="AS102" i="8"/>
  <c r="AU102" i="8" s="1"/>
  <c r="AR102" i="8"/>
  <c r="AQ102" i="8"/>
  <c r="AP102" i="8"/>
  <c r="AL102" i="8"/>
  <c r="AK102" i="8"/>
  <c r="AG102" i="8"/>
  <c r="AF102" i="8"/>
  <c r="U102" i="8"/>
  <c r="T102" i="8"/>
  <c r="O102" i="8"/>
  <c r="N102" i="8"/>
  <c r="P102" i="8" s="1"/>
  <c r="M102" i="8"/>
  <c r="K102" i="8"/>
  <c r="J102" i="8"/>
  <c r="F102" i="8"/>
  <c r="E102" i="8"/>
  <c r="AU101" i="8"/>
  <c r="AT101" i="8"/>
  <c r="AV101" i="8" s="1"/>
  <c r="AS101" i="8"/>
  <c r="AR101" i="8"/>
  <c r="AQ101" i="8"/>
  <c r="AP101" i="8"/>
  <c r="AL101" i="8"/>
  <c r="AK101" i="8"/>
  <c r="AG101" i="8"/>
  <c r="AF101" i="8"/>
  <c r="U101" i="8"/>
  <c r="T101" i="8"/>
  <c r="P101" i="8"/>
  <c r="N101" i="8"/>
  <c r="M101" i="8"/>
  <c r="O101" i="8" s="1"/>
  <c r="K101" i="8"/>
  <c r="J101" i="8"/>
  <c r="F101" i="8"/>
  <c r="E101" i="8"/>
  <c r="AT100" i="8"/>
  <c r="AS100" i="8"/>
  <c r="AR100" i="8"/>
  <c r="AQ100" i="8"/>
  <c r="AP100" i="8"/>
  <c r="AL100" i="8"/>
  <c r="AK100" i="8"/>
  <c r="AG100" i="8"/>
  <c r="AF100" i="8"/>
  <c r="U100" i="8"/>
  <c r="T100" i="8"/>
  <c r="P100" i="8"/>
  <c r="O100" i="8"/>
  <c r="M100" i="8"/>
  <c r="K100" i="8"/>
  <c r="J100" i="8"/>
  <c r="F100" i="8"/>
  <c r="E100" i="8"/>
  <c r="AU99" i="8"/>
  <c r="AT99" i="8"/>
  <c r="AV99" i="8" s="1"/>
  <c r="AS99" i="8"/>
  <c r="AR99" i="8"/>
  <c r="AQ99" i="8"/>
  <c r="AP99" i="8"/>
  <c r="AL99" i="8"/>
  <c r="AK99" i="8"/>
  <c r="AG99" i="8"/>
  <c r="AF99" i="8"/>
  <c r="U99" i="8"/>
  <c r="T99" i="8"/>
  <c r="P99" i="8"/>
  <c r="M99" i="8"/>
  <c r="O99" i="8" s="1"/>
  <c r="K99" i="8"/>
  <c r="J99" i="8"/>
  <c r="F99" i="8"/>
  <c r="E99" i="8"/>
  <c r="AT98" i="8"/>
  <c r="AS98" i="8"/>
  <c r="AR98" i="8"/>
  <c r="AQ98" i="8"/>
  <c r="AP98" i="8"/>
  <c r="AL98" i="8"/>
  <c r="AK98" i="8"/>
  <c r="AG98" i="8"/>
  <c r="AF98" i="8"/>
  <c r="U98" i="8"/>
  <c r="T98" i="8"/>
  <c r="N98" i="8"/>
  <c r="P98" i="8" s="1"/>
  <c r="M98" i="8"/>
  <c r="O98" i="8" s="1"/>
  <c r="K98" i="8"/>
  <c r="J98" i="8"/>
  <c r="F98" i="8"/>
  <c r="E98" i="8"/>
  <c r="AT97" i="8"/>
  <c r="AV97" i="8" s="1"/>
  <c r="AS97" i="8"/>
  <c r="AU97" i="8" s="1"/>
  <c r="AR97" i="8"/>
  <c r="AQ97" i="8"/>
  <c r="AP97" i="8"/>
  <c r="AL97" i="8"/>
  <c r="AK97" i="8"/>
  <c r="AG97" i="8"/>
  <c r="AF97" i="8"/>
  <c r="T97" i="8"/>
  <c r="S97" i="8"/>
  <c r="U97" i="8" s="1"/>
  <c r="P97" i="8"/>
  <c r="O97" i="8"/>
  <c r="M97" i="8"/>
  <c r="K97" i="8"/>
  <c r="J97" i="8"/>
  <c r="F97" i="8"/>
  <c r="E97" i="8"/>
  <c r="AT96" i="8"/>
  <c r="AV96" i="8" s="1"/>
  <c r="AS96" i="8"/>
  <c r="AU96" i="8" s="1"/>
  <c r="AR96" i="8"/>
  <c r="AQ96" i="8"/>
  <c r="AP96" i="8"/>
  <c r="AL96" i="8"/>
  <c r="AK96" i="8"/>
  <c r="AG96" i="8"/>
  <c r="AF96" i="8"/>
  <c r="U96" i="8"/>
  <c r="T96" i="8"/>
  <c r="S96" i="8"/>
  <c r="P96" i="8"/>
  <c r="M96" i="8"/>
  <c r="O96" i="8" s="1"/>
  <c r="K96" i="8"/>
  <c r="J96" i="8"/>
  <c r="F96" i="8"/>
  <c r="E96" i="8"/>
  <c r="AT95" i="8"/>
  <c r="AS95" i="8"/>
  <c r="AR95" i="8"/>
  <c r="AU95" i="8" s="1"/>
  <c r="AQ95" i="8"/>
  <c r="AP95" i="8"/>
  <c r="AL95" i="8"/>
  <c r="AK95" i="8"/>
  <c r="AG95" i="8"/>
  <c r="AF95" i="8"/>
  <c r="T95" i="8"/>
  <c r="S95" i="8"/>
  <c r="U95" i="8" s="1"/>
  <c r="P95" i="8"/>
  <c r="M95" i="8"/>
  <c r="O95" i="8" s="1"/>
  <c r="K95" i="8"/>
  <c r="J95" i="8"/>
  <c r="F95" i="8"/>
  <c r="E95" i="8"/>
  <c r="AT94" i="8"/>
  <c r="AS94" i="8"/>
  <c r="AU94" i="8" s="1"/>
  <c r="AR94" i="8"/>
  <c r="AV94" i="8" s="1"/>
  <c r="AQ94" i="8"/>
  <c r="AP94" i="8"/>
  <c r="AL94" i="8"/>
  <c r="AK94" i="8"/>
  <c r="AG94" i="8"/>
  <c r="AF94" i="8"/>
  <c r="T94" i="8"/>
  <c r="S94" i="8"/>
  <c r="U94" i="8" s="1"/>
  <c r="R94" i="8"/>
  <c r="P94" i="8"/>
  <c r="O94" i="8"/>
  <c r="K94" i="8"/>
  <c r="J94" i="8"/>
  <c r="F94" i="8"/>
  <c r="E94" i="8"/>
  <c r="AT93" i="8"/>
  <c r="AS93" i="8"/>
  <c r="AU93" i="8" s="1"/>
  <c r="AR93" i="8"/>
  <c r="AQ93" i="8"/>
  <c r="AP93" i="8"/>
  <c r="AL93" i="8"/>
  <c r="AK93" i="8"/>
  <c r="AG93" i="8"/>
  <c r="AF93" i="8"/>
  <c r="U93" i="8"/>
  <c r="S93" i="8"/>
  <c r="R93" i="8"/>
  <c r="T93" i="8" s="1"/>
  <c r="P93" i="8"/>
  <c r="O93" i="8"/>
  <c r="K93" i="8"/>
  <c r="J93" i="8"/>
  <c r="F93" i="8"/>
  <c r="E93" i="8"/>
  <c r="AT92" i="8"/>
  <c r="AS92" i="8"/>
  <c r="AR92" i="8"/>
  <c r="AQ92" i="8"/>
  <c r="AP92" i="8"/>
  <c r="AL92" i="8"/>
  <c r="AK92" i="8"/>
  <c r="AG92" i="8"/>
  <c r="AF92" i="8"/>
  <c r="S92" i="8"/>
  <c r="U92" i="8" s="1"/>
  <c r="R92" i="8"/>
  <c r="T92" i="8" s="1"/>
  <c r="P92" i="8"/>
  <c r="O92" i="8"/>
  <c r="K92" i="8"/>
  <c r="J92" i="8"/>
  <c r="F92" i="8"/>
  <c r="E92" i="8"/>
  <c r="AT91" i="8"/>
  <c r="AS91" i="8"/>
  <c r="AU91" i="8" s="1"/>
  <c r="AR91" i="8"/>
  <c r="AQ91" i="8"/>
  <c r="AP91" i="8"/>
  <c r="AL91" i="8"/>
  <c r="AK91" i="8"/>
  <c r="AG91" i="8"/>
  <c r="AF91" i="8"/>
  <c r="S91" i="8"/>
  <c r="U91" i="8" s="1"/>
  <c r="R91" i="8"/>
  <c r="T91" i="8" s="1"/>
  <c r="P91" i="8"/>
  <c r="O91" i="8"/>
  <c r="K91" i="8"/>
  <c r="J91" i="8"/>
  <c r="F91" i="8"/>
  <c r="E91" i="8"/>
  <c r="AT90" i="8"/>
  <c r="AS90" i="8"/>
  <c r="AR90" i="8"/>
  <c r="AQ90" i="8"/>
  <c r="AP90" i="8"/>
  <c r="AL90" i="8"/>
  <c r="AK90" i="8"/>
  <c r="AG90" i="8"/>
  <c r="AF90" i="8"/>
  <c r="T90" i="8"/>
  <c r="S90" i="8"/>
  <c r="U90" i="8" s="1"/>
  <c r="R90" i="8"/>
  <c r="P90" i="8"/>
  <c r="O90" i="8"/>
  <c r="K90" i="8"/>
  <c r="J90" i="8"/>
  <c r="F90" i="8"/>
  <c r="E90" i="8"/>
  <c r="AT89" i="8"/>
  <c r="AS89" i="8"/>
  <c r="AR89" i="8"/>
  <c r="AV89" i="8" s="1"/>
  <c r="AQ89" i="8"/>
  <c r="AP89" i="8"/>
  <c r="AL89" i="8"/>
  <c r="AK89" i="8"/>
  <c r="AG89" i="8"/>
  <c r="AF89" i="8"/>
  <c r="T89" i="8"/>
  <c r="S89" i="8"/>
  <c r="U89" i="8" s="1"/>
  <c r="R89" i="8"/>
  <c r="P89" i="8"/>
  <c r="O89" i="8"/>
  <c r="K89" i="8"/>
  <c r="J89" i="8"/>
  <c r="F89" i="8"/>
  <c r="E89" i="8"/>
  <c r="AT88" i="8"/>
  <c r="AS88" i="8"/>
  <c r="AR88" i="8"/>
  <c r="AQ88" i="8"/>
  <c r="AP88" i="8"/>
  <c r="AL88" i="8"/>
  <c r="AK88" i="8"/>
  <c r="AG88" i="8"/>
  <c r="AF88" i="8"/>
  <c r="S88" i="8"/>
  <c r="U88" i="8" s="1"/>
  <c r="R88" i="8"/>
  <c r="T88" i="8" s="1"/>
  <c r="P88" i="8"/>
  <c r="O88" i="8"/>
  <c r="K88" i="8"/>
  <c r="J88" i="8"/>
  <c r="F88" i="8"/>
  <c r="E88" i="8"/>
  <c r="AT87" i="8"/>
  <c r="AV87" i="8" s="1"/>
  <c r="AS87" i="8"/>
  <c r="AR87" i="8"/>
  <c r="AQ87" i="8"/>
  <c r="AP87" i="8"/>
  <c r="AL87" i="8"/>
  <c r="AK87" i="8"/>
  <c r="AG87" i="8"/>
  <c r="AF87" i="8"/>
  <c r="S87" i="8"/>
  <c r="U87" i="8" s="1"/>
  <c r="R87" i="8"/>
  <c r="T87" i="8" s="1"/>
  <c r="P87" i="8"/>
  <c r="O87" i="8"/>
  <c r="K87" i="8"/>
  <c r="J87" i="8"/>
  <c r="F87" i="8"/>
  <c r="E87" i="8"/>
  <c r="AV86" i="8"/>
  <c r="AT86" i="8"/>
  <c r="AS86" i="8"/>
  <c r="AR86" i="8"/>
  <c r="AU86" i="8" s="1"/>
  <c r="AQ86" i="8"/>
  <c r="AP86" i="8"/>
  <c r="AL86" i="8"/>
  <c r="AK86" i="8"/>
  <c r="AG86" i="8"/>
  <c r="AF86" i="8"/>
  <c r="S86" i="8"/>
  <c r="U86" i="8" s="1"/>
  <c r="R86" i="8"/>
  <c r="T86" i="8" s="1"/>
  <c r="P86" i="8"/>
  <c r="O86" i="8"/>
  <c r="K86" i="8"/>
  <c r="J86" i="8"/>
  <c r="F86" i="8"/>
  <c r="E86" i="8"/>
  <c r="AT85" i="8"/>
  <c r="AS85" i="8"/>
  <c r="AU85" i="8" s="1"/>
  <c r="AR85" i="8"/>
  <c r="AQ85" i="8"/>
  <c r="AP85" i="8"/>
  <c r="AL85" i="8"/>
  <c r="AK85" i="8"/>
  <c r="AG85" i="8"/>
  <c r="AF85" i="8"/>
  <c r="S85" i="8"/>
  <c r="U85" i="8" s="1"/>
  <c r="R85" i="8"/>
  <c r="T85" i="8" s="1"/>
  <c r="P85" i="8"/>
  <c r="O85" i="8"/>
  <c r="K85" i="8"/>
  <c r="J85" i="8"/>
  <c r="F85" i="8"/>
  <c r="E85" i="8"/>
  <c r="AT84" i="8"/>
  <c r="AV84" i="8" s="1"/>
  <c r="AS84" i="8"/>
  <c r="AU84" i="8" s="1"/>
  <c r="AR84" i="8"/>
  <c r="AQ84" i="8"/>
  <c r="AP84" i="8"/>
  <c r="AL84" i="8"/>
  <c r="AK84" i="8"/>
  <c r="AG84" i="8"/>
  <c r="AF84" i="8"/>
  <c r="U84" i="8"/>
  <c r="S84" i="8"/>
  <c r="R84" i="8"/>
  <c r="T84" i="8" s="1"/>
  <c r="P84" i="8"/>
  <c r="O84" i="8"/>
  <c r="K84" i="8"/>
  <c r="J84" i="8"/>
  <c r="F84" i="8"/>
  <c r="E84" i="8"/>
  <c r="AT83" i="8"/>
  <c r="AS83" i="8"/>
  <c r="AR83" i="8"/>
  <c r="AU83" i="8" s="1"/>
  <c r="AQ83" i="8"/>
  <c r="AP83" i="8"/>
  <c r="AL83" i="8"/>
  <c r="AK83" i="8"/>
  <c r="AG83" i="8"/>
  <c r="AF83" i="8"/>
  <c r="S83" i="8"/>
  <c r="U83" i="8" s="1"/>
  <c r="R83" i="8"/>
  <c r="T83" i="8" s="1"/>
  <c r="P83" i="8"/>
  <c r="O83" i="8"/>
  <c r="K83" i="8"/>
  <c r="J83" i="8"/>
  <c r="F83" i="8"/>
  <c r="E83" i="8"/>
  <c r="AT82" i="8"/>
  <c r="AS82" i="8"/>
  <c r="AR82" i="8"/>
  <c r="AV82" i="8" s="1"/>
  <c r="AQ82" i="8"/>
  <c r="AP82" i="8"/>
  <c r="AL82" i="8"/>
  <c r="AK82" i="8"/>
  <c r="AG82" i="8"/>
  <c r="AF82" i="8"/>
  <c r="T82" i="8"/>
  <c r="S82" i="8"/>
  <c r="U82" i="8" s="1"/>
  <c r="R82" i="8"/>
  <c r="P82" i="8"/>
  <c r="O82" i="8"/>
  <c r="K82" i="8"/>
  <c r="J82" i="8"/>
  <c r="F82" i="8"/>
  <c r="E82" i="8"/>
  <c r="AV81" i="8"/>
  <c r="AT81" i="8"/>
  <c r="AS81" i="8"/>
  <c r="AU81" i="8" s="1"/>
  <c r="AR81" i="8"/>
  <c r="AQ81" i="8"/>
  <c r="AP81" i="8"/>
  <c r="AL81" i="8"/>
  <c r="AK81" i="8"/>
  <c r="AG81" i="8"/>
  <c r="AF81" i="8"/>
  <c r="U81" i="8"/>
  <c r="T81" i="8"/>
  <c r="S81" i="8"/>
  <c r="R81" i="8"/>
  <c r="P81" i="8"/>
  <c r="O81" i="8"/>
  <c r="K81" i="8"/>
  <c r="J81" i="8"/>
  <c r="F81" i="8"/>
  <c r="E81" i="8"/>
  <c r="AT80" i="8"/>
  <c r="AV80" i="8" s="1"/>
  <c r="AS80" i="8"/>
  <c r="AR80" i="8"/>
  <c r="AQ80" i="8"/>
  <c r="AP80" i="8"/>
  <c r="AL80" i="8"/>
  <c r="AK80" i="8"/>
  <c r="AG80" i="8"/>
  <c r="AF80" i="8"/>
  <c r="S80" i="8"/>
  <c r="U80" i="8" s="1"/>
  <c r="R80" i="8"/>
  <c r="T80" i="8" s="1"/>
  <c r="P80" i="8"/>
  <c r="O80" i="8"/>
  <c r="K80" i="8"/>
  <c r="J80" i="8"/>
  <c r="F80" i="8"/>
  <c r="E80" i="8"/>
  <c r="AT79" i="8"/>
  <c r="AS79" i="8"/>
  <c r="AR79" i="8"/>
  <c r="AU79" i="8" s="1"/>
  <c r="AQ79" i="8"/>
  <c r="AP79" i="8"/>
  <c r="AL79" i="8"/>
  <c r="AK79" i="8"/>
  <c r="AG79" i="8"/>
  <c r="AF79" i="8"/>
  <c r="S79" i="8"/>
  <c r="U79" i="8" s="1"/>
  <c r="R79" i="8"/>
  <c r="T79" i="8" s="1"/>
  <c r="P79" i="8"/>
  <c r="O79" i="8"/>
  <c r="K79" i="8"/>
  <c r="J79" i="8"/>
  <c r="F79" i="8"/>
  <c r="E79" i="8"/>
  <c r="AT78" i="8"/>
  <c r="AS78" i="8"/>
  <c r="AU78" i="8" s="1"/>
  <c r="AR78" i="8"/>
  <c r="AV78" i="8" s="1"/>
  <c r="AQ78" i="8"/>
  <c r="AP78" i="8"/>
  <c r="AL78" i="8"/>
  <c r="AK78" i="8"/>
  <c r="AG78" i="8"/>
  <c r="AF78" i="8"/>
  <c r="T78" i="8"/>
  <c r="S78" i="8"/>
  <c r="U78" i="8" s="1"/>
  <c r="R78" i="8"/>
  <c r="P78" i="8"/>
  <c r="O78" i="8"/>
  <c r="K78" i="8"/>
  <c r="J78" i="8"/>
  <c r="F78" i="8"/>
  <c r="E78" i="8"/>
  <c r="AT77" i="8"/>
  <c r="AS77" i="8"/>
  <c r="AU77" i="8" s="1"/>
  <c r="AR77" i="8"/>
  <c r="AQ77" i="8"/>
  <c r="AP77" i="8"/>
  <c r="AL77" i="8"/>
  <c r="AK77" i="8"/>
  <c r="AG77" i="8"/>
  <c r="AF77" i="8"/>
  <c r="U77" i="8"/>
  <c r="S77" i="8"/>
  <c r="R77" i="8"/>
  <c r="T77" i="8" s="1"/>
  <c r="P77" i="8"/>
  <c r="O77" i="8"/>
  <c r="K77" i="8"/>
  <c r="J77" i="8"/>
  <c r="F77" i="8"/>
  <c r="E77" i="8"/>
  <c r="AT76" i="8"/>
  <c r="AS76" i="8"/>
  <c r="AR76" i="8"/>
  <c r="AQ76" i="8"/>
  <c r="AP76" i="8"/>
  <c r="AL76" i="8"/>
  <c r="AK76" i="8"/>
  <c r="AG76" i="8"/>
  <c r="AF76" i="8"/>
  <c r="S76" i="8"/>
  <c r="U76" i="8" s="1"/>
  <c r="R76" i="8"/>
  <c r="T76" i="8" s="1"/>
  <c r="P76" i="8"/>
  <c r="O76" i="8"/>
  <c r="K76" i="8"/>
  <c r="J76" i="8"/>
  <c r="F76" i="8"/>
  <c r="E76" i="8"/>
  <c r="AT75" i="8"/>
  <c r="AS75" i="8"/>
  <c r="AU75" i="8" s="1"/>
  <c r="AR75" i="8"/>
  <c r="AQ75" i="8"/>
  <c r="AP75" i="8"/>
  <c r="AL75" i="8"/>
  <c r="AK75" i="8"/>
  <c r="AG75" i="8"/>
  <c r="AF75" i="8"/>
  <c r="S75" i="8"/>
  <c r="U75" i="8" s="1"/>
  <c r="R75" i="8"/>
  <c r="T75" i="8" s="1"/>
  <c r="P75" i="8"/>
  <c r="O75" i="8"/>
  <c r="K75" i="8"/>
  <c r="J75" i="8"/>
  <c r="F75" i="8"/>
  <c r="E75" i="8"/>
  <c r="AT74" i="8"/>
  <c r="AS74" i="8"/>
  <c r="AR74" i="8"/>
  <c r="AQ74" i="8"/>
  <c r="AP74" i="8"/>
  <c r="AL74" i="8"/>
  <c r="AK74" i="8"/>
  <c r="AG74" i="8"/>
  <c r="AF74" i="8"/>
  <c r="T74" i="8"/>
  <c r="S74" i="8"/>
  <c r="U74" i="8" s="1"/>
  <c r="R74" i="8"/>
  <c r="P74" i="8"/>
  <c r="O74" i="8"/>
  <c r="K74" i="8"/>
  <c r="J74" i="8"/>
  <c r="F74" i="8"/>
  <c r="E74" i="8"/>
  <c r="AT73" i="8"/>
  <c r="AS73" i="8"/>
  <c r="AR73" i="8"/>
  <c r="AV73" i="8" s="1"/>
  <c r="AQ73" i="8"/>
  <c r="AP73" i="8"/>
  <c r="AL73" i="8"/>
  <c r="AK73" i="8"/>
  <c r="AG73" i="8"/>
  <c r="AF73" i="8"/>
  <c r="T73" i="8"/>
  <c r="S73" i="8"/>
  <c r="U73" i="8" s="1"/>
  <c r="R73" i="8"/>
  <c r="P73" i="8"/>
  <c r="O73" i="8"/>
  <c r="K73" i="8"/>
  <c r="J73" i="8"/>
  <c r="F73" i="8"/>
  <c r="E73" i="8"/>
  <c r="AT72" i="8"/>
  <c r="AS72" i="8"/>
  <c r="AR72" i="8"/>
  <c r="AQ72" i="8"/>
  <c r="AP72" i="8"/>
  <c r="AL72" i="8"/>
  <c r="AK72" i="8"/>
  <c r="AG72" i="8"/>
  <c r="AF72" i="8"/>
  <c r="S72" i="8"/>
  <c r="U72" i="8" s="1"/>
  <c r="R72" i="8"/>
  <c r="T72" i="8" s="1"/>
  <c r="P72" i="8"/>
  <c r="O72" i="8"/>
  <c r="K72" i="8"/>
  <c r="J72" i="8"/>
  <c r="F72" i="8"/>
  <c r="E72" i="8"/>
  <c r="AT71" i="8"/>
  <c r="AV71" i="8" s="1"/>
  <c r="AS71" i="8"/>
  <c r="AR71" i="8"/>
  <c r="AQ71" i="8"/>
  <c r="AP71" i="8"/>
  <c r="AL71" i="8"/>
  <c r="AK71" i="8"/>
  <c r="AG71" i="8"/>
  <c r="AF71" i="8"/>
  <c r="S71" i="8"/>
  <c r="U71" i="8" s="1"/>
  <c r="R71" i="8"/>
  <c r="T71" i="8" s="1"/>
  <c r="P71" i="8"/>
  <c r="O71" i="8"/>
  <c r="K71" i="8"/>
  <c r="J71" i="8"/>
  <c r="F71" i="8"/>
  <c r="E71" i="8"/>
  <c r="AV70" i="8"/>
  <c r="AT70" i="8"/>
  <c r="AS70" i="8"/>
  <c r="AR70" i="8"/>
  <c r="AU70" i="8" s="1"/>
  <c r="AQ70" i="8"/>
  <c r="AP70" i="8"/>
  <c r="AL70" i="8"/>
  <c r="AK70" i="8"/>
  <c r="AG70" i="8"/>
  <c r="AF70" i="8"/>
  <c r="S70" i="8"/>
  <c r="U70" i="8" s="1"/>
  <c r="R70" i="8"/>
  <c r="T70" i="8" s="1"/>
  <c r="P70" i="8"/>
  <c r="O70" i="8"/>
  <c r="K70" i="8"/>
  <c r="J70" i="8"/>
  <c r="F70" i="8"/>
  <c r="E70" i="8"/>
  <c r="AT69" i="8"/>
  <c r="AS69" i="8"/>
  <c r="AU69" i="8" s="1"/>
  <c r="AR69" i="8"/>
  <c r="AQ69" i="8"/>
  <c r="AP69" i="8"/>
  <c r="AL69" i="8"/>
  <c r="AK69" i="8"/>
  <c r="AG69" i="8"/>
  <c r="AF69" i="8"/>
  <c r="S69" i="8"/>
  <c r="U69" i="8" s="1"/>
  <c r="R69" i="8"/>
  <c r="T69" i="8" s="1"/>
  <c r="P69" i="8"/>
  <c r="O69" i="8"/>
  <c r="K69" i="8"/>
  <c r="J69" i="8"/>
  <c r="F69" i="8"/>
  <c r="E69" i="8"/>
  <c r="AT68" i="8"/>
  <c r="AV68" i="8" s="1"/>
  <c r="AS68" i="8"/>
  <c r="AU68" i="8" s="1"/>
  <c r="AR68" i="8"/>
  <c r="AQ68" i="8"/>
  <c r="AP68" i="8"/>
  <c r="AL68" i="8"/>
  <c r="AK68" i="8"/>
  <c r="AG68" i="8"/>
  <c r="AF68" i="8"/>
  <c r="U68" i="8"/>
  <c r="S68" i="8"/>
  <c r="R68" i="8"/>
  <c r="T68" i="8" s="1"/>
  <c r="P68" i="8"/>
  <c r="O68" i="8"/>
  <c r="K68" i="8"/>
  <c r="J68" i="8"/>
  <c r="F68" i="8"/>
  <c r="E68" i="8"/>
  <c r="AT67" i="8"/>
  <c r="AS67" i="8"/>
  <c r="AR67" i="8"/>
  <c r="AU67" i="8" s="1"/>
  <c r="AQ67" i="8"/>
  <c r="AP67" i="8"/>
  <c r="AL67" i="8"/>
  <c r="AK67" i="8"/>
  <c r="AG67" i="8"/>
  <c r="AF67" i="8"/>
  <c r="S67" i="8"/>
  <c r="U67" i="8" s="1"/>
  <c r="R67" i="8"/>
  <c r="T67" i="8" s="1"/>
  <c r="P67" i="8"/>
  <c r="O67" i="8"/>
  <c r="K67" i="8"/>
  <c r="J67" i="8"/>
  <c r="F67" i="8"/>
  <c r="E67" i="8"/>
  <c r="AT66" i="8"/>
  <c r="AS66" i="8"/>
  <c r="AR66" i="8"/>
  <c r="AV66" i="8" s="1"/>
  <c r="AQ66" i="8"/>
  <c r="AP66" i="8"/>
  <c r="AL66" i="8"/>
  <c r="AK66" i="8"/>
  <c r="AG66" i="8"/>
  <c r="AF66" i="8"/>
  <c r="T66" i="8"/>
  <c r="S66" i="8"/>
  <c r="U66" i="8" s="1"/>
  <c r="R66" i="8"/>
  <c r="P66" i="8"/>
  <c r="O66" i="8"/>
  <c r="K66" i="8"/>
  <c r="J66" i="8"/>
  <c r="F66" i="8"/>
  <c r="E66" i="8"/>
  <c r="AV65" i="8"/>
  <c r="AT65" i="8"/>
  <c r="AS65" i="8"/>
  <c r="AU65" i="8" s="1"/>
  <c r="AR65" i="8"/>
  <c r="AQ65" i="8"/>
  <c r="AP65" i="8"/>
  <c r="AL65" i="8"/>
  <c r="AK65" i="8"/>
  <c r="AG65" i="8"/>
  <c r="AF65" i="8"/>
  <c r="U65" i="8"/>
  <c r="T65" i="8"/>
  <c r="S65" i="8"/>
  <c r="R65" i="8"/>
  <c r="P65" i="8"/>
  <c r="O65" i="8"/>
  <c r="K65" i="8"/>
  <c r="J65" i="8"/>
  <c r="F65" i="8"/>
  <c r="E65" i="8"/>
  <c r="AT64" i="8"/>
  <c r="AV64" i="8" s="1"/>
  <c r="AS64" i="8"/>
  <c r="AR64" i="8"/>
  <c r="AQ64" i="8"/>
  <c r="AP64" i="8"/>
  <c r="AL64" i="8"/>
  <c r="AK64" i="8"/>
  <c r="AG64" i="8"/>
  <c r="AF64" i="8"/>
  <c r="S64" i="8"/>
  <c r="U64" i="8" s="1"/>
  <c r="R64" i="8"/>
  <c r="T64" i="8" s="1"/>
  <c r="P64" i="8"/>
  <c r="O64" i="8"/>
  <c r="K64" i="8"/>
  <c r="J64" i="8"/>
  <c r="F64" i="8"/>
  <c r="E64" i="8"/>
  <c r="AT63" i="8"/>
  <c r="AS63" i="8"/>
  <c r="AR63" i="8"/>
  <c r="AU63" i="8" s="1"/>
  <c r="AQ63" i="8"/>
  <c r="AP63" i="8"/>
  <c r="AL63" i="8"/>
  <c r="AK63" i="8"/>
  <c r="AG63" i="8"/>
  <c r="AF63" i="8"/>
  <c r="S63" i="8"/>
  <c r="U63" i="8" s="1"/>
  <c r="R63" i="8"/>
  <c r="T63" i="8" s="1"/>
  <c r="P63" i="8"/>
  <c r="O63" i="8"/>
  <c r="K63" i="8"/>
  <c r="J63" i="8"/>
  <c r="F63" i="8"/>
  <c r="E63" i="8"/>
  <c r="AT62" i="8"/>
  <c r="AS62" i="8"/>
  <c r="AU62" i="8" s="1"/>
  <c r="AR62" i="8"/>
  <c r="AV62" i="8" s="1"/>
  <c r="AQ62" i="8"/>
  <c r="AP62" i="8"/>
  <c r="AL62" i="8"/>
  <c r="AK62" i="8"/>
  <c r="AG62" i="8"/>
  <c r="AF62" i="8"/>
  <c r="T62" i="8"/>
  <c r="S62" i="8"/>
  <c r="U62" i="8" s="1"/>
  <c r="R62" i="8"/>
  <c r="P62" i="8"/>
  <c r="O62" i="8"/>
  <c r="K62" i="8"/>
  <c r="J62" i="8"/>
  <c r="F62" i="8"/>
  <c r="E62" i="8"/>
  <c r="AT61" i="8"/>
  <c r="AS61" i="8"/>
  <c r="AU61" i="8" s="1"/>
  <c r="AR61" i="8"/>
  <c r="AQ61" i="8"/>
  <c r="AP61" i="8"/>
  <c r="AL61" i="8"/>
  <c r="AK61" i="8"/>
  <c r="AG61" i="8"/>
  <c r="AF61" i="8"/>
  <c r="U61" i="8"/>
  <c r="S61" i="8"/>
  <c r="R61" i="8"/>
  <c r="T61" i="8" s="1"/>
  <c r="P61" i="8"/>
  <c r="O61" i="8"/>
  <c r="K61" i="8"/>
  <c r="J61" i="8"/>
  <c r="F61" i="8"/>
  <c r="E61" i="8"/>
  <c r="AT60" i="8"/>
  <c r="AS60" i="8"/>
  <c r="AR60" i="8"/>
  <c r="AQ60" i="8"/>
  <c r="AP60" i="8"/>
  <c r="AL60" i="8"/>
  <c r="AK60" i="8"/>
  <c r="AG60" i="8"/>
  <c r="AF60" i="8"/>
  <c r="S60" i="8"/>
  <c r="U60" i="8" s="1"/>
  <c r="R60" i="8"/>
  <c r="T60" i="8" s="1"/>
  <c r="P60" i="8"/>
  <c r="O60" i="8"/>
  <c r="K60" i="8"/>
  <c r="J60" i="8"/>
  <c r="F60" i="8"/>
  <c r="E60" i="8"/>
  <c r="AT59" i="8"/>
  <c r="AS59" i="8"/>
  <c r="AU59" i="8" s="1"/>
  <c r="AR59" i="8"/>
  <c r="AQ59" i="8"/>
  <c r="AP59" i="8"/>
  <c r="AL59" i="8"/>
  <c r="AK59" i="8"/>
  <c r="AG59" i="8"/>
  <c r="AF59" i="8"/>
  <c r="S59" i="8"/>
  <c r="U59" i="8" s="1"/>
  <c r="R59" i="8"/>
  <c r="T59" i="8" s="1"/>
  <c r="P59" i="8"/>
  <c r="O59" i="8"/>
  <c r="K59" i="8"/>
  <c r="J59" i="8"/>
  <c r="F59" i="8"/>
  <c r="E59" i="8"/>
  <c r="AT58" i="8"/>
  <c r="AS58" i="8"/>
  <c r="AR58" i="8"/>
  <c r="AQ58" i="8"/>
  <c r="AP58" i="8"/>
  <c r="AL58" i="8"/>
  <c r="AK58" i="8"/>
  <c r="AG58" i="8"/>
  <c r="AF58" i="8"/>
  <c r="T58" i="8"/>
  <c r="S58" i="8"/>
  <c r="U58" i="8" s="1"/>
  <c r="R58" i="8"/>
  <c r="P58" i="8"/>
  <c r="O58" i="8"/>
  <c r="K58" i="8"/>
  <c r="J58" i="8"/>
  <c r="F58" i="8"/>
  <c r="E58" i="8"/>
  <c r="AT57" i="8"/>
  <c r="AS57" i="8"/>
  <c r="AR57" i="8"/>
  <c r="AV57" i="8" s="1"/>
  <c r="AQ57" i="8"/>
  <c r="AP57" i="8"/>
  <c r="AL57" i="8"/>
  <c r="AK57" i="8"/>
  <c r="AG57" i="8"/>
  <c r="AF57" i="8"/>
  <c r="T57" i="8"/>
  <c r="S57" i="8"/>
  <c r="U57" i="8" s="1"/>
  <c r="R57" i="8"/>
  <c r="P57" i="8"/>
  <c r="O57" i="8"/>
  <c r="K57" i="8"/>
  <c r="J57" i="8"/>
  <c r="F57" i="8"/>
  <c r="E57" i="8"/>
  <c r="AT56" i="8"/>
  <c r="AS56" i="8"/>
  <c r="AR56" i="8"/>
  <c r="AQ56" i="8"/>
  <c r="AP56" i="8"/>
  <c r="AL56" i="8"/>
  <c r="AK56" i="8"/>
  <c r="AG56" i="8"/>
  <c r="AF56" i="8"/>
  <c r="S56" i="8"/>
  <c r="U56" i="8" s="1"/>
  <c r="R56" i="8"/>
  <c r="T56" i="8" s="1"/>
  <c r="P56" i="8"/>
  <c r="O56" i="8"/>
  <c r="K56" i="8"/>
  <c r="J56" i="8"/>
  <c r="F56" i="8"/>
  <c r="E56" i="8"/>
  <c r="AT55" i="8"/>
  <c r="AV55" i="8" s="1"/>
  <c r="AS55" i="8"/>
  <c r="AR55" i="8"/>
  <c r="AQ55" i="8"/>
  <c r="AP55" i="8"/>
  <c r="AL55" i="8"/>
  <c r="AK55" i="8"/>
  <c r="AG55" i="8"/>
  <c r="AF55" i="8"/>
  <c r="S55" i="8"/>
  <c r="U55" i="8" s="1"/>
  <c r="R55" i="8"/>
  <c r="T55" i="8" s="1"/>
  <c r="P55" i="8"/>
  <c r="O55" i="8"/>
  <c r="K55" i="8"/>
  <c r="J55" i="8"/>
  <c r="F55" i="8"/>
  <c r="E55" i="8"/>
  <c r="AV54" i="8"/>
  <c r="AT54" i="8"/>
  <c r="AS54" i="8"/>
  <c r="AR54" i="8"/>
  <c r="AU54" i="8" s="1"/>
  <c r="AQ54" i="8"/>
  <c r="AP54" i="8"/>
  <c r="AL54" i="8"/>
  <c r="AK54" i="8"/>
  <c r="AG54" i="8"/>
  <c r="AF54" i="8"/>
  <c r="S54" i="8"/>
  <c r="U54" i="8" s="1"/>
  <c r="R54" i="8"/>
  <c r="T54" i="8" s="1"/>
  <c r="P54" i="8"/>
  <c r="O54" i="8"/>
  <c r="K54" i="8"/>
  <c r="J54" i="8"/>
  <c r="F54" i="8"/>
  <c r="E54" i="8"/>
  <c r="AT53" i="8"/>
  <c r="AS53" i="8"/>
  <c r="AU53" i="8" s="1"/>
  <c r="AR53" i="8"/>
  <c r="AQ53" i="8"/>
  <c r="AP53" i="8"/>
  <c r="AL53" i="8"/>
  <c r="AK53" i="8"/>
  <c r="AG53" i="8"/>
  <c r="AF53" i="8"/>
  <c r="S53" i="8"/>
  <c r="U53" i="8" s="1"/>
  <c r="R53" i="8"/>
  <c r="T53" i="8" s="1"/>
  <c r="P53" i="8"/>
  <c r="O53" i="8"/>
  <c r="K53" i="8"/>
  <c r="J53" i="8"/>
  <c r="F53" i="8"/>
  <c r="E53" i="8"/>
  <c r="AT52" i="8"/>
  <c r="AV52" i="8" s="1"/>
  <c r="AS52" i="8"/>
  <c r="AU52" i="8" s="1"/>
  <c r="AR52" i="8"/>
  <c r="AQ52" i="8"/>
  <c r="AP52" i="8"/>
  <c r="AL52" i="8"/>
  <c r="AK52" i="8"/>
  <c r="AG52" i="8"/>
  <c r="AF52" i="8"/>
  <c r="U52" i="8"/>
  <c r="S52" i="8"/>
  <c r="R52" i="8"/>
  <c r="T52" i="8" s="1"/>
  <c r="P52" i="8"/>
  <c r="O52" i="8"/>
  <c r="K52" i="8"/>
  <c r="J52" i="8"/>
  <c r="F52" i="8"/>
  <c r="E52" i="8"/>
  <c r="AT51" i="8"/>
  <c r="AS51" i="8"/>
  <c r="AR51" i="8"/>
  <c r="AU51" i="8" s="1"/>
  <c r="AQ51" i="8"/>
  <c r="AP51" i="8"/>
  <c r="AL51" i="8"/>
  <c r="AK51" i="8"/>
  <c r="AG51" i="8"/>
  <c r="AF51" i="8"/>
  <c r="S51" i="8"/>
  <c r="U51" i="8" s="1"/>
  <c r="R51" i="8"/>
  <c r="T51" i="8" s="1"/>
  <c r="P51" i="8"/>
  <c r="O51" i="8"/>
  <c r="K51" i="8"/>
  <c r="J51" i="8"/>
  <c r="F51" i="8"/>
  <c r="E51" i="8"/>
  <c r="AT50" i="8"/>
  <c r="AS50" i="8"/>
  <c r="AR50" i="8"/>
  <c r="AV50" i="8" s="1"/>
  <c r="AQ50" i="8"/>
  <c r="AP50" i="8"/>
  <c r="AL50" i="8"/>
  <c r="AK50" i="8"/>
  <c r="AG50" i="8"/>
  <c r="AF50" i="8"/>
  <c r="T50" i="8"/>
  <c r="S50" i="8"/>
  <c r="U50" i="8" s="1"/>
  <c r="R50" i="8"/>
  <c r="P50" i="8"/>
  <c r="O50" i="8"/>
  <c r="K50" i="8"/>
  <c r="J50" i="8"/>
  <c r="F50" i="8"/>
  <c r="E50" i="8"/>
  <c r="AV49" i="8"/>
  <c r="AT49" i="8"/>
  <c r="AS49" i="8"/>
  <c r="AU49" i="8" s="1"/>
  <c r="AR49" i="8"/>
  <c r="AQ49" i="8"/>
  <c r="AP49" i="8"/>
  <c r="AL49" i="8"/>
  <c r="AK49" i="8"/>
  <c r="AG49" i="8"/>
  <c r="AF49" i="8"/>
  <c r="U49" i="8"/>
  <c r="T49" i="8"/>
  <c r="S49" i="8"/>
  <c r="R49" i="8"/>
  <c r="P49" i="8"/>
  <c r="O49" i="8"/>
  <c r="K49" i="8"/>
  <c r="J49" i="8"/>
  <c r="F49" i="8"/>
  <c r="E49" i="8"/>
  <c r="AT48" i="8"/>
  <c r="AV48" i="8" s="1"/>
  <c r="AS48" i="8"/>
  <c r="AU48" i="8" s="1"/>
  <c r="AR48" i="8"/>
  <c r="AQ48" i="8"/>
  <c r="AP48" i="8"/>
  <c r="AL48" i="8"/>
  <c r="AK48" i="8"/>
  <c r="AG48" i="8"/>
  <c r="AF48" i="8"/>
  <c r="S48" i="8"/>
  <c r="U48" i="8" s="1"/>
  <c r="R48" i="8"/>
  <c r="T48" i="8" s="1"/>
  <c r="P48" i="8"/>
  <c r="O48" i="8"/>
  <c r="K48" i="8"/>
  <c r="J48" i="8"/>
  <c r="F48" i="8"/>
  <c r="E48" i="8"/>
  <c r="AT47" i="8"/>
  <c r="AS47" i="8"/>
  <c r="AR47" i="8"/>
  <c r="AU47" i="8" s="1"/>
  <c r="AQ47" i="8"/>
  <c r="AP47" i="8"/>
  <c r="AL47" i="8"/>
  <c r="AK47" i="8"/>
  <c r="AG47" i="8"/>
  <c r="AF47" i="8"/>
  <c r="S47" i="8"/>
  <c r="U47" i="8" s="1"/>
  <c r="R47" i="8"/>
  <c r="T47" i="8" s="1"/>
  <c r="P47" i="8"/>
  <c r="O47" i="8"/>
  <c r="K47" i="8"/>
  <c r="J47" i="8"/>
  <c r="F47" i="8"/>
  <c r="E47" i="8"/>
  <c r="AT46" i="8"/>
  <c r="AS46" i="8"/>
  <c r="AU46" i="8" s="1"/>
  <c r="AR46" i="8"/>
  <c r="AV46" i="8" s="1"/>
  <c r="AQ46" i="8"/>
  <c r="AP46" i="8"/>
  <c r="AL46" i="8"/>
  <c r="AK46" i="8"/>
  <c r="AG46" i="8"/>
  <c r="AF46" i="8"/>
  <c r="T46" i="8"/>
  <c r="S46" i="8"/>
  <c r="U46" i="8" s="1"/>
  <c r="R46" i="8"/>
  <c r="P46" i="8"/>
  <c r="O46" i="8"/>
  <c r="K46" i="8"/>
  <c r="J46" i="8"/>
  <c r="F46" i="8"/>
  <c r="E46" i="8"/>
  <c r="AT45" i="8"/>
  <c r="AS45" i="8"/>
  <c r="AU45" i="8" s="1"/>
  <c r="AR45" i="8"/>
  <c r="AQ45" i="8"/>
  <c r="AP45" i="8"/>
  <c r="AL45" i="8"/>
  <c r="AK45" i="8"/>
  <c r="AG45" i="8"/>
  <c r="AF45" i="8"/>
  <c r="U45" i="8"/>
  <c r="S45" i="8"/>
  <c r="R45" i="8"/>
  <c r="T45" i="8" s="1"/>
  <c r="P45" i="8"/>
  <c r="O45" i="8"/>
  <c r="K45" i="8"/>
  <c r="J45" i="8"/>
  <c r="F45" i="8"/>
  <c r="E45" i="8"/>
  <c r="AT44" i="8"/>
  <c r="AS44" i="8"/>
  <c r="AR44" i="8"/>
  <c r="AQ44" i="8"/>
  <c r="AP44" i="8"/>
  <c r="AL44" i="8"/>
  <c r="AK44" i="8"/>
  <c r="AG44" i="8"/>
  <c r="AF44" i="8"/>
  <c r="S44" i="8"/>
  <c r="U44" i="8" s="1"/>
  <c r="R44" i="8"/>
  <c r="T44" i="8" s="1"/>
  <c r="P44" i="8"/>
  <c r="O44" i="8"/>
  <c r="K44" i="8"/>
  <c r="J44" i="8"/>
  <c r="F44" i="8"/>
  <c r="E44" i="8"/>
  <c r="AT43" i="8"/>
  <c r="AS43" i="8"/>
  <c r="AU43" i="8" s="1"/>
  <c r="AR43" i="8"/>
  <c r="AQ43" i="8"/>
  <c r="AP43" i="8"/>
  <c r="AL43" i="8"/>
  <c r="AK43" i="8"/>
  <c r="AG43" i="8"/>
  <c r="AF43" i="8"/>
  <c r="S43" i="8"/>
  <c r="U43" i="8" s="1"/>
  <c r="R43" i="8"/>
  <c r="T43" i="8" s="1"/>
  <c r="P43" i="8"/>
  <c r="O43" i="8"/>
  <c r="K43" i="8"/>
  <c r="J43" i="8"/>
  <c r="F43" i="8"/>
  <c r="E43" i="8"/>
  <c r="AT42" i="8"/>
  <c r="AS42" i="8"/>
  <c r="AR42" i="8"/>
  <c r="AQ42" i="8"/>
  <c r="AP42" i="8"/>
  <c r="AL42" i="8"/>
  <c r="AK42" i="8"/>
  <c r="AG42" i="8"/>
  <c r="AF42" i="8"/>
  <c r="T42" i="8"/>
  <c r="S42" i="8"/>
  <c r="U42" i="8" s="1"/>
  <c r="R42" i="8"/>
  <c r="P42" i="8"/>
  <c r="O42" i="8"/>
  <c r="K42" i="8"/>
  <c r="J42" i="8"/>
  <c r="F42" i="8"/>
  <c r="E42" i="8"/>
  <c r="AT41" i="8"/>
  <c r="AS41" i="8"/>
  <c r="AR41" i="8"/>
  <c r="AV41" i="8" s="1"/>
  <c r="AQ41" i="8"/>
  <c r="AP41" i="8"/>
  <c r="AL41" i="8"/>
  <c r="AK41" i="8"/>
  <c r="AG41" i="8"/>
  <c r="AF41" i="8"/>
  <c r="T41" i="8"/>
  <c r="S41" i="8"/>
  <c r="U41" i="8" s="1"/>
  <c r="R41" i="8"/>
  <c r="P41" i="8"/>
  <c r="O41" i="8"/>
  <c r="K41" i="8"/>
  <c r="J41" i="8"/>
  <c r="F41" i="8"/>
  <c r="E41" i="8"/>
  <c r="AT40" i="8"/>
  <c r="AS40" i="8"/>
  <c r="AR40" i="8"/>
  <c r="AQ40" i="8"/>
  <c r="AP40" i="8"/>
  <c r="AL40" i="8"/>
  <c r="AK40" i="8"/>
  <c r="AG40" i="8"/>
  <c r="AF40" i="8"/>
  <c r="S40" i="8"/>
  <c r="U40" i="8" s="1"/>
  <c r="R40" i="8"/>
  <c r="T40" i="8" s="1"/>
  <c r="P40" i="8"/>
  <c r="O40" i="8"/>
  <c r="K40" i="8"/>
  <c r="J40" i="8"/>
  <c r="F40" i="8"/>
  <c r="E40" i="8"/>
  <c r="AT39" i="8"/>
  <c r="AV39" i="8" s="1"/>
  <c r="AS39" i="8"/>
  <c r="AR39" i="8"/>
  <c r="AQ39" i="8"/>
  <c r="AP39" i="8"/>
  <c r="AL39" i="8"/>
  <c r="AK39" i="8"/>
  <c r="AG39" i="8"/>
  <c r="AF39" i="8"/>
  <c r="S39" i="8"/>
  <c r="U39" i="8" s="1"/>
  <c r="R39" i="8"/>
  <c r="T39" i="8" s="1"/>
  <c r="P39" i="8"/>
  <c r="O39" i="8"/>
  <c r="K39" i="8"/>
  <c r="J39" i="8"/>
  <c r="F39" i="8"/>
  <c r="E39" i="8"/>
  <c r="AV38" i="8"/>
  <c r="AT38" i="8"/>
  <c r="AS38" i="8"/>
  <c r="AR38" i="8"/>
  <c r="AU38" i="8" s="1"/>
  <c r="AQ38" i="8"/>
  <c r="AP38" i="8"/>
  <c r="AL38" i="8"/>
  <c r="AK38" i="8"/>
  <c r="AG38" i="8"/>
  <c r="AF38" i="8"/>
  <c r="S38" i="8"/>
  <c r="U38" i="8" s="1"/>
  <c r="R38" i="8"/>
  <c r="T38" i="8" s="1"/>
  <c r="P38" i="8"/>
  <c r="O38" i="8"/>
  <c r="K38" i="8"/>
  <c r="J38" i="8"/>
  <c r="F38" i="8"/>
  <c r="E38" i="8"/>
  <c r="AT37" i="8"/>
  <c r="AS37" i="8"/>
  <c r="AU37" i="8" s="1"/>
  <c r="AR37" i="8"/>
  <c r="AQ37" i="8"/>
  <c r="AP37" i="8"/>
  <c r="AL37" i="8"/>
  <c r="AK37" i="8"/>
  <c r="AG37" i="8"/>
  <c r="AF37" i="8"/>
  <c r="S37" i="8"/>
  <c r="U37" i="8" s="1"/>
  <c r="R37" i="8"/>
  <c r="T37" i="8" s="1"/>
  <c r="P37" i="8"/>
  <c r="O37" i="8"/>
  <c r="K37" i="8"/>
  <c r="J37" i="8"/>
  <c r="F37" i="8"/>
  <c r="E37" i="8"/>
  <c r="AT36" i="8"/>
  <c r="AV36" i="8" s="1"/>
  <c r="AS36" i="8"/>
  <c r="AU36" i="8" s="1"/>
  <c r="AR36" i="8"/>
  <c r="AQ36" i="8"/>
  <c r="AP36" i="8"/>
  <c r="AL36" i="8"/>
  <c r="AK36" i="8"/>
  <c r="AG36" i="8"/>
  <c r="AF36" i="8"/>
  <c r="U36" i="8"/>
  <c r="S36" i="8"/>
  <c r="R36" i="8"/>
  <c r="T36" i="8" s="1"/>
  <c r="P36" i="8"/>
  <c r="O36" i="8"/>
  <c r="K36" i="8"/>
  <c r="J36" i="8"/>
  <c r="F36" i="8"/>
  <c r="E36" i="8"/>
  <c r="AT35" i="8"/>
  <c r="AS35" i="8"/>
  <c r="AR35" i="8"/>
  <c r="AU35" i="8" s="1"/>
  <c r="AQ35" i="8"/>
  <c r="AP35" i="8"/>
  <c r="AL35" i="8"/>
  <c r="AK35" i="8"/>
  <c r="AG35" i="8"/>
  <c r="AF35" i="8"/>
  <c r="S35" i="8"/>
  <c r="U35" i="8" s="1"/>
  <c r="R35" i="8"/>
  <c r="T35" i="8" s="1"/>
  <c r="P35" i="8"/>
  <c r="O35" i="8"/>
  <c r="K35" i="8"/>
  <c r="J35" i="8"/>
  <c r="F35" i="8"/>
  <c r="E35" i="8"/>
  <c r="AT34" i="8"/>
  <c r="AS34" i="8"/>
  <c r="AR34" i="8"/>
  <c r="AV34" i="8" s="1"/>
  <c r="AQ34" i="8"/>
  <c r="AP34" i="8"/>
  <c r="AL34" i="8"/>
  <c r="AK34" i="8"/>
  <c r="AG34" i="8"/>
  <c r="AF34" i="8"/>
  <c r="T34" i="8"/>
  <c r="S34" i="8"/>
  <c r="U34" i="8" s="1"/>
  <c r="R34" i="8"/>
  <c r="P34" i="8"/>
  <c r="O34" i="8"/>
  <c r="K34" i="8"/>
  <c r="J34" i="8"/>
  <c r="F34" i="8"/>
  <c r="E34" i="8"/>
  <c r="AV33" i="8"/>
  <c r="AT33" i="8"/>
  <c r="AS33" i="8"/>
  <c r="AU33" i="8" s="1"/>
  <c r="AR33" i="8"/>
  <c r="AQ33" i="8"/>
  <c r="AP33" i="8"/>
  <c r="AL33" i="8"/>
  <c r="AK33" i="8"/>
  <c r="AG33" i="8"/>
  <c r="AF33" i="8"/>
  <c r="U33" i="8"/>
  <c r="T33" i="8"/>
  <c r="S33" i="8"/>
  <c r="R33" i="8"/>
  <c r="P33" i="8"/>
  <c r="O33" i="8"/>
  <c r="K33" i="8"/>
  <c r="J33" i="8"/>
  <c r="F33" i="8"/>
  <c r="E33" i="8"/>
  <c r="AT32" i="8"/>
  <c r="AV32" i="8" s="1"/>
  <c r="AS32" i="8"/>
  <c r="AR32" i="8"/>
  <c r="AQ32" i="8"/>
  <c r="AP32" i="8"/>
  <c r="AL32" i="8"/>
  <c r="AK32" i="8"/>
  <c r="AG32" i="8"/>
  <c r="AF32" i="8"/>
  <c r="S32" i="8"/>
  <c r="U32" i="8" s="1"/>
  <c r="R32" i="8"/>
  <c r="T32" i="8" s="1"/>
  <c r="P32" i="8"/>
  <c r="O32" i="8"/>
  <c r="K32" i="8"/>
  <c r="J32" i="8"/>
  <c r="F32" i="8"/>
  <c r="E32" i="8"/>
  <c r="AT31" i="8"/>
  <c r="AS31" i="8"/>
  <c r="AR31" i="8"/>
  <c r="AU31" i="8" s="1"/>
  <c r="AQ31" i="8"/>
  <c r="AP31" i="8"/>
  <c r="AL31" i="8"/>
  <c r="AK31" i="8"/>
  <c r="AG31" i="8"/>
  <c r="AF31" i="8"/>
  <c r="S31" i="8"/>
  <c r="U31" i="8" s="1"/>
  <c r="R31" i="8"/>
  <c r="T31" i="8" s="1"/>
  <c r="P31" i="8"/>
  <c r="O31" i="8"/>
  <c r="K31" i="8"/>
  <c r="J31" i="8"/>
  <c r="F31" i="8"/>
  <c r="E31" i="8"/>
  <c r="AT30" i="8"/>
  <c r="AS30" i="8"/>
  <c r="AU30" i="8" s="1"/>
  <c r="AR30" i="8"/>
  <c r="AV30" i="8" s="1"/>
  <c r="AQ30" i="8"/>
  <c r="AP30" i="8"/>
  <c r="AL30" i="8"/>
  <c r="AK30" i="8"/>
  <c r="AG30" i="8"/>
  <c r="AF30" i="8"/>
  <c r="T30" i="8"/>
  <c r="S30" i="8"/>
  <c r="U30" i="8" s="1"/>
  <c r="R30" i="8"/>
  <c r="P30" i="8"/>
  <c r="O30" i="8"/>
  <c r="K30" i="8"/>
  <c r="J30" i="8"/>
  <c r="F30" i="8"/>
  <c r="E30" i="8"/>
  <c r="AT29" i="8"/>
  <c r="AS29" i="8"/>
  <c r="AU29" i="8" s="1"/>
  <c r="AR29" i="8"/>
  <c r="AQ29" i="8"/>
  <c r="AP29" i="8"/>
  <c r="AL29" i="8"/>
  <c r="AK29" i="8"/>
  <c r="AG29" i="8"/>
  <c r="AF29" i="8"/>
  <c r="U29" i="8"/>
  <c r="S29" i="8"/>
  <c r="R29" i="8"/>
  <c r="T29" i="8" s="1"/>
  <c r="P29" i="8"/>
  <c r="O29" i="8"/>
  <c r="K29" i="8"/>
  <c r="J29" i="8"/>
  <c r="F29" i="8"/>
  <c r="E29" i="8"/>
  <c r="AT28" i="8"/>
  <c r="AS28" i="8"/>
  <c r="AR28" i="8"/>
  <c r="AQ28" i="8"/>
  <c r="AP28" i="8"/>
  <c r="AL28" i="8"/>
  <c r="AK28" i="8"/>
  <c r="AG28" i="8"/>
  <c r="AF28" i="8"/>
  <c r="S28" i="8"/>
  <c r="U28" i="8" s="1"/>
  <c r="R28" i="8"/>
  <c r="T28" i="8" s="1"/>
  <c r="P28" i="8"/>
  <c r="O28" i="8"/>
  <c r="K28" i="8"/>
  <c r="J28" i="8"/>
  <c r="F28" i="8"/>
  <c r="E28" i="8"/>
  <c r="AT27" i="8"/>
  <c r="AS27" i="8"/>
  <c r="AU27" i="8" s="1"/>
  <c r="AR27" i="8"/>
  <c r="AQ27" i="8"/>
  <c r="AP27" i="8"/>
  <c r="AL27" i="8"/>
  <c r="AK27" i="8"/>
  <c r="AG27" i="8"/>
  <c r="AF27" i="8"/>
  <c r="S27" i="8"/>
  <c r="U27" i="8" s="1"/>
  <c r="R27" i="8"/>
  <c r="T27" i="8" s="1"/>
  <c r="P27" i="8"/>
  <c r="O27" i="8"/>
  <c r="K27" i="8"/>
  <c r="J27" i="8"/>
  <c r="F27" i="8"/>
  <c r="E27" i="8"/>
  <c r="AT26" i="8"/>
  <c r="AS26" i="8"/>
  <c r="AR26" i="8"/>
  <c r="AQ26" i="8"/>
  <c r="AP26" i="8"/>
  <c r="AL26" i="8"/>
  <c r="AK26" i="8"/>
  <c r="AG26" i="8"/>
  <c r="AF26" i="8"/>
  <c r="T26" i="8"/>
  <c r="S26" i="8"/>
  <c r="U26" i="8" s="1"/>
  <c r="R26" i="8"/>
  <c r="P26" i="8"/>
  <c r="O26" i="8"/>
  <c r="K26" i="8"/>
  <c r="J26" i="8"/>
  <c r="F26" i="8"/>
  <c r="E26" i="8"/>
  <c r="AT25" i="8"/>
  <c r="AS25" i="8"/>
  <c r="AR25" i="8"/>
  <c r="AV25" i="8" s="1"/>
  <c r="AQ25" i="8"/>
  <c r="AP25" i="8"/>
  <c r="AL25" i="8"/>
  <c r="AK25" i="8"/>
  <c r="AG25" i="8"/>
  <c r="AF25" i="8"/>
  <c r="T25" i="8"/>
  <c r="S25" i="8"/>
  <c r="U25" i="8" s="1"/>
  <c r="R25" i="8"/>
  <c r="P25" i="8"/>
  <c r="O25" i="8"/>
  <c r="K25" i="8"/>
  <c r="J25" i="8"/>
  <c r="F25" i="8"/>
  <c r="E25" i="8"/>
  <c r="AT24" i="8"/>
  <c r="AS24" i="8"/>
  <c r="AR24" i="8"/>
  <c r="AQ24" i="8"/>
  <c r="AP24" i="8"/>
  <c r="AL24" i="8"/>
  <c r="AK24" i="8"/>
  <c r="AG24" i="8"/>
  <c r="AF24" i="8"/>
  <c r="S24" i="8"/>
  <c r="U24" i="8" s="1"/>
  <c r="R24" i="8"/>
  <c r="T24" i="8" s="1"/>
  <c r="P24" i="8"/>
  <c r="O24" i="8"/>
  <c r="K24" i="8"/>
  <c r="J24" i="8"/>
  <c r="F24" i="8"/>
  <c r="E24" i="8"/>
  <c r="AT23" i="8"/>
  <c r="AV23" i="8" s="1"/>
  <c r="AS23" i="8"/>
  <c r="AR23" i="8"/>
  <c r="AQ23" i="8"/>
  <c r="AP23" i="8"/>
  <c r="AL23" i="8"/>
  <c r="AK23" i="8"/>
  <c r="AG23" i="8"/>
  <c r="AF23" i="8"/>
  <c r="S23" i="8"/>
  <c r="U23" i="8" s="1"/>
  <c r="R23" i="8"/>
  <c r="T23" i="8" s="1"/>
  <c r="P23" i="8"/>
  <c r="O23" i="8"/>
  <c r="K23" i="8"/>
  <c r="J23" i="8"/>
  <c r="F23" i="8"/>
  <c r="E23" i="8"/>
  <c r="AV22" i="8"/>
  <c r="AT22" i="8"/>
  <c r="AS22" i="8"/>
  <c r="AR22" i="8"/>
  <c r="AU22" i="8" s="1"/>
  <c r="AQ22" i="8"/>
  <c r="AP22" i="8"/>
  <c r="AL22" i="8"/>
  <c r="AK22" i="8"/>
  <c r="AG22" i="8"/>
  <c r="AF22" i="8"/>
  <c r="S22" i="8"/>
  <c r="U22" i="8" s="1"/>
  <c r="R22" i="8"/>
  <c r="T22" i="8" s="1"/>
  <c r="P22" i="8"/>
  <c r="O22" i="8"/>
  <c r="K22" i="8"/>
  <c r="J22" i="8"/>
  <c r="F22" i="8"/>
  <c r="E22" i="8"/>
  <c r="AT21" i="8"/>
  <c r="AS21" i="8"/>
  <c r="AU21" i="8" s="1"/>
  <c r="AR21" i="8"/>
  <c r="AQ21" i="8"/>
  <c r="AP21" i="8"/>
  <c r="AL21" i="8"/>
  <c r="AK21" i="8"/>
  <c r="AG21" i="8"/>
  <c r="AF21" i="8"/>
  <c r="S21" i="8"/>
  <c r="U21" i="8" s="1"/>
  <c r="R21" i="8"/>
  <c r="T21" i="8" s="1"/>
  <c r="P21" i="8"/>
  <c r="O21" i="8"/>
  <c r="K21" i="8"/>
  <c r="J21" i="8"/>
  <c r="F21" i="8"/>
  <c r="E21" i="8"/>
  <c r="AT20" i="8"/>
  <c r="AV20" i="8" s="1"/>
  <c r="AS20" i="8"/>
  <c r="AU20" i="8" s="1"/>
  <c r="AR20" i="8"/>
  <c r="AQ20" i="8"/>
  <c r="AP20" i="8"/>
  <c r="AL20" i="8"/>
  <c r="AK20" i="8"/>
  <c r="AG20" i="8"/>
  <c r="AF20" i="8"/>
  <c r="U20" i="8"/>
  <c r="S20" i="8"/>
  <c r="R20" i="8"/>
  <c r="T20" i="8" s="1"/>
  <c r="P20" i="8"/>
  <c r="O20" i="8"/>
  <c r="K20" i="8"/>
  <c r="J20" i="8"/>
  <c r="F20" i="8"/>
  <c r="E20" i="8"/>
  <c r="AT19" i="8"/>
  <c r="AS19" i="8"/>
  <c r="AR19" i="8"/>
  <c r="AU19" i="8" s="1"/>
  <c r="AQ19" i="8"/>
  <c r="AP19" i="8"/>
  <c r="AL19" i="8"/>
  <c r="AK19" i="8"/>
  <c r="AG19" i="8"/>
  <c r="AF19" i="8"/>
  <c r="S19" i="8"/>
  <c r="U19" i="8" s="1"/>
  <c r="R19" i="8"/>
  <c r="T19" i="8" s="1"/>
  <c r="P19" i="8"/>
  <c r="O19" i="8"/>
  <c r="K19" i="8"/>
  <c r="J19" i="8"/>
  <c r="F19" i="8"/>
  <c r="E19" i="8"/>
  <c r="AT18" i="8"/>
  <c r="AS18" i="8"/>
  <c r="AR18" i="8"/>
  <c r="AV18" i="8" s="1"/>
  <c r="AQ18" i="8"/>
  <c r="AP18" i="8"/>
  <c r="AL18" i="8"/>
  <c r="AK18" i="8"/>
  <c r="AG18" i="8"/>
  <c r="AF18" i="8"/>
  <c r="T18" i="8"/>
  <c r="S18" i="8"/>
  <c r="U18" i="8" s="1"/>
  <c r="R18" i="8"/>
  <c r="P18" i="8"/>
  <c r="O18" i="8"/>
  <c r="K18" i="8"/>
  <c r="J18" i="8"/>
  <c r="F18" i="8"/>
  <c r="E18" i="8"/>
  <c r="AV17" i="8"/>
  <c r="AT17" i="8"/>
  <c r="AS17" i="8"/>
  <c r="AU17" i="8" s="1"/>
  <c r="AR17" i="8"/>
  <c r="AQ17" i="8"/>
  <c r="AP17" i="8"/>
  <c r="AL17" i="8"/>
  <c r="AK17" i="8"/>
  <c r="AG17" i="8"/>
  <c r="AF17" i="8"/>
  <c r="U17" i="8"/>
  <c r="T17" i="8"/>
  <c r="S17" i="8"/>
  <c r="R17" i="8"/>
  <c r="P17" i="8"/>
  <c r="O17" i="8"/>
  <c r="K17" i="8"/>
  <c r="J17" i="8"/>
  <c r="F17" i="8"/>
  <c r="E17" i="8"/>
  <c r="AT16" i="8"/>
  <c r="AV16" i="8" s="1"/>
  <c r="AS16" i="8"/>
  <c r="AR16" i="8"/>
  <c r="AQ16" i="8"/>
  <c r="AP16" i="8"/>
  <c r="AL16" i="8"/>
  <c r="AK16" i="8"/>
  <c r="AG16" i="8"/>
  <c r="AF16" i="8"/>
  <c r="S16" i="8"/>
  <c r="U16" i="8" s="1"/>
  <c r="R16" i="8"/>
  <c r="T16" i="8" s="1"/>
  <c r="P16" i="8"/>
  <c r="O16" i="8"/>
  <c r="K16" i="8"/>
  <c r="J16" i="8"/>
  <c r="F16" i="8"/>
  <c r="E16" i="8"/>
  <c r="AT15" i="8"/>
  <c r="AS15" i="8"/>
  <c r="AR15" i="8"/>
  <c r="AU15" i="8" s="1"/>
  <c r="AQ15" i="8"/>
  <c r="AP15" i="8"/>
  <c r="AL15" i="8"/>
  <c r="AK15" i="8"/>
  <c r="AG15" i="8"/>
  <c r="AF15" i="8"/>
  <c r="S15" i="8"/>
  <c r="U15" i="8" s="1"/>
  <c r="R15" i="8"/>
  <c r="T15" i="8" s="1"/>
  <c r="P15" i="8"/>
  <c r="O15" i="8"/>
  <c r="K15" i="8"/>
  <c r="J15" i="8"/>
  <c r="F15" i="8"/>
  <c r="E15" i="8"/>
  <c r="AT14" i="8"/>
  <c r="AS14" i="8"/>
  <c r="AU14" i="8" s="1"/>
  <c r="AR14" i="8"/>
  <c r="AV14" i="8" s="1"/>
  <c r="AQ14" i="8"/>
  <c r="AP14" i="8"/>
  <c r="AL14" i="8"/>
  <c r="AK14" i="8"/>
  <c r="AG14" i="8"/>
  <c r="AF14" i="8"/>
  <c r="T14" i="8"/>
  <c r="S14" i="8"/>
  <c r="U14" i="8" s="1"/>
  <c r="R14" i="8"/>
  <c r="P14" i="8"/>
  <c r="O14" i="8"/>
  <c r="K14" i="8"/>
  <c r="J14" i="8"/>
  <c r="F14" i="8"/>
  <c r="E14" i="8"/>
  <c r="AT13" i="8"/>
  <c r="AS13" i="8"/>
  <c r="AU13" i="8" s="1"/>
  <c r="AR13" i="8"/>
  <c r="AQ13" i="8"/>
  <c r="AP13" i="8"/>
  <c r="AL13" i="8"/>
  <c r="AK13" i="8"/>
  <c r="AG13" i="8"/>
  <c r="AF13" i="8"/>
  <c r="U13" i="8"/>
  <c r="S13" i="8"/>
  <c r="R13" i="8"/>
  <c r="T13" i="8" s="1"/>
  <c r="P13" i="8"/>
  <c r="O13" i="8"/>
  <c r="K13" i="8"/>
  <c r="J13" i="8"/>
  <c r="F13" i="8"/>
  <c r="E13" i="8"/>
  <c r="AT12" i="8"/>
  <c r="AS12" i="8"/>
  <c r="AR12" i="8"/>
  <c r="AQ12" i="8"/>
  <c r="AP12" i="8"/>
  <c r="AL12" i="8"/>
  <c r="AK12" i="8"/>
  <c r="AG12" i="8"/>
  <c r="AF12" i="8"/>
  <c r="S12" i="8"/>
  <c r="U12" i="8" s="1"/>
  <c r="R12" i="8"/>
  <c r="T12" i="8" s="1"/>
  <c r="P12" i="8"/>
  <c r="O12" i="8"/>
  <c r="K12" i="8"/>
  <c r="J12" i="8"/>
  <c r="F12" i="8"/>
  <c r="E12" i="8"/>
  <c r="AT11" i="8"/>
  <c r="AS11" i="8"/>
  <c r="AU11" i="8" s="1"/>
  <c r="AR11" i="8"/>
  <c r="AQ11" i="8"/>
  <c r="AP11" i="8"/>
  <c r="AL11" i="8"/>
  <c r="AK11" i="8"/>
  <c r="AG11" i="8"/>
  <c r="AF11" i="8"/>
  <c r="S11" i="8"/>
  <c r="U11" i="8" s="1"/>
  <c r="R11" i="8"/>
  <c r="T11" i="8" s="1"/>
  <c r="P11" i="8"/>
  <c r="O11" i="8"/>
  <c r="K11" i="8"/>
  <c r="J11" i="8"/>
  <c r="F11" i="8"/>
  <c r="E11" i="8"/>
  <c r="AU10" i="8"/>
  <c r="AT10" i="8"/>
  <c r="AS10" i="8"/>
  <c r="AR10" i="8"/>
  <c r="AQ10" i="8"/>
  <c r="AP10" i="8"/>
  <c r="AL10" i="8"/>
  <c r="AK10" i="8"/>
  <c r="AG10" i="8"/>
  <c r="AF10" i="8"/>
  <c r="T10" i="8"/>
  <c r="S10" i="8"/>
  <c r="U10" i="8" s="1"/>
  <c r="R10" i="8"/>
  <c r="P10" i="8"/>
  <c r="O10" i="8"/>
  <c r="K10" i="8"/>
  <c r="J10" i="8"/>
  <c r="F10" i="8"/>
  <c r="E10" i="8"/>
  <c r="AT9" i="8"/>
  <c r="AS9" i="8"/>
  <c r="AR9" i="8"/>
  <c r="AV9" i="8" s="1"/>
  <c r="AQ9" i="8"/>
  <c r="AP9" i="8"/>
  <c r="AL9" i="8"/>
  <c r="AK9" i="8"/>
  <c r="AG9" i="8"/>
  <c r="AF9" i="8"/>
  <c r="T9" i="8"/>
  <c r="S9" i="8"/>
  <c r="U9" i="8" s="1"/>
  <c r="R9" i="8"/>
  <c r="P9" i="8"/>
  <c r="O9" i="8"/>
  <c r="K9" i="8"/>
  <c r="J9" i="8"/>
  <c r="F9" i="8"/>
  <c r="E9" i="8"/>
  <c r="AT8" i="8"/>
  <c r="AS8" i="8"/>
  <c r="AR8" i="8"/>
  <c r="AQ8" i="8"/>
  <c r="AP8" i="8"/>
  <c r="AL8" i="8"/>
  <c r="AK8" i="8"/>
  <c r="AG8" i="8"/>
  <c r="AF8" i="8"/>
  <c r="S8" i="8"/>
  <c r="U8" i="8" s="1"/>
  <c r="R8" i="8"/>
  <c r="T8" i="8" s="1"/>
  <c r="P8" i="8"/>
  <c r="O8" i="8"/>
  <c r="K8" i="8"/>
  <c r="J8" i="8"/>
  <c r="F8" i="8"/>
  <c r="E8" i="8"/>
  <c r="AT7" i="8"/>
  <c r="AV7" i="8" s="1"/>
  <c r="AS7" i="8"/>
  <c r="AR7" i="8"/>
  <c r="AQ7" i="8"/>
  <c r="AP7" i="8"/>
  <c r="AL7" i="8"/>
  <c r="AK7" i="8"/>
  <c r="AG7" i="8"/>
  <c r="AF7" i="8"/>
  <c r="S7" i="8"/>
  <c r="U7" i="8" s="1"/>
  <c r="R7" i="8"/>
  <c r="T7" i="8" s="1"/>
  <c r="P7" i="8"/>
  <c r="O7" i="8"/>
  <c r="K7" i="8"/>
  <c r="J7" i="8"/>
  <c r="F7" i="8"/>
  <c r="E7" i="8"/>
  <c r="AV6" i="8"/>
  <c r="AT6" i="8"/>
  <c r="AS6" i="8"/>
  <c r="AR6" i="8"/>
  <c r="AU6" i="8" s="1"/>
  <c r="AQ6" i="8"/>
  <c r="AP6" i="8"/>
  <c r="AL6" i="8"/>
  <c r="AK6" i="8"/>
  <c r="AG6" i="8"/>
  <c r="AF6" i="8"/>
  <c r="S6" i="8"/>
  <c r="U6" i="8" s="1"/>
  <c r="R6" i="8"/>
  <c r="T6" i="8" s="1"/>
  <c r="P6" i="8"/>
  <c r="O6" i="8"/>
  <c r="K6" i="8"/>
  <c r="J6" i="8"/>
  <c r="F6" i="8"/>
  <c r="E6" i="8"/>
  <c r="AT5" i="8"/>
  <c r="AV5" i="8" s="1"/>
  <c r="AS5" i="8"/>
  <c r="AR5" i="8"/>
  <c r="AQ5" i="8"/>
  <c r="AP5" i="8"/>
  <c r="AL5" i="8"/>
  <c r="AK5" i="8"/>
  <c r="AG5" i="8"/>
  <c r="AF5" i="8"/>
  <c r="T5" i="8"/>
  <c r="S5" i="8"/>
  <c r="U5" i="8" s="1"/>
  <c r="R5" i="8"/>
  <c r="Q5" i="8"/>
  <c r="P5" i="8"/>
  <c r="O5" i="8"/>
  <c r="K5" i="8"/>
  <c r="J5" i="8"/>
  <c r="F5" i="8"/>
  <c r="E5" i="8"/>
  <c r="AT4" i="8"/>
  <c r="AV4" i="8" s="1"/>
  <c r="AS4" i="8"/>
  <c r="AR4" i="8"/>
  <c r="AU4" i="8" s="1"/>
  <c r="AQ4" i="8"/>
  <c r="AP4" i="8"/>
  <c r="AL4" i="8"/>
  <c r="AK4" i="8"/>
  <c r="AG4" i="8"/>
  <c r="AF4" i="8"/>
  <c r="S4" i="8"/>
  <c r="R4" i="8"/>
  <c r="Q4" i="8"/>
  <c r="P4" i="8"/>
  <c r="O4" i="8"/>
  <c r="K4" i="8"/>
  <c r="J4" i="8"/>
  <c r="F4" i="8"/>
  <c r="E4" i="8"/>
  <c r="E486" i="7"/>
  <c r="D486" i="7"/>
  <c r="C486" i="7"/>
  <c r="B486" i="7"/>
  <c r="A486" i="7"/>
  <c r="E485" i="7"/>
  <c r="D485" i="7"/>
  <c r="C485" i="7"/>
  <c r="B485" i="7"/>
  <c r="A485" i="7"/>
  <c r="E484" i="7"/>
  <c r="D484" i="7"/>
  <c r="C484" i="7"/>
  <c r="B484" i="7"/>
  <c r="A484" i="7"/>
  <c r="E483" i="7"/>
  <c r="D483" i="7"/>
  <c r="C483" i="7"/>
  <c r="B483" i="7"/>
  <c r="A483" i="7"/>
  <c r="E482" i="7"/>
  <c r="D482" i="7"/>
  <c r="C482" i="7"/>
  <c r="B482" i="7"/>
  <c r="A482" i="7"/>
  <c r="E481" i="7"/>
  <c r="D481" i="7"/>
  <c r="C481" i="7"/>
  <c r="B481" i="7"/>
  <c r="A481" i="7"/>
  <c r="E480" i="7"/>
  <c r="D480" i="7"/>
  <c r="C480" i="7"/>
  <c r="B480" i="7"/>
  <c r="A480" i="7"/>
  <c r="E479" i="7"/>
  <c r="D479" i="7"/>
  <c r="C479" i="7"/>
  <c r="B479" i="7"/>
  <c r="A479" i="7"/>
  <c r="E478" i="7"/>
  <c r="D478" i="7"/>
  <c r="C478" i="7"/>
  <c r="B478" i="7"/>
  <c r="A478" i="7"/>
  <c r="E477" i="7"/>
  <c r="D477" i="7"/>
  <c r="C477" i="7"/>
  <c r="B477" i="7"/>
  <c r="A477" i="7"/>
  <c r="E476" i="7"/>
  <c r="D476" i="7"/>
  <c r="C476" i="7"/>
  <c r="B476" i="7"/>
  <c r="A476" i="7"/>
  <c r="E475" i="7"/>
  <c r="D475" i="7"/>
  <c r="C475" i="7"/>
  <c r="B475" i="7"/>
  <c r="A475" i="7"/>
  <c r="E474" i="7"/>
  <c r="D474" i="7"/>
  <c r="C474" i="7"/>
  <c r="B474" i="7"/>
  <c r="A474" i="7"/>
  <c r="E473" i="7"/>
  <c r="D473" i="7"/>
  <c r="C473" i="7"/>
  <c r="B473" i="7"/>
  <c r="A473" i="7"/>
  <c r="E472" i="7"/>
  <c r="D472" i="7"/>
  <c r="C472" i="7"/>
  <c r="B472" i="7"/>
  <c r="A472" i="7"/>
  <c r="E471" i="7"/>
  <c r="D471" i="7"/>
  <c r="C471" i="7"/>
  <c r="B471" i="7"/>
  <c r="A471" i="7"/>
  <c r="E470" i="7"/>
  <c r="D470" i="7"/>
  <c r="C470" i="7"/>
  <c r="B470" i="7"/>
  <c r="A470" i="7"/>
  <c r="E469" i="7"/>
  <c r="D469" i="7"/>
  <c r="C469" i="7"/>
  <c r="B469" i="7"/>
  <c r="A469" i="7"/>
  <c r="E468" i="7"/>
  <c r="D468" i="7"/>
  <c r="C468" i="7"/>
  <c r="B468" i="7"/>
  <c r="A468" i="7"/>
  <c r="E467" i="7"/>
  <c r="D467" i="7"/>
  <c r="C467" i="7"/>
  <c r="B467" i="7"/>
  <c r="A467" i="7"/>
  <c r="E466" i="7"/>
  <c r="D466" i="7"/>
  <c r="C466" i="7"/>
  <c r="B466" i="7"/>
  <c r="A466" i="7"/>
  <c r="E465" i="7"/>
  <c r="D465" i="7"/>
  <c r="C465" i="7"/>
  <c r="B465" i="7"/>
  <c r="A465" i="7"/>
  <c r="E464" i="7"/>
  <c r="D464" i="7"/>
  <c r="C464" i="7"/>
  <c r="B464" i="7"/>
  <c r="A464" i="7"/>
  <c r="E463" i="7"/>
  <c r="D463" i="7"/>
  <c r="C463" i="7"/>
  <c r="B463" i="7"/>
  <c r="A463" i="7"/>
  <c r="E462" i="7"/>
  <c r="D462" i="7"/>
  <c r="C462" i="7"/>
  <c r="B462" i="7"/>
  <c r="A462" i="7"/>
  <c r="E461" i="7"/>
  <c r="D461" i="7"/>
  <c r="C461" i="7"/>
  <c r="B461" i="7"/>
  <c r="A461" i="7"/>
  <c r="E460" i="7"/>
  <c r="D460" i="7"/>
  <c r="C460" i="7"/>
  <c r="B460" i="7"/>
  <c r="A460" i="7"/>
  <c r="E459" i="7"/>
  <c r="D459" i="7"/>
  <c r="C459" i="7"/>
  <c r="B459" i="7"/>
  <c r="A459" i="7"/>
  <c r="E458" i="7"/>
  <c r="D458" i="7"/>
  <c r="C458" i="7"/>
  <c r="B458" i="7"/>
  <c r="A458" i="7"/>
  <c r="E457" i="7"/>
  <c r="D457" i="7"/>
  <c r="C457" i="7"/>
  <c r="B457" i="7"/>
  <c r="A457" i="7"/>
  <c r="E456" i="7"/>
  <c r="D456" i="7"/>
  <c r="C456" i="7"/>
  <c r="B456" i="7"/>
  <c r="A456" i="7"/>
  <c r="E455" i="7"/>
  <c r="D455" i="7"/>
  <c r="C455" i="7"/>
  <c r="B455" i="7"/>
  <c r="A455" i="7"/>
  <c r="E454" i="7"/>
  <c r="D454" i="7"/>
  <c r="C454" i="7"/>
  <c r="B454" i="7"/>
  <c r="A454" i="7"/>
  <c r="E453" i="7"/>
  <c r="D453" i="7"/>
  <c r="C453" i="7"/>
  <c r="B453" i="7"/>
  <c r="A453" i="7"/>
  <c r="E452" i="7"/>
  <c r="D452" i="7"/>
  <c r="C452" i="7"/>
  <c r="B452" i="7"/>
  <c r="A452" i="7"/>
  <c r="E451" i="7"/>
  <c r="D451" i="7"/>
  <c r="C451" i="7"/>
  <c r="B451" i="7"/>
  <c r="A451" i="7"/>
  <c r="E450" i="7"/>
  <c r="D450" i="7"/>
  <c r="C450" i="7"/>
  <c r="B450" i="7"/>
  <c r="A450" i="7"/>
  <c r="E449" i="7"/>
  <c r="D449" i="7"/>
  <c r="C449" i="7"/>
  <c r="B449" i="7"/>
  <c r="A449" i="7"/>
  <c r="E448" i="7"/>
  <c r="D448" i="7"/>
  <c r="C448" i="7"/>
  <c r="B448" i="7"/>
  <c r="A448" i="7"/>
  <c r="E447" i="7"/>
  <c r="D447" i="7"/>
  <c r="C447" i="7"/>
  <c r="B447" i="7"/>
  <c r="A447" i="7"/>
  <c r="E446" i="7"/>
  <c r="D446" i="7"/>
  <c r="C446" i="7"/>
  <c r="B446" i="7"/>
  <c r="A446" i="7"/>
  <c r="E445" i="7"/>
  <c r="D445" i="7"/>
  <c r="C445" i="7"/>
  <c r="B445" i="7"/>
  <c r="A445" i="7"/>
  <c r="E444" i="7"/>
  <c r="D444" i="7"/>
  <c r="C444" i="7"/>
  <c r="B444" i="7"/>
  <c r="A444" i="7"/>
  <c r="E443" i="7"/>
  <c r="D443" i="7"/>
  <c r="C443" i="7"/>
  <c r="B443" i="7"/>
  <c r="A443" i="7"/>
  <c r="E442" i="7"/>
  <c r="D442" i="7"/>
  <c r="C442" i="7"/>
  <c r="B442" i="7"/>
  <c r="A442" i="7"/>
  <c r="E441" i="7"/>
  <c r="D441" i="7"/>
  <c r="C441" i="7"/>
  <c r="B441" i="7"/>
  <c r="A441" i="7"/>
  <c r="E440" i="7"/>
  <c r="D440" i="7"/>
  <c r="C440" i="7"/>
  <c r="B440" i="7"/>
  <c r="A440" i="7"/>
  <c r="E439" i="7"/>
  <c r="D439" i="7"/>
  <c r="C439" i="7"/>
  <c r="B439" i="7"/>
  <c r="A439" i="7"/>
  <c r="E438" i="7"/>
  <c r="D438" i="7"/>
  <c r="C438" i="7"/>
  <c r="B438" i="7"/>
  <c r="A438" i="7"/>
  <c r="E437" i="7"/>
  <c r="D437" i="7"/>
  <c r="C437" i="7"/>
  <c r="B437" i="7"/>
  <c r="A437" i="7"/>
  <c r="E436" i="7"/>
  <c r="D436" i="7"/>
  <c r="C436" i="7"/>
  <c r="B436" i="7"/>
  <c r="A436" i="7"/>
  <c r="E435" i="7"/>
  <c r="D435" i="7"/>
  <c r="C435" i="7"/>
  <c r="B435" i="7"/>
  <c r="A435" i="7"/>
  <c r="E434" i="7"/>
  <c r="D434" i="7"/>
  <c r="C434" i="7"/>
  <c r="B434" i="7"/>
  <c r="A434" i="7"/>
  <c r="E433" i="7"/>
  <c r="D433" i="7"/>
  <c r="C433" i="7"/>
  <c r="B433" i="7"/>
  <c r="A433" i="7"/>
  <c r="E432" i="7"/>
  <c r="D432" i="7"/>
  <c r="C432" i="7"/>
  <c r="B432" i="7"/>
  <c r="A432" i="7"/>
  <c r="E431" i="7"/>
  <c r="D431" i="7"/>
  <c r="C431" i="7"/>
  <c r="B431" i="7"/>
  <c r="A431" i="7"/>
  <c r="E430" i="7"/>
  <c r="D430" i="7"/>
  <c r="C430" i="7"/>
  <c r="B430" i="7"/>
  <c r="A430" i="7"/>
  <c r="E429" i="7"/>
  <c r="D429" i="7"/>
  <c r="C429" i="7"/>
  <c r="B429" i="7"/>
  <c r="A429" i="7"/>
  <c r="E428" i="7"/>
  <c r="D428" i="7"/>
  <c r="C428" i="7"/>
  <c r="B428" i="7"/>
  <c r="A428" i="7"/>
  <c r="E427" i="7"/>
  <c r="D427" i="7"/>
  <c r="C427" i="7"/>
  <c r="B427" i="7"/>
  <c r="A427" i="7"/>
  <c r="E426" i="7"/>
  <c r="D426" i="7"/>
  <c r="C426" i="7"/>
  <c r="B426" i="7"/>
  <c r="A426" i="7"/>
  <c r="E425" i="7"/>
  <c r="D425" i="7"/>
  <c r="C425" i="7"/>
  <c r="B425" i="7"/>
  <c r="A425" i="7"/>
  <c r="E424" i="7"/>
  <c r="D424" i="7"/>
  <c r="C424" i="7"/>
  <c r="B424" i="7"/>
  <c r="A424" i="7"/>
  <c r="E423" i="7"/>
  <c r="D423" i="7"/>
  <c r="C423" i="7"/>
  <c r="B423" i="7"/>
  <c r="A423" i="7"/>
  <c r="E422" i="7"/>
  <c r="D422" i="7"/>
  <c r="C422" i="7"/>
  <c r="B422" i="7"/>
  <c r="A422" i="7"/>
  <c r="E421" i="7"/>
  <c r="D421" i="7"/>
  <c r="C421" i="7"/>
  <c r="B421" i="7"/>
  <c r="A421" i="7"/>
  <c r="E420" i="7"/>
  <c r="D420" i="7"/>
  <c r="C420" i="7"/>
  <c r="B420" i="7"/>
  <c r="A420" i="7"/>
  <c r="E419" i="7"/>
  <c r="D419" i="7"/>
  <c r="C419" i="7"/>
  <c r="B419" i="7"/>
  <c r="A419" i="7"/>
  <c r="E418" i="7"/>
  <c r="D418" i="7"/>
  <c r="C418" i="7"/>
  <c r="B418" i="7"/>
  <c r="A418" i="7"/>
  <c r="E417" i="7"/>
  <c r="D417" i="7"/>
  <c r="C417" i="7"/>
  <c r="B417" i="7"/>
  <c r="A417" i="7"/>
  <c r="E416" i="7"/>
  <c r="D416" i="7"/>
  <c r="C416" i="7"/>
  <c r="B416" i="7"/>
  <c r="A416" i="7"/>
  <c r="E415" i="7"/>
  <c r="D415" i="7"/>
  <c r="C415" i="7"/>
  <c r="B415" i="7"/>
  <c r="A415" i="7"/>
  <c r="E414" i="7"/>
  <c r="D414" i="7"/>
  <c r="C414" i="7"/>
  <c r="B414" i="7"/>
  <c r="A414" i="7"/>
  <c r="E413" i="7"/>
  <c r="D413" i="7"/>
  <c r="C413" i="7"/>
  <c r="B413" i="7"/>
  <c r="A413" i="7"/>
  <c r="E412" i="7"/>
  <c r="D412" i="7"/>
  <c r="C412" i="7"/>
  <c r="B412" i="7"/>
  <c r="A412" i="7"/>
  <c r="E411" i="7"/>
  <c r="D411" i="7"/>
  <c r="C411" i="7"/>
  <c r="B411" i="7"/>
  <c r="A411" i="7"/>
  <c r="E410" i="7"/>
  <c r="D410" i="7"/>
  <c r="C410" i="7"/>
  <c r="B410" i="7"/>
  <c r="A410" i="7"/>
  <c r="E409" i="7"/>
  <c r="D409" i="7"/>
  <c r="C409" i="7"/>
  <c r="B409" i="7"/>
  <c r="A409" i="7"/>
  <c r="E408" i="7"/>
  <c r="D408" i="7"/>
  <c r="C408" i="7"/>
  <c r="B408" i="7"/>
  <c r="A408" i="7"/>
  <c r="E407" i="7"/>
  <c r="D407" i="7"/>
  <c r="C407" i="7"/>
  <c r="B407" i="7"/>
  <c r="A407" i="7"/>
  <c r="E406" i="7"/>
  <c r="D406" i="7"/>
  <c r="C406" i="7"/>
  <c r="B406" i="7"/>
  <c r="A406" i="7"/>
  <c r="E405" i="7"/>
  <c r="D405" i="7"/>
  <c r="C405" i="7"/>
  <c r="B405" i="7"/>
  <c r="A405" i="7"/>
  <c r="E404" i="7"/>
  <c r="D404" i="7"/>
  <c r="C404" i="7"/>
  <c r="B404" i="7"/>
  <c r="A404" i="7"/>
  <c r="E403" i="7"/>
  <c r="D403" i="7"/>
  <c r="C403" i="7"/>
  <c r="B403" i="7"/>
  <c r="A403" i="7"/>
  <c r="E402" i="7"/>
  <c r="D402" i="7"/>
  <c r="C402" i="7"/>
  <c r="B402" i="7"/>
  <c r="A402" i="7"/>
  <c r="E401" i="7"/>
  <c r="D401" i="7"/>
  <c r="C401" i="7"/>
  <c r="B401" i="7"/>
  <c r="A401" i="7"/>
  <c r="E400" i="7"/>
  <c r="D400" i="7"/>
  <c r="C400" i="7"/>
  <c r="B400" i="7"/>
  <c r="A400" i="7"/>
  <c r="E399" i="7"/>
  <c r="D399" i="7"/>
  <c r="C399" i="7"/>
  <c r="B399" i="7"/>
  <c r="A399" i="7"/>
  <c r="E398" i="7"/>
  <c r="D398" i="7"/>
  <c r="C398" i="7"/>
  <c r="B398" i="7"/>
  <c r="A398" i="7"/>
  <c r="E397" i="7"/>
  <c r="D397" i="7"/>
  <c r="C397" i="7"/>
  <c r="B397" i="7"/>
  <c r="A397" i="7"/>
  <c r="E396" i="7"/>
  <c r="D396" i="7"/>
  <c r="C396" i="7"/>
  <c r="B396" i="7"/>
  <c r="A396" i="7"/>
  <c r="E395" i="7"/>
  <c r="D395" i="7"/>
  <c r="C395" i="7"/>
  <c r="B395" i="7"/>
  <c r="A395" i="7"/>
  <c r="E394" i="7"/>
  <c r="D394" i="7"/>
  <c r="C394" i="7"/>
  <c r="B394" i="7"/>
  <c r="A394" i="7"/>
  <c r="E393" i="7"/>
  <c r="D393" i="7"/>
  <c r="C393" i="7"/>
  <c r="B393" i="7"/>
  <c r="A393" i="7"/>
  <c r="E392" i="7"/>
  <c r="D392" i="7"/>
  <c r="C392" i="7"/>
  <c r="B392" i="7"/>
  <c r="A392" i="7"/>
  <c r="E391" i="7"/>
  <c r="D391" i="7"/>
  <c r="C391" i="7"/>
  <c r="B391" i="7"/>
  <c r="A391" i="7"/>
  <c r="E390" i="7"/>
  <c r="D390" i="7"/>
  <c r="C390" i="7"/>
  <c r="B390" i="7"/>
  <c r="A390" i="7"/>
  <c r="E389" i="7"/>
  <c r="D389" i="7"/>
  <c r="C389" i="7"/>
  <c r="B389" i="7"/>
  <c r="A389" i="7"/>
  <c r="E388" i="7"/>
  <c r="D388" i="7"/>
  <c r="C388" i="7"/>
  <c r="B388" i="7"/>
  <c r="A388" i="7"/>
  <c r="E387" i="7"/>
  <c r="D387" i="7"/>
  <c r="C387" i="7"/>
  <c r="B387" i="7"/>
  <c r="A387" i="7"/>
  <c r="E386" i="7"/>
  <c r="D386" i="7"/>
  <c r="C386" i="7"/>
  <c r="B386" i="7"/>
  <c r="A386" i="7"/>
  <c r="E385" i="7"/>
  <c r="D385" i="7"/>
  <c r="C385" i="7"/>
  <c r="B385" i="7"/>
  <c r="A385" i="7"/>
  <c r="E384" i="7"/>
  <c r="D384" i="7"/>
  <c r="C384" i="7"/>
  <c r="B384" i="7"/>
  <c r="A384" i="7"/>
  <c r="E383" i="7"/>
  <c r="D383" i="7"/>
  <c r="C383" i="7"/>
  <c r="B383" i="7"/>
  <c r="A383" i="7"/>
  <c r="E382" i="7"/>
  <c r="D382" i="7"/>
  <c r="C382" i="7"/>
  <c r="B382" i="7"/>
  <c r="A382" i="7"/>
  <c r="E381" i="7"/>
  <c r="D381" i="7"/>
  <c r="C381" i="7"/>
  <c r="B381" i="7"/>
  <c r="A381" i="7"/>
  <c r="E380" i="7"/>
  <c r="D380" i="7"/>
  <c r="C380" i="7"/>
  <c r="B380" i="7"/>
  <c r="A380" i="7"/>
  <c r="E379" i="7"/>
  <c r="D379" i="7"/>
  <c r="C379" i="7"/>
  <c r="B379" i="7"/>
  <c r="A379" i="7"/>
  <c r="E378" i="7"/>
  <c r="D378" i="7"/>
  <c r="C378" i="7"/>
  <c r="B378" i="7"/>
  <c r="A378" i="7"/>
  <c r="E377" i="7"/>
  <c r="D377" i="7"/>
  <c r="C377" i="7"/>
  <c r="B377" i="7"/>
  <c r="A377" i="7"/>
  <c r="E376" i="7"/>
  <c r="D376" i="7"/>
  <c r="C376" i="7"/>
  <c r="B376" i="7"/>
  <c r="A376" i="7"/>
  <c r="E375" i="7"/>
  <c r="D375" i="7"/>
  <c r="C375" i="7"/>
  <c r="B375" i="7"/>
  <c r="A375" i="7"/>
  <c r="E374" i="7"/>
  <c r="D374" i="7"/>
  <c r="C374" i="7"/>
  <c r="B374" i="7"/>
  <c r="A374" i="7"/>
  <c r="E373" i="7"/>
  <c r="D373" i="7"/>
  <c r="C373" i="7"/>
  <c r="B373" i="7"/>
  <c r="A373" i="7"/>
  <c r="E372" i="7"/>
  <c r="D372" i="7"/>
  <c r="C372" i="7"/>
  <c r="B372" i="7"/>
  <c r="A372" i="7"/>
  <c r="E371" i="7"/>
  <c r="D371" i="7"/>
  <c r="C371" i="7"/>
  <c r="B371" i="7"/>
  <c r="A371" i="7"/>
  <c r="E370" i="7"/>
  <c r="D370" i="7"/>
  <c r="C370" i="7"/>
  <c r="B370" i="7"/>
  <c r="A370" i="7"/>
  <c r="E369" i="7"/>
  <c r="D369" i="7"/>
  <c r="C369" i="7"/>
  <c r="B369" i="7"/>
  <c r="A369" i="7"/>
  <c r="E368" i="7"/>
  <c r="D368" i="7"/>
  <c r="C368" i="7"/>
  <c r="B368" i="7"/>
  <c r="A368" i="7"/>
  <c r="E367" i="7"/>
  <c r="D367" i="7"/>
  <c r="C367" i="7"/>
  <c r="B367" i="7"/>
  <c r="A367" i="7"/>
  <c r="E366" i="7"/>
  <c r="D366" i="7"/>
  <c r="C366" i="7"/>
  <c r="B366" i="7"/>
  <c r="A366" i="7"/>
  <c r="E365" i="7"/>
  <c r="D365" i="7"/>
  <c r="C365" i="7"/>
  <c r="B365" i="7"/>
  <c r="A365" i="7"/>
  <c r="E364" i="7"/>
  <c r="D364" i="7"/>
  <c r="C364" i="7"/>
  <c r="B364" i="7"/>
  <c r="A364" i="7"/>
  <c r="E363" i="7"/>
  <c r="D363" i="7"/>
  <c r="C363" i="7"/>
  <c r="B363" i="7"/>
  <c r="A363" i="7"/>
  <c r="E362" i="7"/>
  <c r="D362" i="7"/>
  <c r="C362" i="7"/>
  <c r="B362" i="7"/>
  <c r="A362" i="7"/>
  <c r="E361" i="7"/>
  <c r="D361" i="7"/>
  <c r="C361" i="7"/>
  <c r="B361" i="7"/>
  <c r="A361" i="7"/>
  <c r="E360" i="7"/>
  <c r="D360" i="7"/>
  <c r="C360" i="7"/>
  <c r="B360" i="7"/>
  <c r="A360" i="7"/>
  <c r="E359" i="7"/>
  <c r="D359" i="7"/>
  <c r="C359" i="7"/>
  <c r="B359" i="7"/>
  <c r="A359" i="7"/>
  <c r="E358" i="7"/>
  <c r="D358" i="7"/>
  <c r="C358" i="7"/>
  <c r="B358" i="7"/>
  <c r="A358" i="7"/>
  <c r="E357" i="7"/>
  <c r="D357" i="7"/>
  <c r="C357" i="7"/>
  <c r="B357" i="7"/>
  <c r="A357" i="7"/>
  <c r="E356" i="7"/>
  <c r="D356" i="7"/>
  <c r="C356" i="7"/>
  <c r="B356" i="7"/>
  <c r="A356" i="7"/>
  <c r="E355" i="7"/>
  <c r="D355" i="7"/>
  <c r="C355" i="7"/>
  <c r="B355" i="7"/>
  <c r="A355" i="7"/>
  <c r="E354" i="7"/>
  <c r="D354" i="7"/>
  <c r="C354" i="7"/>
  <c r="B354" i="7"/>
  <c r="A354" i="7"/>
  <c r="E353" i="7"/>
  <c r="D353" i="7"/>
  <c r="C353" i="7"/>
  <c r="B353" i="7"/>
  <c r="A353" i="7"/>
  <c r="E352" i="7"/>
  <c r="D352" i="7"/>
  <c r="C352" i="7"/>
  <c r="B352" i="7"/>
  <c r="A352" i="7"/>
  <c r="E351" i="7"/>
  <c r="D351" i="7"/>
  <c r="C351" i="7"/>
  <c r="B351" i="7"/>
  <c r="A351" i="7"/>
  <c r="E350" i="7"/>
  <c r="D350" i="7"/>
  <c r="C350" i="7"/>
  <c r="B350" i="7"/>
  <c r="A350" i="7"/>
  <c r="E349" i="7"/>
  <c r="D349" i="7"/>
  <c r="C349" i="7"/>
  <c r="B349" i="7"/>
  <c r="A349" i="7"/>
  <c r="E348" i="7"/>
  <c r="D348" i="7"/>
  <c r="C348" i="7"/>
  <c r="B348" i="7"/>
  <c r="A348" i="7"/>
  <c r="E347" i="7"/>
  <c r="D347" i="7"/>
  <c r="C347" i="7"/>
  <c r="B347" i="7"/>
  <c r="A347" i="7"/>
  <c r="E346" i="7"/>
  <c r="D346" i="7"/>
  <c r="C346" i="7"/>
  <c r="B346" i="7"/>
  <c r="A346" i="7"/>
  <c r="E345" i="7"/>
  <c r="D345" i="7"/>
  <c r="C345" i="7"/>
  <c r="B345" i="7"/>
  <c r="A345" i="7"/>
  <c r="E344" i="7"/>
  <c r="D344" i="7"/>
  <c r="C344" i="7"/>
  <c r="B344" i="7"/>
  <c r="A344" i="7"/>
  <c r="E343" i="7"/>
  <c r="D343" i="7"/>
  <c r="C343" i="7"/>
  <c r="B343" i="7"/>
  <c r="A343" i="7"/>
  <c r="E342" i="7"/>
  <c r="D342" i="7"/>
  <c r="C342" i="7"/>
  <c r="B342" i="7"/>
  <c r="A342" i="7"/>
  <c r="E341" i="7"/>
  <c r="D341" i="7"/>
  <c r="C341" i="7"/>
  <c r="B341" i="7"/>
  <c r="A341" i="7"/>
  <c r="E340" i="7"/>
  <c r="D340" i="7"/>
  <c r="C340" i="7"/>
  <c r="B340" i="7"/>
  <c r="A340" i="7"/>
  <c r="E339" i="7"/>
  <c r="D339" i="7"/>
  <c r="C339" i="7"/>
  <c r="B339" i="7"/>
  <c r="A339" i="7"/>
  <c r="E338" i="7"/>
  <c r="D338" i="7"/>
  <c r="C338" i="7"/>
  <c r="B338" i="7"/>
  <c r="A338" i="7"/>
  <c r="E337" i="7"/>
  <c r="D337" i="7"/>
  <c r="C337" i="7"/>
  <c r="B337" i="7"/>
  <c r="A337" i="7"/>
  <c r="E336" i="7"/>
  <c r="D336" i="7"/>
  <c r="C336" i="7"/>
  <c r="B336" i="7"/>
  <c r="A336" i="7"/>
  <c r="E335" i="7"/>
  <c r="D335" i="7"/>
  <c r="C335" i="7"/>
  <c r="B335" i="7"/>
  <c r="A335" i="7"/>
  <c r="E334" i="7"/>
  <c r="D334" i="7"/>
  <c r="C334" i="7"/>
  <c r="B334" i="7"/>
  <c r="A334" i="7"/>
  <c r="E333" i="7"/>
  <c r="D333" i="7"/>
  <c r="C333" i="7"/>
  <c r="B333" i="7"/>
  <c r="A333" i="7"/>
  <c r="E332" i="7"/>
  <c r="D332" i="7"/>
  <c r="C332" i="7"/>
  <c r="B332" i="7"/>
  <c r="A332" i="7"/>
  <c r="E331" i="7"/>
  <c r="D331" i="7"/>
  <c r="C331" i="7"/>
  <c r="B331" i="7"/>
  <c r="A331" i="7"/>
  <c r="E330" i="7"/>
  <c r="D330" i="7"/>
  <c r="C330" i="7"/>
  <c r="B330" i="7"/>
  <c r="A330" i="7"/>
  <c r="E329" i="7"/>
  <c r="D329" i="7"/>
  <c r="C329" i="7"/>
  <c r="B329" i="7"/>
  <c r="A329" i="7"/>
  <c r="E328" i="7"/>
  <c r="D328" i="7"/>
  <c r="C328" i="7"/>
  <c r="B328" i="7"/>
  <c r="A328" i="7"/>
  <c r="E327" i="7"/>
  <c r="D327" i="7"/>
  <c r="C327" i="7"/>
  <c r="B327" i="7"/>
  <c r="A327" i="7"/>
  <c r="E326" i="7"/>
  <c r="D326" i="7"/>
  <c r="C326" i="7"/>
  <c r="B326" i="7"/>
  <c r="A326" i="7"/>
  <c r="E325" i="7"/>
  <c r="D325" i="7"/>
  <c r="C325" i="7"/>
  <c r="B325" i="7"/>
  <c r="A325" i="7"/>
  <c r="E324" i="7"/>
  <c r="D324" i="7"/>
  <c r="C324" i="7"/>
  <c r="B324" i="7"/>
  <c r="A324" i="7"/>
  <c r="E323" i="7"/>
  <c r="D323" i="7"/>
  <c r="C323" i="7"/>
  <c r="B323" i="7"/>
  <c r="A323" i="7"/>
  <c r="E322" i="7"/>
  <c r="D322" i="7"/>
  <c r="C322" i="7"/>
  <c r="B322" i="7"/>
  <c r="A322" i="7"/>
  <c r="E321" i="7"/>
  <c r="D321" i="7"/>
  <c r="C321" i="7"/>
  <c r="B321" i="7"/>
  <c r="A321" i="7"/>
  <c r="E320" i="7"/>
  <c r="D320" i="7"/>
  <c r="C320" i="7"/>
  <c r="B320" i="7"/>
  <c r="A320" i="7"/>
  <c r="E319" i="7"/>
  <c r="D319" i="7"/>
  <c r="C319" i="7"/>
  <c r="B319" i="7"/>
  <c r="A319" i="7"/>
  <c r="E318" i="7"/>
  <c r="D318" i="7"/>
  <c r="C318" i="7"/>
  <c r="B318" i="7"/>
  <c r="A318" i="7"/>
  <c r="E317" i="7"/>
  <c r="D317" i="7"/>
  <c r="C317" i="7"/>
  <c r="B317" i="7"/>
  <c r="A317" i="7"/>
  <c r="E316" i="7"/>
  <c r="D316" i="7"/>
  <c r="C316" i="7"/>
  <c r="B316" i="7"/>
  <c r="A316" i="7"/>
  <c r="E315" i="7"/>
  <c r="D315" i="7"/>
  <c r="C315" i="7"/>
  <c r="B315" i="7"/>
  <c r="A315" i="7"/>
  <c r="E314" i="7"/>
  <c r="D314" i="7"/>
  <c r="C314" i="7"/>
  <c r="B314" i="7"/>
  <c r="A314" i="7"/>
  <c r="E313" i="7"/>
  <c r="D313" i="7"/>
  <c r="C313" i="7"/>
  <c r="B313" i="7"/>
  <c r="A313" i="7"/>
  <c r="E312" i="7"/>
  <c r="D312" i="7"/>
  <c r="C312" i="7"/>
  <c r="B312" i="7"/>
  <c r="A312" i="7"/>
  <c r="E311" i="7"/>
  <c r="D311" i="7"/>
  <c r="C311" i="7"/>
  <c r="B311" i="7"/>
  <c r="A311" i="7"/>
  <c r="E310" i="7"/>
  <c r="D310" i="7"/>
  <c r="C310" i="7"/>
  <c r="B310" i="7"/>
  <c r="A310" i="7"/>
  <c r="E309" i="7"/>
  <c r="D309" i="7"/>
  <c r="C309" i="7"/>
  <c r="B309" i="7"/>
  <c r="A309" i="7"/>
  <c r="E308" i="7"/>
  <c r="D308" i="7"/>
  <c r="C308" i="7"/>
  <c r="B308" i="7"/>
  <c r="A308" i="7"/>
  <c r="E307" i="7"/>
  <c r="D307" i="7"/>
  <c r="C307" i="7"/>
  <c r="B307" i="7"/>
  <c r="A307" i="7"/>
  <c r="E306" i="7"/>
  <c r="D306" i="7"/>
  <c r="C306" i="7"/>
  <c r="B306" i="7"/>
  <c r="A306" i="7"/>
  <c r="E305" i="7"/>
  <c r="D305" i="7"/>
  <c r="C305" i="7"/>
  <c r="B305" i="7"/>
  <c r="A305" i="7"/>
  <c r="E304" i="7"/>
  <c r="D304" i="7"/>
  <c r="C304" i="7"/>
  <c r="B304" i="7"/>
  <c r="A304" i="7"/>
  <c r="E303" i="7"/>
  <c r="D303" i="7"/>
  <c r="C303" i="7"/>
  <c r="B303" i="7"/>
  <c r="A303" i="7"/>
  <c r="E302" i="7"/>
  <c r="D302" i="7"/>
  <c r="C302" i="7"/>
  <c r="B302" i="7"/>
  <c r="A302" i="7"/>
  <c r="E301" i="7"/>
  <c r="D301" i="7"/>
  <c r="C301" i="7"/>
  <c r="B301" i="7"/>
  <c r="A301" i="7"/>
  <c r="E300" i="7"/>
  <c r="D300" i="7"/>
  <c r="C300" i="7"/>
  <c r="B300" i="7"/>
  <c r="A300" i="7"/>
  <c r="E299" i="7"/>
  <c r="D299" i="7"/>
  <c r="C299" i="7"/>
  <c r="B299" i="7"/>
  <c r="A299" i="7"/>
  <c r="E298" i="7"/>
  <c r="D298" i="7"/>
  <c r="C298" i="7"/>
  <c r="B298" i="7"/>
  <c r="A298" i="7"/>
  <c r="E297" i="7"/>
  <c r="D297" i="7"/>
  <c r="C297" i="7"/>
  <c r="B297" i="7"/>
  <c r="A297" i="7"/>
  <c r="E296" i="7"/>
  <c r="D296" i="7"/>
  <c r="C296" i="7"/>
  <c r="B296" i="7"/>
  <c r="A296" i="7"/>
  <c r="E295" i="7"/>
  <c r="D295" i="7"/>
  <c r="C295" i="7"/>
  <c r="B295" i="7"/>
  <c r="A295" i="7"/>
  <c r="E294" i="7"/>
  <c r="D294" i="7"/>
  <c r="C294" i="7"/>
  <c r="B294" i="7"/>
  <c r="A294" i="7"/>
  <c r="E293" i="7"/>
  <c r="D293" i="7"/>
  <c r="C293" i="7"/>
  <c r="B293" i="7"/>
  <c r="A293" i="7"/>
  <c r="E292" i="7"/>
  <c r="D292" i="7"/>
  <c r="C292" i="7"/>
  <c r="B292" i="7"/>
  <c r="A292" i="7"/>
  <c r="E291" i="7"/>
  <c r="D291" i="7"/>
  <c r="C291" i="7"/>
  <c r="B291" i="7"/>
  <c r="A291" i="7"/>
  <c r="E290" i="7"/>
  <c r="D290" i="7"/>
  <c r="C290" i="7"/>
  <c r="B290" i="7"/>
  <c r="A290" i="7"/>
  <c r="E289" i="7"/>
  <c r="D289" i="7"/>
  <c r="C289" i="7"/>
  <c r="B289" i="7"/>
  <c r="A289" i="7"/>
  <c r="E288" i="7"/>
  <c r="D288" i="7"/>
  <c r="C288" i="7"/>
  <c r="B288" i="7"/>
  <c r="A288" i="7"/>
  <c r="E287" i="7"/>
  <c r="D287" i="7"/>
  <c r="C287" i="7"/>
  <c r="B287" i="7"/>
  <c r="A287" i="7"/>
  <c r="E286" i="7"/>
  <c r="D286" i="7"/>
  <c r="C286" i="7"/>
  <c r="B286" i="7"/>
  <c r="A286" i="7"/>
  <c r="E285" i="7"/>
  <c r="D285" i="7"/>
  <c r="C285" i="7"/>
  <c r="B285" i="7"/>
  <c r="A285" i="7"/>
  <c r="E284" i="7"/>
  <c r="D284" i="7"/>
  <c r="C284" i="7"/>
  <c r="B284" i="7"/>
  <c r="A284" i="7"/>
  <c r="E283" i="7"/>
  <c r="D283" i="7"/>
  <c r="C283" i="7"/>
  <c r="B283" i="7"/>
  <c r="A283" i="7"/>
  <c r="E282" i="7"/>
  <c r="D282" i="7"/>
  <c r="C282" i="7"/>
  <c r="B282" i="7"/>
  <c r="A282" i="7"/>
  <c r="E281" i="7"/>
  <c r="D281" i="7"/>
  <c r="C281" i="7"/>
  <c r="B281" i="7"/>
  <c r="A281" i="7"/>
  <c r="E280" i="7"/>
  <c r="D280" i="7"/>
  <c r="C280" i="7"/>
  <c r="B280" i="7"/>
  <c r="A280" i="7"/>
  <c r="E279" i="7"/>
  <c r="D279" i="7"/>
  <c r="C279" i="7"/>
  <c r="B279" i="7"/>
  <c r="A279" i="7"/>
  <c r="E278" i="7"/>
  <c r="D278" i="7"/>
  <c r="C278" i="7"/>
  <c r="B278" i="7"/>
  <c r="A278" i="7"/>
  <c r="E277" i="7"/>
  <c r="D277" i="7"/>
  <c r="C277" i="7"/>
  <c r="B277" i="7"/>
  <c r="A277" i="7"/>
  <c r="E276" i="7"/>
  <c r="D276" i="7"/>
  <c r="C276" i="7"/>
  <c r="B276" i="7"/>
  <c r="A276" i="7"/>
  <c r="E275" i="7"/>
  <c r="D275" i="7"/>
  <c r="C275" i="7"/>
  <c r="B275" i="7"/>
  <c r="A275" i="7"/>
  <c r="E274" i="7"/>
  <c r="D274" i="7"/>
  <c r="C274" i="7"/>
  <c r="B274" i="7"/>
  <c r="A274" i="7"/>
  <c r="E273" i="7"/>
  <c r="D273" i="7"/>
  <c r="C273" i="7"/>
  <c r="B273" i="7"/>
  <c r="A273" i="7"/>
  <c r="E272" i="7"/>
  <c r="D272" i="7"/>
  <c r="C272" i="7"/>
  <c r="B272" i="7"/>
  <c r="A272" i="7"/>
  <c r="E271" i="7"/>
  <c r="D271" i="7"/>
  <c r="C271" i="7"/>
  <c r="B271" i="7"/>
  <c r="A271" i="7"/>
  <c r="E270" i="7"/>
  <c r="D270" i="7"/>
  <c r="C270" i="7"/>
  <c r="B270" i="7"/>
  <c r="A270" i="7"/>
  <c r="E269" i="7"/>
  <c r="D269" i="7"/>
  <c r="C269" i="7"/>
  <c r="B269" i="7"/>
  <c r="A269" i="7"/>
  <c r="E268" i="7"/>
  <c r="D268" i="7"/>
  <c r="C268" i="7"/>
  <c r="B268" i="7"/>
  <c r="A268" i="7"/>
  <c r="E267" i="7"/>
  <c r="D267" i="7"/>
  <c r="C267" i="7"/>
  <c r="B267" i="7"/>
  <c r="A267" i="7"/>
  <c r="E266" i="7"/>
  <c r="D266" i="7"/>
  <c r="C266" i="7"/>
  <c r="B266" i="7"/>
  <c r="A266" i="7"/>
  <c r="E265" i="7"/>
  <c r="D265" i="7"/>
  <c r="C265" i="7"/>
  <c r="B265" i="7"/>
  <c r="A265" i="7"/>
  <c r="E264" i="7"/>
  <c r="D264" i="7"/>
  <c r="C264" i="7"/>
  <c r="B264" i="7"/>
  <c r="A264" i="7"/>
  <c r="E263" i="7"/>
  <c r="D263" i="7"/>
  <c r="C263" i="7"/>
  <c r="B263" i="7"/>
  <c r="A263" i="7"/>
  <c r="E262" i="7"/>
  <c r="D262" i="7"/>
  <c r="C262" i="7"/>
  <c r="B262" i="7"/>
  <c r="A262" i="7"/>
  <c r="E261" i="7"/>
  <c r="D261" i="7"/>
  <c r="C261" i="7"/>
  <c r="B261" i="7"/>
  <c r="A261" i="7"/>
  <c r="E260" i="7"/>
  <c r="D260" i="7"/>
  <c r="C260" i="7"/>
  <c r="B260" i="7"/>
  <c r="A260" i="7"/>
  <c r="E259" i="7"/>
  <c r="D259" i="7"/>
  <c r="C259" i="7"/>
  <c r="B259" i="7"/>
  <c r="A259" i="7"/>
  <c r="E258" i="7"/>
  <c r="D258" i="7"/>
  <c r="C258" i="7"/>
  <c r="B258" i="7"/>
  <c r="A258" i="7"/>
  <c r="E257" i="7"/>
  <c r="D257" i="7"/>
  <c r="C257" i="7"/>
  <c r="B257" i="7"/>
  <c r="A257" i="7"/>
  <c r="E256" i="7"/>
  <c r="D256" i="7"/>
  <c r="C256" i="7"/>
  <c r="B256" i="7"/>
  <c r="A256" i="7"/>
  <c r="E255" i="7"/>
  <c r="D255" i="7"/>
  <c r="C255" i="7"/>
  <c r="B255" i="7"/>
  <c r="A255" i="7"/>
  <c r="E254" i="7"/>
  <c r="D254" i="7"/>
  <c r="C254" i="7"/>
  <c r="B254" i="7"/>
  <c r="A254" i="7"/>
  <c r="E253" i="7"/>
  <c r="D253" i="7"/>
  <c r="C253" i="7"/>
  <c r="B253" i="7"/>
  <c r="A253" i="7"/>
  <c r="E252" i="7"/>
  <c r="D252" i="7"/>
  <c r="C252" i="7"/>
  <c r="B252" i="7"/>
  <c r="A252" i="7"/>
  <c r="E251" i="7"/>
  <c r="D251" i="7"/>
  <c r="C251" i="7"/>
  <c r="B251" i="7"/>
  <c r="A251" i="7"/>
  <c r="E250" i="7"/>
  <c r="D250" i="7"/>
  <c r="C250" i="7"/>
  <c r="B250" i="7"/>
  <c r="A250" i="7"/>
  <c r="E249" i="7"/>
  <c r="D249" i="7"/>
  <c r="C249" i="7"/>
  <c r="B249" i="7"/>
  <c r="A249" i="7"/>
  <c r="E248" i="7"/>
  <c r="D248" i="7"/>
  <c r="C248" i="7"/>
  <c r="B248" i="7"/>
  <c r="A248" i="7"/>
  <c r="E247" i="7"/>
  <c r="D247" i="7"/>
  <c r="C247" i="7"/>
  <c r="B247" i="7"/>
  <c r="A247" i="7"/>
  <c r="E246" i="7"/>
  <c r="D246" i="7"/>
  <c r="C246" i="7"/>
  <c r="B246" i="7"/>
  <c r="A246" i="7"/>
  <c r="E245" i="7"/>
  <c r="D245" i="7"/>
  <c r="C245" i="7"/>
  <c r="B245" i="7"/>
  <c r="A245" i="7"/>
  <c r="E244" i="7"/>
  <c r="D244" i="7"/>
  <c r="C244" i="7"/>
  <c r="B244" i="7"/>
  <c r="A244" i="7"/>
  <c r="E243" i="7"/>
  <c r="D243" i="7"/>
  <c r="C243" i="7"/>
  <c r="B243" i="7"/>
  <c r="A243" i="7"/>
  <c r="E242" i="7"/>
  <c r="D242" i="7"/>
  <c r="C242" i="7"/>
  <c r="B242" i="7"/>
  <c r="A242" i="7"/>
  <c r="E241" i="7"/>
  <c r="D241" i="7"/>
  <c r="C241" i="7"/>
  <c r="B241" i="7"/>
  <c r="A241" i="7"/>
  <c r="E240" i="7"/>
  <c r="D240" i="7"/>
  <c r="C240" i="7"/>
  <c r="B240" i="7"/>
  <c r="A240" i="7"/>
  <c r="E239" i="7"/>
  <c r="D239" i="7"/>
  <c r="C239" i="7"/>
  <c r="B239" i="7"/>
  <c r="A239" i="7"/>
  <c r="E238" i="7"/>
  <c r="D238" i="7"/>
  <c r="C238" i="7"/>
  <c r="B238" i="7"/>
  <c r="A238" i="7"/>
  <c r="E237" i="7"/>
  <c r="D237" i="7"/>
  <c r="C237" i="7"/>
  <c r="B237" i="7"/>
  <c r="A237" i="7"/>
  <c r="E236" i="7"/>
  <c r="D236" i="7"/>
  <c r="C236" i="7"/>
  <c r="B236" i="7"/>
  <c r="A236" i="7"/>
  <c r="E235" i="7"/>
  <c r="D235" i="7"/>
  <c r="C235" i="7"/>
  <c r="B235" i="7"/>
  <c r="A235" i="7"/>
  <c r="E234" i="7"/>
  <c r="D234" i="7"/>
  <c r="C234" i="7"/>
  <c r="B234" i="7"/>
  <c r="A234" i="7"/>
  <c r="E233" i="7"/>
  <c r="D233" i="7"/>
  <c r="C233" i="7"/>
  <c r="B233" i="7"/>
  <c r="A233" i="7"/>
  <c r="E232" i="7"/>
  <c r="D232" i="7"/>
  <c r="C232" i="7"/>
  <c r="B232" i="7"/>
  <c r="A232" i="7"/>
  <c r="E231" i="7"/>
  <c r="D231" i="7"/>
  <c r="C231" i="7"/>
  <c r="B231" i="7"/>
  <c r="A231" i="7"/>
  <c r="E230" i="7"/>
  <c r="D230" i="7"/>
  <c r="C230" i="7"/>
  <c r="B230" i="7"/>
  <c r="A230" i="7"/>
  <c r="E229" i="7"/>
  <c r="D229" i="7"/>
  <c r="C229" i="7"/>
  <c r="B229" i="7"/>
  <c r="A229" i="7"/>
  <c r="E228" i="7"/>
  <c r="D228" i="7"/>
  <c r="C228" i="7"/>
  <c r="B228" i="7"/>
  <c r="A228" i="7"/>
  <c r="E227" i="7"/>
  <c r="D227" i="7"/>
  <c r="C227" i="7"/>
  <c r="B227" i="7"/>
  <c r="A227" i="7"/>
  <c r="E226" i="7"/>
  <c r="D226" i="7"/>
  <c r="C226" i="7"/>
  <c r="B226" i="7"/>
  <c r="A226" i="7"/>
  <c r="E225" i="7"/>
  <c r="D225" i="7"/>
  <c r="C225" i="7"/>
  <c r="B225" i="7"/>
  <c r="A225" i="7"/>
  <c r="E224" i="7"/>
  <c r="D224" i="7"/>
  <c r="C224" i="7"/>
  <c r="B224" i="7"/>
  <c r="A224" i="7"/>
  <c r="E223" i="7"/>
  <c r="D223" i="7"/>
  <c r="C223" i="7"/>
  <c r="B223" i="7"/>
  <c r="A223" i="7"/>
  <c r="E222" i="7"/>
  <c r="D222" i="7"/>
  <c r="C222" i="7"/>
  <c r="B222" i="7"/>
  <c r="A222" i="7"/>
  <c r="E221" i="7"/>
  <c r="D221" i="7"/>
  <c r="C221" i="7"/>
  <c r="B221" i="7"/>
  <c r="A221" i="7"/>
  <c r="E220" i="7"/>
  <c r="D220" i="7"/>
  <c r="C220" i="7"/>
  <c r="B220" i="7"/>
  <c r="A220" i="7"/>
  <c r="E219" i="7"/>
  <c r="D219" i="7"/>
  <c r="C219" i="7"/>
  <c r="B219" i="7"/>
  <c r="A219" i="7"/>
  <c r="E218" i="7"/>
  <c r="D218" i="7"/>
  <c r="C218" i="7"/>
  <c r="B218" i="7"/>
  <c r="A218" i="7"/>
  <c r="E217" i="7"/>
  <c r="D217" i="7"/>
  <c r="C217" i="7"/>
  <c r="B217" i="7"/>
  <c r="A217" i="7"/>
  <c r="E216" i="7"/>
  <c r="D216" i="7"/>
  <c r="C216" i="7"/>
  <c r="B216" i="7"/>
  <c r="A216" i="7"/>
  <c r="E215" i="7"/>
  <c r="D215" i="7"/>
  <c r="C215" i="7"/>
  <c r="B215" i="7"/>
  <c r="A215" i="7"/>
  <c r="E214" i="7"/>
  <c r="D214" i="7"/>
  <c r="C214" i="7"/>
  <c r="B214" i="7"/>
  <c r="A214" i="7"/>
  <c r="E213" i="7"/>
  <c r="D213" i="7"/>
  <c r="C213" i="7"/>
  <c r="B213" i="7"/>
  <c r="A213" i="7"/>
  <c r="E212" i="7"/>
  <c r="D212" i="7"/>
  <c r="C212" i="7"/>
  <c r="B212" i="7"/>
  <c r="A212" i="7"/>
  <c r="E211" i="7"/>
  <c r="D211" i="7"/>
  <c r="C211" i="7"/>
  <c r="B211" i="7"/>
  <c r="A211" i="7"/>
  <c r="E210" i="7"/>
  <c r="D210" i="7"/>
  <c r="C210" i="7"/>
  <c r="B210" i="7"/>
  <c r="A210" i="7"/>
  <c r="E209" i="7"/>
  <c r="D209" i="7"/>
  <c r="C209" i="7"/>
  <c r="B209" i="7"/>
  <c r="A209" i="7"/>
  <c r="E208" i="7"/>
  <c r="D208" i="7"/>
  <c r="C208" i="7"/>
  <c r="B208" i="7"/>
  <c r="A208" i="7"/>
  <c r="E207" i="7"/>
  <c r="D207" i="7"/>
  <c r="C207" i="7"/>
  <c r="B207" i="7"/>
  <c r="A207" i="7"/>
  <c r="E206" i="7"/>
  <c r="D206" i="7"/>
  <c r="C206" i="7"/>
  <c r="B206" i="7"/>
  <c r="A206" i="7"/>
  <c r="E205" i="7"/>
  <c r="D205" i="7"/>
  <c r="C205" i="7"/>
  <c r="B205" i="7"/>
  <c r="A205" i="7"/>
  <c r="E204" i="7"/>
  <c r="D204" i="7"/>
  <c r="C204" i="7"/>
  <c r="B204" i="7"/>
  <c r="A204" i="7"/>
  <c r="E203" i="7"/>
  <c r="D203" i="7"/>
  <c r="C203" i="7"/>
  <c r="B203" i="7"/>
  <c r="A203" i="7"/>
  <c r="E202" i="7"/>
  <c r="D202" i="7"/>
  <c r="C202" i="7"/>
  <c r="B202" i="7"/>
  <c r="A202" i="7"/>
  <c r="E201" i="7"/>
  <c r="D201" i="7"/>
  <c r="C201" i="7"/>
  <c r="B201" i="7"/>
  <c r="A201" i="7"/>
  <c r="E200" i="7"/>
  <c r="D200" i="7"/>
  <c r="C200" i="7"/>
  <c r="B200" i="7"/>
  <c r="A200" i="7"/>
  <c r="E199" i="7"/>
  <c r="D199" i="7"/>
  <c r="C199" i="7"/>
  <c r="B199" i="7"/>
  <c r="A199" i="7"/>
  <c r="E198" i="7"/>
  <c r="D198" i="7"/>
  <c r="C198" i="7"/>
  <c r="B198" i="7"/>
  <c r="A198" i="7"/>
  <c r="E197" i="7"/>
  <c r="D197" i="7"/>
  <c r="C197" i="7"/>
  <c r="B197" i="7"/>
  <c r="A197" i="7"/>
  <c r="E196" i="7"/>
  <c r="D196" i="7"/>
  <c r="C196" i="7"/>
  <c r="B196" i="7"/>
  <c r="A196" i="7"/>
  <c r="E195" i="7"/>
  <c r="D195" i="7"/>
  <c r="C195" i="7"/>
  <c r="B195" i="7"/>
  <c r="A195" i="7"/>
  <c r="E194" i="7"/>
  <c r="D194" i="7"/>
  <c r="C194" i="7"/>
  <c r="B194" i="7"/>
  <c r="A194" i="7"/>
  <c r="E193" i="7"/>
  <c r="D193" i="7"/>
  <c r="C193" i="7"/>
  <c r="B193" i="7"/>
  <c r="A193" i="7"/>
  <c r="E192" i="7"/>
  <c r="D192" i="7"/>
  <c r="C192" i="7"/>
  <c r="B192" i="7"/>
  <c r="A192" i="7"/>
  <c r="E191" i="7"/>
  <c r="D191" i="7"/>
  <c r="C191" i="7"/>
  <c r="B191" i="7"/>
  <c r="A191" i="7"/>
  <c r="E190" i="7"/>
  <c r="D190" i="7"/>
  <c r="C190" i="7"/>
  <c r="B190" i="7"/>
  <c r="A190" i="7"/>
  <c r="E189" i="7"/>
  <c r="D189" i="7"/>
  <c r="C189" i="7"/>
  <c r="B189" i="7"/>
  <c r="A189" i="7"/>
  <c r="E188" i="7"/>
  <c r="D188" i="7"/>
  <c r="C188" i="7"/>
  <c r="B188" i="7"/>
  <c r="A188" i="7"/>
  <c r="E187" i="7"/>
  <c r="D187" i="7"/>
  <c r="C187" i="7"/>
  <c r="B187" i="7"/>
  <c r="A187" i="7"/>
  <c r="E186" i="7"/>
  <c r="D186" i="7"/>
  <c r="C186" i="7"/>
  <c r="B186" i="7"/>
  <c r="A186" i="7"/>
  <c r="E185" i="7"/>
  <c r="D185" i="7"/>
  <c r="C185" i="7"/>
  <c r="B185" i="7"/>
  <c r="A185" i="7"/>
  <c r="E184" i="7"/>
  <c r="D184" i="7"/>
  <c r="C184" i="7"/>
  <c r="B184" i="7"/>
  <c r="A184" i="7"/>
  <c r="E183" i="7"/>
  <c r="D183" i="7"/>
  <c r="C183" i="7"/>
  <c r="B183" i="7"/>
  <c r="A183" i="7"/>
  <c r="E182" i="7"/>
  <c r="D182" i="7"/>
  <c r="C182" i="7"/>
  <c r="B182" i="7"/>
  <c r="A182" i="7"/>
  <c r="E181" i="7"/>
  <c r="D181" i="7"/>
  <c r="C181" i="7"/>
  <c r="B181" i="7"/>
  <c r="A181" i="7"/>
  <c r="E180" i="7"/>
  <c r="D180" i="7"/>
  <c r="C180" i="7"/>
  <c r="B180" i="7"/>
  <c r="A180" i="7"/>
  <c r="E179" i="7"/>
  <c r="D179" i="7"/>
  <c r="C179" i="7"/>
  <c r="B179" i="7"/>
  <c r="A179" i="7"/>
  <c r="E178" i="7"/>
  <c r="D178" i="7"/>
  <c r="C178" i="7"/>
  <c r="B178" i="7"/>
  <c r="A178" i="7"/>
  <c r="E177" i="7"/>
  <c r="D177" i="7"/>
  <c r="C177" i="7"/>
  <c r="B177" i="7"/>
  <c r="A177" i="7"/>
  <c r="E176" i="7"/>
  <c r="D176" i="7"/>
  <c r="C176" i="7"/>
  <c r="B176" i="7"/>
  <c r="A176" i="7"/>
  <c r="E175" i="7"/>
  <c r="D175" i="7"/>
  <c r="C175" i="7"/>
  <c r="B175" i="7"/>
  <c r="A175" i="7"/>
  <c r="E174" i="7"/>
  <c r="D174" i="7"/>
  <c r="C174" i="7"/>
  <c r="B174" i="7"/>
  <c r="A174" i="7"/>
  <c r="E173" i="7"/>
  <c r="D173" i="7"/>
  <c r="C173" i="7"/>
  <c r="B173" i="7"/>
  <c r="A173" i="7"/>
  <c r="E172" i="7"/>
  <c r="D172" i="7"/>
  <c r="C172" i="7"/>
  <c r="B172" i="7"/>
  <c r="A172" i="7"/>
  <c r="E171" i="7"/>
  <c r="D171" i="7"/>
  <c r="C171" i="7"/>
  <c r="B171" i="7"/>
  <c r="A171" i="7"/>
  <c r="E170" i="7"/>
  <c r="D170" i="7"/>
  <c r="C170" i="7"/>
  <c r="B170" i="7"/>
  <c r="A170" i="7"/>
  <c r="E169" i="7"/>
  <c r="D169" i="7"/>
  <c r="C169" i="7"/>
  <c r="B169" i="7"/>
  <c r="A169" i="7"/>
  <c r="E168" i="7"/>
  <c r="D168" i="7"/>
  <c r="C168" i="7"/>
  <c r="B168" i="7"/>
  <c r="A168" i="7"/>
  <c r="E167" i="7"/>
  <c r="D167" i="7"/>
  <c r="C167" i="7"/>
  <c r="B167" i="7"/>
  <c r="A167" i="7"/>
  <c r="E166" i="7"/>
  <c r="D166" i="7"/>
  <c r="C166" i="7"/>
  <c r="B166" i="7"/>
  <c r="A166" i="7"/>
  <c r="E165" i="7"/>
  <c r="D165" i="7"/>
  <c r="C165" i="7"/>
  <c r="B165" i="7"/>
  <c r="A165" i="7"/>
  <c r="E164" i="7"/>
  <c r="D164" i="7"/>
  <c r="C164" i="7"/>
  <c r="B164" i="7"/>
  <c r="A164" i="7"/>
  <c r="E163" i="7"/>
  <c r="D163" i="7"/>
  <c r="C163" i="7"/>
  <c r="B163" i="7"/>
  <c r="A163" i="7"/>
  <c r="E162" i="7"/>
  <c r="D162" i="7"/>
  <c r="C162" i="7"/>
  <c r="B162" i="7"/>
  <c r="A162" i="7"/>
  <c r="E161" i="7"/>
  <c r="D161" i="7"/>
  <c r="C161" i="7"/>
  <c r="B161" i="7"/>
  <c r="A161" i="7"/>
  <c r="E160" i="7"/>
  <c r="D160" i="7"/>
  <c r="C160" i="7"/>
  <c r="B160" i="7"/>
  <c r="A160" i="7"/>
  <c r="E159" i="7"/>
  <c r="D159" i="7"/>
  <c r="C159" i="7"/>
  <c r="B159" i="7"/>
  <c r="A159" i="7"/>
  <c r="E158" i="7"/>
  <c r="D158" i="7"/>
  <c r="C158" i="7"/>
  <c r="B158" i="7"/>
  <c r="A158" i="7"/>
  <c r="E157" i="7"/>
  <c r="D157" i="7"/>
  <c r="C157" i="7"/>
  <c r="B157" i="7"/>
  <c r="A157" i="7"/>
  <c r="E156" i="7"/>
  <c r="D156" i="7"/>
  <c r="C156" i="7"/>
  <c r="B156" i="7"/>
  <c r="A156" i="7"/>
  <c r="E155" i="7"/>
  <c r="D155" i="7"/>
  <c r="C155" i="7"/>
  <c r="B155" i="7"/>
  <c r="A155" i="7"/>
  <c r="E154" i="7"/>
  <c r="D154" i="7"/>
  <c r="C154" i="7"/>
  <c r="B154" i="7"/>
  <c r="A154" i="7"/>
  <c r="E153" i="7"/>
  <c r="D153" i="7"/>
  <c r="C153" i="7"/>
  <c r="B153" i="7"/>
  <c r="A153" i="7"/>
  <c r="E152" i="7"/>
  <c r="D152" i="7"/>
  <c r="C152" i="7"/>
  <c r="B152" i="7"/>
  <c r="A152" i="7"/>
  <c r="E151" i="7"/>
  <c r="D151" i="7"/>
  <c r="C151" i="7"/>
  <c r="B151" i="7"/>
  <c r="A151" i="7"/>
  <c r="E150" i="7"/>
  <c r="D150" i="7"/>
  <c r="C150" i="7"/>
  <c r="B150" i="7"/>
  <c r="A150" i="7"/>
  <c r="E149" i="7"/>
  <c r="D149" i="7"/>
  <c r="C149" i="7"/>
  <c r="B149" i="7"/>
  <c r="A149" i="7"/>
  <c r="E148" i="7"/>
  <c r="D148" i="7"/>
  <c r="C148" i="7"/>
  <c r="B148" i="7"/>
  <c r="A148" i="7"/>
  <c r="E147" i="7"/>
  <c r="D147" i="7"/>
  <c r="C147" i="7"/>
  <c r="B147" i="7"/>
  <c r="A147" i="7"/>
  <c r="E146" i="7"/>
  <c r="D146" i="7"/>
  <c r="C146" i="7"/>
  <c r="B146" i="7"/>
  <c r="A146" i="7"/>
  <c r="E145" i="7"/>
  <c r="D145" i="7"/>
  <c r="C145" i="7"/>
  <c r="B145" i="7"/>
  <c r="A145" i="7"/>
  <c r="E144" i="7"/>
  <c r="D144" i="7"/>
  <c r="C144" i="7"/>
  <c r="B144" i="7"/>
  <c r="A144" i="7"/>
  <c r="E143" i="7"/>
  <c r="D143" i="7"/>
  <c r="C143" i="7"/>
  <c r="B143" i="7"/>
  <c r="A143" i="7"/>
  <c r="E142" i="7"/>
  <c r="D142" i="7"/>
  <c r="C142" i="7"/>
  <c r="B142" i="7"/>
  <c r="A142" i="7"/>
  <c r="E141" i="7"/>
  <c r="D141" i="7"/>
  <c r="C141" i="7"/>
  <c r="B141" i="7"/>
  <c r="A141" i="7"/>
  <c r="E140" i="7"/>
  <c r="D140" i="7"/>
  <c r="C140" i="7"/>
  <c r="B140" i="7"/>
  <c r="A140" i="7"/>
  <c r="E139" i="7"/>
  <c r="D139" i="7"/>
  <c r="C139" i="7"/>
  <c r="B139" i="7"/>
  <c r="A139" i="7"/>
  <c r="E138" i="7"/>
  <c r="D138" i="7"/>
  <c r="C138" i="7"/>
  <c r="B138" i="7"/>
  <c r="A138" i="7"/>
  <c r="E137" i="7"/>
  <c r="D137" i="7"/>
  <c r="C137" i="7"/>
  <c r="B137" i="7"/>
  <c r="A137" i="7"/>
  <c r="E136" i="7"/>
  <c r="D136" i="7"/>
  <c r="C136" i="7"/>
  <c r="B136" i="7"/>
  <c r="A136" i="7"/>
  <c r="E135" i="7"/>
  <c r="D135" i="7"/>
  <c r="C135" i="7"/>
  <c r="B135" i="7"/>
  <c r="A135" i="7"/>
  <c r="E134" i="7"/>
  <c r="D134" i="7"/>
  <c r="C134" i="7"/>
  <c r="B134" i="7"/>
  <c r="A134" i="7"/>
  <c r="E133" i="7"/>
  <c r="D133" i="7"/>
  <c r="C133" i="7"/>
  <c r="B133" i="7"/>
  <c r="A133" i="7"/>
  <c r="E132" i="7"/>
  <c r="D132" i="7"/>
  <c r="C132" i="7"/>
  <c r="B132" i="7"/>
  <c r="A132" i="7"/>
  <c r="E131" i="7"/>
  <c r="D131" i="7"/>
  <c r="C131" i="7"/>
  <c r="B131" i="7"/>
  <c r="A131" i="7"/>
  <c r="E130" i="7"/>
  <c r="D130" i="7"/>
  <c r="C130" i="7"/>
  <c r="B130" i="7"/>
  <c r="A130" i="7"/>
  <c r="E129" i="7"/>
  <c r="D129" i="7"/>
  <c r="C129" i="7"/>
  <c r="B129" i="7"/>
  <c r="A129" i="7"/>
  <c r="E128" i="7"/>
  <c r="D128" i="7"/>
  <c r="C128" i="7"/>
  <c r="B128" i="7"/>
  <c r="A128" i="7"/>
  <c r="E127" i="7"/>
  <c r="D127" i="7"/>
  <c r="C127" i="7"/>
  <c r="B127" i="7"/>
  <c r="A127" i="7"/>
  <c r="E126" i="7"/>
  <c r="D126" i="7"/>
  <c r="C126" i="7"/>
  <c r="B126" i="7"/>
  <c r="A126" i="7"/>
  <c r="E125" i="7"/>
  <c r="D125" i="7"/>
  <c r="C125" i="7"/>
  <c r="B125" i="7"/>
  <c r="A125" i="7"/>
  <c r="E124" i="7"/>
  <c r="D124" i="7"/>
  <c r="C124" i="7"/>
  <c r="B124" i="7"/>
  <c r="A124" i="7"/>
  <c r="E123" i="7"/>
  <c r="D123" i="7"/>
  <c r="C123" i="7"/>
  <c r="B123" i="7"/>
  <c r="A123" i="7"/>
  <c r="E122" i="7"/>
  <c r="D122" i="7"/>
  <c r="C122" i="7"/>
  <c r="B122" i="7"/>
  <c r="A122" i="7"/>
  <c r="E121" i="7"/>
  <c r="D121" i="7"/>
  <c r="C121" i="7"/>
  <c r="B121" i="7"/>
  <c r="A121" i="7"/>
  <c r="E120" i="7"/>
  <c r="D120" i="7"/>
  <c r="C120" i="7"/>
  <c r="B120" i="7"/>
  <c r="A120" i="7"/>
  <c r="E119" i="7"/>
  <c r="D119" i="7"/>
  <c r="C119" i="7"/>
  <c r="B119" i="7"/>
  <c r="A119" i="7"/>
  <c r="E118" i="7"/>
  <c r="D118" i="7"/>
  <c r="C118" i="7"/>
  <c r="B118" i="7"/>
  <c r="A118" i="7"/>
  <c r="E117" i="7"/>
  <c r="D117" i="7"/>
  <c r="C117" i="7"/>
  <c r="B117" i="7"/>
  <c r="A117" i="7"/>
  <c r="E116" i="7"/>
  <c r="D116" i="7"/>
  <c r="C116" i="7"/>
  <c r="B116" i="7"/>
  <c r="A116" i="7"/>
  <c r="E115" i="7"/>
  <c r="D115" i="7"/>
  <c r="C115" i="7"/>
  <c r="B115" i="7"/>
  <c r="A115" i="7"/>
  <c r="E114" i="7"/>
  <c r="D114" i="7"/>
  <c r="C114" i="7"/>
  <c r="B114" i="7"/>
  <c r="A114" i="7"/>
  <c r="E113" i="7"/>
  <c r="D113" i="7"/>
  <c r="C113" i="7"/>
  <c r="B113" i="7"/>
  <c r="A113" i="7"/>
  <c r="E112" i="7"/>
  <c r="D112" i="7"/>
  <c r="C112" i="7"/>
  <c r="B112" i="7"/>
  <c r="A112" i="7"/>
  <c r="E111" i="7"/>
  <c r="D111" i="7"/>
  <c r="C111" i="7"/>
  <c r="B111" i="7"/>
  <c r="A111" i="7"/>
  <c r="E110" i="7"/>
  <c r="D110" i="7"/>
  <c r="C110" i="7"/>
  <c r="B110" i="7"/>
  <c r="A110" i="7"/>
  <c r="E109" i="7"/>
  <c r="D109" i="7"/>
  <c r="C109" i="7"/>
  <c r="B109" i="7"/>
  <c r="A109" i="7"/>
  <c r="E108" i="7"/>
  <c r="D108" i="7"/>
  <c r="C108" i="7"/>
  <c r="B108" i="7"/>
  <c r="A108" i="7"/>
  <c r="E107" i="7"/>
  <c r="D107" i="7"/>
  <c r="C107" i="7"/>
  <c r="B107" i="7"/>
  <c r="A107" i="7"/>
  <c r="E106" i="7"/>
  <c r="D106" i="7"/>
  <c r="C106" i="7"/>
  <c r="B106" i="7"/>
  <c r="A106" i="7"/>
  <c r="E105" i="7"/>
  <c r="D105" i="7"/>
  <c r="C105" i="7"/>
  <c r="B105" i="7"/>
  <c r="A105" i="7"/>
  <c r="E104" i="7"/>
  <c r="D104" i="7"/>
  <c r="C104" i="7"/>
  <c r="B104" i="7"/>
  <c r="A104" i="7"/>
  <c r="E103" i="7"/>
  <c r="D103" i="7"/>
  <c r="C103" i="7"/>
  <c r="B103" i="7"/>
  <c r="A103" i="7"/>
  <c r="E102" i="7"/>
  <c r="D102" i="7"/>
  <c r="C102" i="7"/>
  <c r="B102" i="7"/>
  <c r="A102" i="7"/>
  <c r="E101" i="7"/>
  <c r="D101" i="7"/>
  <c r="C101" i="7"/>
  <c r="B101" i="7"/>
  <c r="A101" i="7"/>
  <c r="E100" i="7"/>
  <c r="D100" i="7"/>
  <c r="C100" i="7"/>
  <c r="B100" i="7"/>
  <c r="A100" i="7"/>
  <c r="E99" i="7"/>
  <c r="D99" i="7"/>
  <c r="C99" i="7"/>
  <c r="B99" i="7"/>
  <c r="A99" i="7"/>
  <c r="E98" i="7"/>
  <c r="D98" i="7"/>
  <c r="C98" i="7"/>
  <c r="B98" i="7"/>
  <c r="A98" i="7"/>
  <c r="E97" i="7"/>
  <c r="D97" i="7"/>
  <c r="C97" i="7"/>
  <c r="B97" i="7"/>
  <c r="A97" i="7"/>
  <c r="E96" i="7"/>
  <c r="D96" i="7"/>
  <c r="C96" i="7"/>
  <c r="B96" i="7"/>
  <c r="A96" i="7"/>
  <c r="E95" i="7"/>
  <c r="D95" i="7"/>
  <c r="C95" i="7"/>
  <c r="B95" i="7"/>
  <c r="A95" i="7"/>
  <c r="E94" i="7"/>
  <c r="D94" i="7"/>
  <c r="C94" i="7"/>
  <c r="B94" i="7"/>
  <c r="A94" i="7"/>
  <c r="E93" i="7"/>
  <c r="D93" i="7"/>
  <c r="C93" i="7"/>
  <c r="B93" i="7"/>
  <c r="A93" i="7"/>
  <c r="E92" i="7"/>
  <c r="D92" i="7"/>
  <c r="C92" i="7"/>
  <c r="B92" i="7"/>
  <c r="A92" i="7"/>
  <c r="E91" i="7"/>
  <c r="D91" i="7"/>
  <c r="C91" i="7"/>
  <c r="B91" i="7"/>
  <c r="A91" i="7"/>
  <c r="E90" i="7"/>
  <c r="D90" i="7"/>
  <c r="C90" i="7"/>
  <c r="B90" i="7"/>
  <c r="A90" i="7"/>
  <c r="E89" i="7"/>
  <c r="D89" i="7"/>
  <c r="C89" i="7"/>
  <c r="B89" i="7"/>
  <c r="A89" i="7"/>
  <c r="E88" i="7"/>
  <c r="D88" i="7"/>
  <c r="C88" i="7"/>
  <c r="B88" i="7"/>
  <c r="A88" i="7"/>
  <c r="E87" i="7"/>
  <c r="D87" i="7"/>
  <c r="C87" i="7"/>
  <c r="B87" i="7"/>
  <c r="A87" i="7"/>
  <c r="E86" i="7"/>
  <c r="D86" i="7"/>
  <c r="C86" i="7"/>
  <c r="B86" i="7"/>
  <c r="A86" i="7"/>
  <c r="E85" i="7"/>
  <c r="D85" i="7"/>
  <c r="C85" i="7"/>
  <c r="B85" i="7"/>
  <c r="A85" i="7"/>
  <c r="E84" i="7"/>
  <c r="D84" i="7"/>
  <c r="C84" i="7"/>
  <c r="B84" i="7"/>
  <c r="A84" i="7"/>
  <c r="E83" i="7"/>
  <c r="D83" i="7"/>
  <c r="C83" i="7"/>
  <c r="B83" i="7"/>
  <c r="A83" i="7"/>
  <c r="E82" i="7"/>
  <c r="D82" i="7"/>
  <c r="C82" i="7"/>
  <c r="B82" i="7"/>
  <c r="A82" i="7"/>
  <c r="E81" i="7"/>
  <c r="D81" i="7"/>
  <c r="C81" i="7"/>
  <c r="B81" i="7"/>
  <c r="A81" i="7"/>
  <c r="E80" i="7"/>
  <c r="D80" i="7"/>
  <c r="C80" i="7"/>
  <c r="B80" i="7"/>
  <c r="A80" i="7"/>
  <c r="E79" i="7"/>
  <c r="D79" i="7"/>
  <c r="C79" i="7"/>
  <c r="B79" i="7"/>
  <c r="A79" i="7"/>
  <c r="E78" i="7"/>
  <c r="D78" i="7"/>
  <c r="C78" i="7"/>
  <c r="B78" i="7"/>
  <c r="A78" i="7"/>
  <c r="E77" i="7"/>
  <c r="D77" i="7"/>
  <c r="C77" i="7"/>
  <c r="B77" i="7"/>
  <c r="A77" i="7"/>
  <c r="E76" i="7"/>
  <c r="D76" i="7"/>
  <c r="C76" i="7"/>
  <c r="B76" i="7"/>
  <c r="A76" i="7"/>
  <c r="E75" i="7"/>
  <c r="D75" i="7"/>
  <c r="C75" i="7"/>
  <c r="B75" i="7"/>
  <c r="A75" i="7"/>
  <c r="E74" i="7"/>
  <c r="D74" i="7"/>
  <c r="C74" i="7"/>
  <c r="B74" i="7"/>
  <c r="A74" i="7"/>
  <c r="E73" i="7"/>
  <c r="D73" i="7"/>
  <c r="C73" i="7"/>
  <c r="B73" i="7"/>
  <c r="A73" i="7"/>
  <c r="E72" i="7"/>
  <c r="D72" i="7"/>
  <c r="C72" i="7"/>
  <c r="B72" i="7"/>
  <c r="A72" i="7"/>
  <c r="E71" i="7"/>
  <c r="D71" i="7"/>
  <c r="C71" i="7"/>
  <c r="B71" i="7"/>
  <c r="A71" i="7"/>
  <c r="E70" i="7"/>
  <c r="D70" i="7"/>
  <c r="C70" i="7"/>
  <c r="B70" i="7"/>
  <c r="A70" i="7"/>
  <c r="E69" i="7"/>
  <c r="D69" i="7"/>
  <c r="C69" i="7"/>
  <c r="B69" i="7"/>
  <c r="A69" i="7"/>
  <c r="E68" i="7"/>
  <c r="D68" i="7"/>
  <c r="C68" i="7"/>
  <c r="B68" i="7"/>
  <c r="A68" i="7"/>
  <c r="E67" i="7"/>
  <c r="D67" i="7"/>
  <c r="C67" i="7"/>
  <c r="B67" i="7"/>
  <c r="A67" i="7"/>
  <c r="E66" i="7"/>
  <c r="D66" i="7"/>
  <c r="C66" i="7"/>
  <c r="B66" i="7"/>
  <c r="A66" i="7"/>
  <c r="E65" i="7"/>
  <c r="D65" i="7"/>
  <c r="C65" i="7"/>
  <c r="B65" i="7"/>
  <c r="A65" i="7"/>
  <c r="E64" i="7"/>
  <c r="D64" i="7"/>
  <c r="C64" i="7"/>
  <c r="B64" i="7"/>
  <c r="A64" i="7"/>
  <c r="E63" i="7"/>
  <c r="D63" i="7"/>
  <c r="C63" i="7"/>
  <c r="B63" i="7"/>
  <c r="A63" i="7"/>
  <c r="E62" i="7"/>
  <c r="D62" i="7"/>
  <c r="C62" i="7"/>
  <c r="B62" i="7"/>
  <c r="A62" i="7"/>
  <c r="E61" i="7"/>
  <c r="D61" i="7"/>
  <c r="C61" i="7"/>
  <c r="B61" i="7"/>
  <c r="A61" i="7"/>
  <c r="E60" i="7"/>
  <c r="D60" i="7"/>
  <c r="C60" i="7"/>
  <c r="B60" i="7"/>
  <c r="A60" i="7"/>
  <c r="E59" i="7"/>
  <c r="D59" i="7"/>
  <c r="C59" i="7"/>
  <c r="B59" i="7"/>
  <c r="A59" i="7"/>
  <c r="E58" i="7"/>
  <c r="D58" i="7"/>
  <c r="C58" i="7"/>
  <c r="B58" i="7"/>
  <c r="A58" i="7"/>
  <c r="E57" i="7"/>
  <c r="D57" i="7"/>
  <c r="C57" i="7"/>
  <c r="B57" i="7"/>
  <c r="A57" i="7"/>
  <c r="E56" i="7"/>
  <c r="D56" i="7"/>
  <c r="C56" i="7"/>
  <c r="B56" i="7"/>
  <c r="A56" i="7"/>
  <c r="E55" i="7"/>
  <c r="D55" i="7"/>
  <c r="C55" i="7"/>
  <c r="B55" i="7"/>
  <c r="A55" i="7"/>
  <c r="E54" i="7"/>
  <c r="D54" i="7"/>
  <c r="C54" i="7"/>
  <c r="B54" i="7"/>
  <c r="A54" i="7"/>
  <c r="E53" i="7"/>
  <c r="D53" i="7"/>
  <c r="C53" i="7"/>
  <c r="B53" i="7"/>
  <c r="A53" i="7"/>
  <c r="E52" i="7"/>
  <c r="D52" i="7"/>
  <c r="C52" i="7"/>
  <c r="B52" i="7"/>
  <c r="A52" i="7"/>
  <c r="E51" i="7"/>
  <c r="D51" i="7"/>
  <c r="C51" i="7"/>
  <c r="B51" i="7"/>
  <c r="A51" i="7"/>
  <c r="E50" i="7"/>
  <c r="D50" i="7"/>
  <c r="C50" i="7"/>
  <c r="B50" i="7"/>
  <c r="A50" i="7"/>
  <c r="E49" i="7"/>
  <c r="D49" i="7"/>
  <c r="C49" i="7"/>
  <c r="B49" i="7"/>
  <c r="A49" i="7"/>
  <c r="E48" i="7"/>
  <c r="D48" i="7"/>
  <c r="C48" i="7"/>
  <c r="B48" i="7"/>
  <c r="A48" i="7"/>
  <c r="E47" i="7"/>
  <c r="D47" i="7"/>
  <c r="C47" i="7"/>
  <c r="B47" i="7"/>
  <c r="A47" i="7"/>
  <c r="E46" i="7"/>
  <c r="D46" i="7"/>
  <c r="C46" i="7"/>
  <c r="B46" i="7"/>
  <c r="A46" i="7"/>
  <c r="E45" i="7"/>
  <c r="D45" i="7"/>
  <c r="C45" i="7"/>
  <c r="B45" i="7"/>
  <c r="A45" i="7"/>
  <c r="E44" i="7"/>
  <c r="D44" i="7"/>
  <c r="C44" i="7"/>
  <c r="B44" i="7"/>
  <c r="A44" i="7"/>
  <c r="E43" i="7"/>
  <c r="D43" i="7"/>
  <c r="C43" i="7"/>
  <c r="B43" i="7"/>
  <c r="A43" i="7"/>
  <c r="E42" i="7"/>
  <c r="D42" i="7"/>
  <c r="C42" i="7"/>
  <c r="B42" i="7"/>
  <c r="A42" i="7"/>
  <c r="E41" i="7"/>
  <c r="D41" i="7"/>
  <c r="C41" i="7"/>
  <c r="B41" i="7"/>
  <c r="A41" i="7"/>
  <c r="E40" i="7"/>
  <c r="D40" i="7"/>
  <c r="C40" i="7"/>
  <c r="B40" i="7"/>
  <c r="A40" i="7"/>
  <c r="E39" i="7"/>
  <c r="D39" i="7"/>
  <c r="C39" i="7"/>
  <c r="B39" i="7"/>
  <c r="A39" i="7"/>
  <c r="E38" i="7"/>
  <c r="D38" i="7"/>
  <c r="C38" i="7"/>
  <c r="B38" i="7"/>
  <c r="A38" i="7"/>
  <c r="E37" i="7"/>
  <c r="D37" i="7"/>
  <c r="C37" i="7"/>
  <c r="B37" i="7"/>
  <c r="A37" i="7"/>
  <c r="E36" i="7"/>
  <c r="D36" i="7"/>
  <c r="C36" i="7"/>
  <c r="B36" i="7"/>
  <c r="A36" i="7"/>
  <c r="E35" i="7"/>
  <c r="D35" i="7"/>
  <c r="C35" i="7"/>
  <c r="B35" i="7"/>
  <c r="A35" i="7"/>
  <c r="E34" i="7"/>
  <c r="D34" i="7"/>
  <c r="C34" i="7"/>
  <c r="B34" i="7"/>
  <c r="A34" i="7"/>
  <c r="E33" i="7"/>
  <c r="D33" i="7"/>
  <c r="C33" i="7"/>
  <c r="B33" i="7"/>
  <c r="A33" i="7"/>
  <c r="E32" i="7"/>
  <c r="D32" i="7"/>
  <c r="C32" i="7"/>
  <c r="B32" i="7"/>
  <c r="A32" i="7"/>
  <c r="E31" i="7"/>
  <c r="D31" i="7"/>
  <c r="C31" i="7"/>
  <c r="B31" i="7"/>
  <c r="A31" i="7"/>
  <c r="E30" i="7"/>
  <c r="D30" i="7"/>
  <c r="C30" i="7"/>
  <c r="B30" i="7"/>
  <c r="A30" i="7"/>
  <c r="E29" i="7"/>
  <c r="D29" i="7"/>
  <c r="C29" i="7"/>
  <c r="B29" i="7"/>
  <c r="A29" i="7"/>
  <c r="E28" i="7"/>
  <c r="D28" i="7"/>
  <c r="C28" i="7"/>
  <c r="B28" i="7"/>
  <c r="A28" i="7"/>
  <c r="E27" i="7"/>
  <c r="D27" i="7"/>
  <c r="C27" i="7"/>
  <c r="B27" i="7"/>
  <c r="A27" i="7"/>
  <c r="E26" i="7"/>
  <c r="D26" i="7"/>
  <c r="C26" i="7"/>
  <c r="B26" i="7"/>
  <c r="A26" i="7"/>
  <c r="E25" i="7"/>
  <c r="D25" i="7"/>
  <c r="C25" i="7"/>
  <c r="B25" i="7"/>
  <c r="A25" i="7"/>
  <c r="E24" i="7"/>
  <c r="D24" i="7"/>
  <c r="C24" i="7"/>
  <c r="B24" i="7"/>
  <c r="A24" i="7"/>
  <c r="E23" i="7"/>
  <c r="D23" i="7"/>
  <c r="C23" i="7"/>
  <c r="B23" i="7"/>
  <c r="A23" i="7"/>
  <c r="E22" i="7"/>
  <c r="D22" i="7"/>
  <c r="C22" i="7"/>
  <c r="B22" i="7"/>
  <c r="A22" i="7"/>
  <c r="E21" i="7"/>
  <c r="D21" i="7"/>
  <c r="C21" i="7"/>
  <c r="B21" i="7"/>
  <c r="A21" i="7"/>
  <c r="E20" i="7"/>
  <c r="D20" i="7"/>
  <c r="C20" i="7"/>
  <c r="B20" i="7"/>
  <c r="A20" i="7"/>
  <c r="E19" i="7"/>
  <c r="D19" i="7"/>
  <c r="C19" i="7"/>
  <c r="B19" i="7"/>
  <c r="A19" i="7"/>
  <c r="E18" i="7"/>
  <c r="D18" i="7"/>
  <c r="C18" i="7"/>
  <c r="B18" i="7"/>
  <c r="A18" i="7"/>
  <c r="E17" i="7"/>
  <c r="D17" i="7"/>
  <c r="C17" i="7"/>
  <c r="B17" i="7"/>
  <c r="A17" i="7"/>
  <c r="E16" i="7"/>
  <c r="D16" i="7"/>
  <c r="C16" i="7"/>
  <c r="B16" i="7"/>
  <c r="A16" i="7"/>
  <c r="E15" i="7"/>
  <c r="D15" i="7"/>
  <c r="C15" i="7"/>
  <c r="B15" i="7"/>
  <c r="A15" i="7"/>
  <c r="E14" i="7"/>
  <c r="D14" i="7"/>
  <c r="C14" i="7"/>
  <c r="B14" i="7"/>
  <c r="A14" i="7"/>
  <c r="E13" i="7"/>
  <c r="D13" i="7"/>
  <c r="C13" i="7"/>
  <c r="B13" i="7"/>
  <c r="A13" i="7"/>
  <c r="E12" i="7"/>
  <c r="D12" i="7"/>
  <c r="C12" i="7"/>
  <c r="B12" i="7"/>
  <c r="A12" i="7"/>
  <c r="E11" i="7"/>
  <c r="D11" i="7"/>
  <c r="C11" i="7"/>
  <c r="B11" i="7"/>
  <c r="A11" i="7"/>
  <c r="E10" i="7"/>
  <c r="D10" i="7"/>
  <c r="C10" i="7"/>
  <c r="B10" i="7"/>
  <c r="A10" i="7"/>
  <c r="E9" i="7"/>
  <c r="D9" i="7"/>
  <c r="C9" i="7"/>
  <c r="B9" i="7"/>
  <c r="A9" i="7"/>
  <c r="E8" i="7"/>
  <c r="D8" i="7"/>
  <c r="C8" i="7"/>
  <c r="B8" i="7"/>
  <c r="A8" i="7"/>
  <c r="E7" i="7"/>
  <c r="D7" i="7"/>
  <c r="C7" i="7"/>
  <c r="B7" i="7"/>
  <c r="A7" i="7"/>
  <c r="E6" i="7"/>
  <c r="D6" i="7"/>
  <c r="C6" i="7"/>
  <c r="B6" i="7"/>
  <c r="A6" i="7"/>
  <c r="E5" i="7"/>
  <c r="D5" i="7"/>
  <c r="C5" i="7"/>
  <c r="B5" i="7"/>
  <c r="A5" i="7"/>
  <c r="E4" i="7"/>
  <c r="D4" i="7"/>
  <c r="C4" i="7"/>
  <c r="B4" i="7"/>
  <c r="A4" i="7"/>
  <c r="E3" i="7"/>
  <c r="D3" i="7"/>
  <c r="C3" i="7"/>
  <c r="B3" i="7"/>
  <c r="A3" i="7"/>
  <c r="E2" i="7"/>
  <c r="D2" i="7"/>
  <c r="C2" i="7"/>
  <c r="B2" i="7"/>
  <c r="A2" i="7"/>
  <c r="I486" i="6"/>
  <c r="H486" i="6"/>
  <c r="E486" i="6"/>
  <c r="D486" i="6"/>
  <c r="I485" i="6"/>
  <c r="H485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I479" i="6"/>
  <c r="H479" i="6"/>
  <c r="E479" i="6"/>
  <c r="D479" i="6"/>
  <c r="I478" i="6"/>
  <c r="H478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I472" i="6"/>
  <c r="H472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I465" i="6"/>
  <c r="H465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I458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I448" i="6"/>
  <c r="H448" i="6"/>
  <c r="E448" i="6"/>
  <c r="D448" i="6"/>
  <c r="I447" i="6"/>
  <c r="H447" i="6"/>
  <c r="E447" i="6"/>
  <c r="D447" i="6"/>
  <c r="E446" i="6"/>
  <c r="D446" i="6"/>
  <c r="E445" i="6"/>
  <c r="D445" i="6"/>
  <c r="I444" i="6"/>
  <c r="H444" i="6"/>
  <c r="E444" i="6"/>
  <c r="D444" i="6"/>
  <c r="I443" i="6"/>
  <c r="H443" i="6"/>
  <c r="E443" i="6"/>
  <c r="D443" i="6"/>
  <c r="I442" i="6"/>
  <c r="H442" i="6"/>
  <c r="E442" i="6"/>
  <c r="D442" i="6"/>
  <c r="I441" i="6"/>
  <c r="H441" i="6"/>
  <c r="E441" i="6"/>
  <c r="D441" i="6"/>
  <c r="E440" i="6"/>
  <c r="D440" i="6"/>
  <c r="E439" i="6"/>
  <c r="D439" i="6"/>
  <c r="E438" i="6"/>
  <c r="D438" i="6"/>
  <c r="I437" i="6"/>
  <c r="H437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I430" i="6"/>
  <c r="H430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I423" i="6"/>
  <c r="H423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I409" i="6"/>
  <c r="H409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I402" i="6"/>
  <c r="H402" i="6"/>
  <c r="E402" i="6"/>
  <c r="D402" i="6"/>
  <c r="E401" i="6"/>
  <c r="D401" i="6"/>
  <c r="I400" i="6"/>
  <c r="H400" i="6"/>
  <c r="E400" i="6"/>
  <c r="D400" i="6"/>
  <c r="E399" i="6"/>
  <c r="D399" i="6"/>
  <c r="E398" i="6"/>
  <c r="D398" i="6"/>
  <c r="E397" i="6"/>
  <c r="D397" i="6"/>
  <c r="E396" i="6"/>
  <c r="D396" i="6"/>
  <c r="I395" i="6"/>
  <c r="H395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I388" i="6"/>
  <c r="H388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I381" i="6"/>
  <c r="H381" i="6"/>
  <c r="E381" i="6"/>
  <c r="D381" i="6"/>
  <c r="E380" i="6"/>
  <c r="D380" i="6"/>
  <c r="E379" i="6"/>
  <c r="D379" i="6"/>
  <c r="I378" i="6"/>
  <c r="H378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T181" i="5"/>
  <c r="S181" i="5"/>
  <c r="U181" i="5" s="1"/>
  <c r="O181" i="5"/>
  <c r="N181" i="5"/>
  <c r="M181" i="5"/>
  <c r="J181" i="5"/>
  <c r="I181" i="5"/>
  <c r="F181" i="5"/>
  <c r="E181" i="5"/>
  <c r="T180" i="5"/>
  <c r="P180" i="5" s="1"/>
  <c r="S180" i="5"/>
  <c r="N180" i="5"/>
  <c r="M180" i="5"/>
  <c r="I180" i="5"/>
  <c r="J180" i="5" s="1"/>
  <c r="F180" i="5"/>
  <c r="E180" i="5"/>
  <c r="T179" i="5"/>
  <c r="P179" i="5"/>
  <c r="N179" i="5"/>
  <c r="M179" i="5"/>
  <c r="J179" i="5"/>
  <c r="I179" i="5"/>
  <c r="E179" i="5"/>
  <c r="T178" i="5"/>
  <c r="S178" i="5"/>
  <c r="M178" i="5"/>
  <c r="N178" i="5" s="1"/>
  <c r="J178" i="5"/>
  <c r="I178" i="5"/>
  <c r="E178" i="5"/>
  <c r="F178" i="5" s="1"/>
  <c r="T177" i="5"/>
  <c r="O177" i="5"/>
  <c r="N177" i="5"/>
  <c r="M177" i="5"/>
  <c r="J177" i="5"/>
  <c r="I177" i="5"/>
  <c r="S177" i="5" s="1"/>
  <c r="F177" i="5"/>
  <c r="E177" i="5"/>
  <c r="U176" i="5"/>
  <c r="T176" i="5"/>
  <c r="S176" i="5"/>
  <c r="V176" i="5" s="1"/>
  <c r="N176" i="5"/>
  <c r="M176" i="5"/>
  <c r="I176" i="5"/>
  <c r="J176" i="5" s="1"/>
  <c r="F176" i="5"/>
  <c r="E176" i="5"/>
  <c r="T175" i="5"/>
  <c r="N175" i="5"/>
  <c r="M175" i="5"/>
  <c r="J175" i="5"/>
  <c r="I175" i="5"/>
  <c r="E175" i="5"/>
  <c r="T174" i="5"/>
  <c r="M174" i="5"/>
  <c r="J174" i="5"/>
  <c r="I174" i="5"/>
  <c r="E174" i="5"/>
  <c r="F174" i="5" s="1"/>
  <c r="V173" i="5"/>
  <c r="T173" i="5"/>
  <c r="S173" i="5"/>
  <c r="U173" i="5" s="1"/>
  <c r="P173" i="5"/>
  <c r="N173" i="5"/>
  <c r="M173" i="5"/>
  <c r="J173" i="5"/>
  <c r="I173" i="5"/>
  <c r="F173" i="5"/>
  <c r="E173" i="5"/>
  <c r="T172" i="5"/>
  <c r="P172" i="5" s="1"/>
  <c r="N172" i="5"/>
  <c r="M172" i="5"/>
  <c r="I172" i="5"/>
  <c r="J172" i="5" s="1"/>
  <c r="E172" i="5"/>
  <c r="T171" i="5"/>
  <c r="P171" i="5"/>
  <c r="N171" i="5"/>
  <c r="M171" i="5"/>
  <c r="J171" i="5"/>
  <c r="I171" i="5"/>
  <c r="E171" i="5"/>
  <c r="T170" i="5"/>
  <c r="M170" i="5"/>
  <c r="N170" i="5" s="1"/>
  <c r="I170" i="5"/>
  <c r="J170" i="5" s="1"/>
  <c r="E170" i="5"/>
  <c r="T169" i="5"/>
  <c r="P169" i="5" s="1"/>
  <c r="S169" i="5"/>
  <c r="U169" i="5" s="1"/>
  <c r="O169" i="5"/>
  <c r="N169" i="5"/>
  <c r="M169" i="5"/>
  <c r="I169" i="5"/>
  <c r="J169" i="5" s="1"/>
  <c r="F169" i="5"/>
  <c r="E169" i="5"/>
  <c r="U168" i="5"/>
  <c r="T168" i="5"/>
  <c r="M168" i="5"/>
  <c r="N168" i="5" s="1"/>
  <c r="I168" i="5"/>
  <c r="J168" i="5" s="1"/>
  <c r="F168" i="5"/>
  <c r="E168" i="5"/>
  <c r="S168" i="5" s="1"/>
  <c r="T167" i="5"/>
  <c r="M167" i="5"/>
  <c r="N167" i="5" s="1"/>
  <c r="I167" i="5"/>
  <c r="F167" i="5"/>
  <c r="E167" i="5"/>
  <c r="T166" i="5"/>
  <c r="M166" i="5"/>
  <c r="N166" i="5" s="1"/>
  <c r="J166" i="5"/>
  <c r="I166" i="5"/>
  <c r="F166" i="5"/>
  <c r="E166" i="5"/>
  <c r="T165" i="5"/>
  <c r="P165" i="5"/>
  <c r="M165" i="5"/>
  <c r="N165" i="5" s="1"/>
  <c r="J165" i="5"/>
  <c r="I165" i="5"/>
  <c r="F165" i="5"/>
  <c r="E165" i="5"/>
  <c r="T164" i="5"/>
  <c r="S164" i="5"/>
  <c r="P164" i="5"/>
  <c r="N164" i="5"/>
  <c r="M164" i="5"/>
  <c r="I164" i="5"/>
  <c r="J164" i="5" s="1"/>
  <c r="F164" i="5"/>
  <c r="E164" i="5"/>
  <c r="T163" i="5"/>
  <c r="N163" i="5"/>
  <c r="M163" i="5"/>
  <c r="I163" i="5"/>
  <c r="J163" i="5" s="1"/>
  <c r="E163" i="5"/>
  <c r="T162" i="5"/>
  <c r="N162" i="5"/>
  <c r="M162" i="5"/>
  <c r="J162" i="5"/>
  <c r="I162" i="5"/>
  <c r="E162" i="5"/>
  <c r="T161" i="5"/>
  <c r="P161" i="5"/>
  <c r="M161" i="5"/>
  <c r="N161" i="5" s="1"/>
  <c r="J161" i="5"/>
  <c r="I161" i="5"/>
  <c r="E161" i="5"/>
  <c r="T160" i="5"/>
  <c r="S160" i="5"/>
  <c r="N160" i="5"/>
  <c r="M160" i="5"/>
  <c r="J160" i="5"/>
  <c r="I160" i="5"/>
  <c r="F160" i="5"/>
  <c r="E160" i="5"/>
  <c r="T159" i="5"/>
  <c r="P159" i="5" s="1"/>
  <c r="S159" i="5"/>
  <c r="M159" i="5"/>
  <c r="N159" i="5" s="1"/>
  <c r="J159" i="5"/>
  <c r="I159" i="5"/>
  <c r="F159" i="5"/>
  <c r="E159" i="5"/>
  <c r="T158" i="5"/>
  <c r="P158" i="5"/>
  <c r="M158" i="5"/>
  <c r="N158" i="5" s="1"/>
  <c r="J158" i="5"/>
  <c r="I158" i="5"/>
  <c r="F158" i="5"/>
  <c r="E158" i="5"/>
  <c r="S158" i="5" s="1"/>
  <c r="T157" i="5"/>
  <c r="M157" i="5"/>
  <c r="N157" i="5" s="1"/>
  <c r="J157" i="5"/>
  <c r="I157" i="5"/>
  <c r="E157" i="5"/>
  <c r="V156" i="5"/>
  <c r="T156" i="5"/>
  <c r="P157" i="5" s="1"/>
  <c r="S156" i="5"/>
  <c r="U156" i="5" s="1"/>
  <c r="P156" i="5"/>
  <c r="N156" i="5"/>
  <c r="M156" i="5"/>
  <c r="J156" i="5"/>
  <c r="I156" i="5"/>
  <c r="F156" i="5"/>
  <c r="E156" i="5"/>
  <c r="T155" i="5"/>
  <c r="N155" i="5"/>
  <c r="M155" i="5"/>
  <c r="I155" i="5"/>
  <c r="E155" i="5"/>
  <c r="F155" i="5" s="1"/>
  <c r="T154" i="5"/>
  <c r="P154" i="5"/>
  <c r="N154" i="5"/>
  <c r="M154" i="5"/>
  <c r="J154" i="5"/>
  <c r="I154" i="5"/>
  <c r="E154" i="5"/>
  <c r="U153" i="5"/>
  <c r="T153" i="5"/>
  <c r="S153" i="5"/>
  <c r="V153" i="5" s="1"/>
  <c r="N153" i="5"/>
  <c r="M153" i="5"/>
  <c r="J153" i="5"/>
  <c r="I153" i="5"/>
  <c r="E153" i="5"/>
  <c r="F153" i="5" s="1"/>
  <c r="T152" i="5"/>
  <c r="S152" i="5"/>
  <c r="N152" i="5"/>
  <c r="M152" i="5"/>
  <c r="I152" i="5"/>
  <c r="J152" i="5" s="1"/>
  <c r="F152" i="5"/>
  <c r="E152" i="5"/>
  <c r="T151" i="5"/>
  <c r="M151" i="5"/>
  <c r="N151" i="5" s="1"/>
  <c r="J151" i="5"/>
  <c r="I151" i="5"/>
  <c r="F151" i="5"/>
  <c r="E151" i="5"/>
  <c r="S151" i="5" s="1"/>
  <c r="T150" i="5"/>
  <c r="S150" i="5"/>
  <c r="P150" i="5"/>
  <c r="N150" i="5"/>
  <c r="M150" i="5"/>
  <c r="J150" i="5"/>
  <c r="I150" i="5"/>
  <c r="E150" i="5"/>
  <c r="F150" i="5" s="1"/>
  <c r="T149" i="5"/>
  <c r="S149" i="5"/>
  <c r="M149" i="5"/>
  <c r="N149" i="5" s="1"/>
  <c r="J149" i="5"/>
  <c r="I149" i="5"/>
  <c r="F149" i="5"/>
  <c r="E149" i="5"/>
  <c r="T148" i="5"/>
  <c r="N148" i="5"/>
  <c r="M148" i="5"/>
  <c r="J148" i="5"/>
  <c r="I148" i="5"/>
  <c r="F148" i="5"/>
  <c r="E148" i="5"/>
  <c r="S148" i="5" s="1"/>
  <c r="O148" i="5" s="1"/>
  <c r="T147" i="5"/>
  <c r="S147" i="5"/>
  <c r="P147" i="5"/>
  <c r="N147" i="5"/>
  <c r="M147" i="5"/>
  <c r="I147" i="5"/>
  <c r="J147" i="5" s="1"/>
  <c r="F147" i="5"/>
  <c r="E147" i="5"/>
  <c r="T146" i="5"/>
  <c r="P146" i="5" s="1"/>
  <c r="M146" i="5"/>
  <c r="N146" i="5" s="1"/>
  <c r="J146" i="5"/>
  <c r="I146" i="5"/>
  <c r="E146" i="5"/>
  <c r="U145" i="5"/>
  <c r="T145" i="5"/>
  <c r="S145" i="5"/>
  <c r="N145" i="5"/>
  <c r="M145" i="5"/>
  <c r="I145" i="5"/>
  <c r="J145" i="5" s="1"/>
  <c r="E145" i="5"/>
  <c r="F145" i="5" s="1"/>
  <c r="T144" i="5"/>
  <c r="P144" i="5"/>
  <c r="N144" i="5"/>
  <c r="M144" i="5"/>
  <c r="I144" i="5"/>
  <c r="F144" i="5"/>
  <c r="E144" i="5"/>
  <c r="T143" i="5"/>
  <c r="N143" i="5"/>
  <c r="M143" i="5"/>
  <c r="J143" i="5"/>
  <c r="I143" i="5"/>
  <c r="E143" i="5"/>
  <c r="T142" i="5"/>
  <c r="N142" i="5"/>
  <c r="M142" i="5"/>
  <c r="I142" i="5"/>
  <c r="J142" i="5" s="1"/>
  <c r="E142" i="5"/>
  <c r="T141" i="5"/>
  <c r="M141" i="5"/>
  <c r="N141" i="5" s="1"/>
  <c r="J141" i="5"/>
  <c r="I141" i="5"/>
  <c r="E141" i="5"/>
  <c r="T140" i="5"/>
  <c r="N140" i="5"/>
  <c r="M140" i="5"/>
  <c r="J140" i="5"/>
  <c r="I140" i="5"/>
  <c r="E140" i="5"/>
  <c r="T139" i="5"/>
  <c r="N139" i="5"/>
  <c r="M139" i="5"/>
  <c r="S139" i="5" s="1"/>
  <c r="I139" i="5"/>
  <c r="J139" i="5" s="1"/>
  <c r="F139" i="5"/>
  <c r="E139" i="5"/>
  <c r="T138" i="5"/>
  <c r="P139" i="5" s="1"/>
  <c r="N138" i="5"/>
  <c r="M138" i="5"/>
  <c r="J138" i="5"/>
  <c r="I138" i="5"/>
  <c r="E138" i="5"/>
  <c r="T137" i="5"/>
  <c r="N137" i="5"/>
  <c r="M137" i="5"/>
  <c r="J137" i="5"/>
  <c r="I137" i="5"/>
  <c r="E137" i="5"/>
  <c r="F137" i="5" s="1"/>
  <c r="T136" i="5"/>
  <c r="P136" i="5"/>
  <c r="M136" i="5"/>
  <c r="N136" i="5" s="1"/>
  <c r="J136" i="5"/>
  <c r="I136" i="5"/>
  <c r="F136" i="5"/>
  <c r="E136" i="5"/>
  <c r="T135" i="5"/>
  <c r="N135" i="5"/>
  <c r="M135" i="5"/>
  <c r="J135" i="5"/>
  <c r="I135" i="5"/>
  <c r="S135" i="5" s="1"/>
  <c r="E135" i="5"/>
  <c r="F135" i="5" s="1"/>
  <c r="T134" i="5"/>
  <c r="P134" i="5"/>
  <c r="N134" i="5"/>
  <c r="M134" i="5"/>
  <c r="J134" i="5"/>
  <c r="I134" i="5"/>
  <c r="E134" i="5"/>
  <c r="T133" i="5"/>
  <c r="M133" i="5"/>
  <c r="N133" i="5" s="1"/>
  <c r="I133" i="5"/>
  <c r="J133" i="5" s="1"/>
  <c r="E133" i="5"/>
  <c r="T132" i="5"/>
  <c r="N132" i="5"/>
  <c r="M132" i="5"/>
  <c r="J132" i="5"/>
  <c r="I132" i="5"/>
  <c r="E132" i="5"/>
  <c r="T131" i="5"/>
  <c r="M131" i="5"/>
  <c r="N131" i="5" s="1"/>
  <c r="I131" i="5"/>
  <c r="J131" i="5" s="1"/>
  <c r="F131" i="5"/>
  <c r="E131" i="5"/>
  <c r="T130" i="5"/>
  <c r="P131" i="5" s="1"/>
  <c r="P130" i="5"/>
  <c r="N130" i="5"/>
  <c r="M130" i="5"/>
  <c r="J130" i="5"/>
  <c r="I130" i="5"/>
  <c r="F130" i="5"/>
  <c r="E130" i="5"/>
  <c r="T129" i="5"/>
  <c r="P129" i="5"/>
  <c r="M129" i="5"/>
  <c r="N129" i="5" s="1"/>
  <c r="J129" i="5"/>
  <c r="I129" i="5"/>
  <c r="E129" i="5"/>
  <c r="F129" i="5" s="1"/>
  <c r="T128" i="5"/>
  <c r="P128" i="5"/>
  <c r="M128" i="5"/>
  <c r="I128" i="5"/>
  <c r="J128" i="5" s="1"/>
  <c r="F128" i="5"/>
  <c r="E128" i="5"/>
  <c r="T127" i="5"/>
  <c r="N127" i="5"/>
  <c r="M127" i="5"/>
  <c r="I127" i="5"/>
  <c r="J127" i="5" s="1"/>
  <c r="E127" i="5"/>
  <c r="T126" i="5"/>
  <c r="M126" i="5"/>
  <c r="N126" i="5" s="1"/>
  <c r="J126" i="5"/>
  <c r="I126" i="5"/>
  <c r="E126" i="5"/>
  <c r="T125" i="5"/>
  <c r="M125" i="5"/>
  <c r="N125" i="5" s="1"/>
  <c r="I125" i="5"/>
  <c r="J125" i="5" s="1"/>
  <c r="E125" i="5"/>
  <c r="T124" i="5"/>
  <c r="S124" i="5"/>
  <c r="P124" i="5"/>
  <c r="N124" i="5"/>
  <c r="M124" i="5"/>
  <c r="J124" i="5"/>
  <c r="I124" i="5"/>
  <c r="E124" i="5"/>
  <c r="F124" i="5" s="1"/>
  <c r="T123" i="5"/>
  <c r="S123" i="5"/>
  <c r="V123" i="5" s="1"/>
  <c r="N123" i="5"/>
  <c r="M123" i="5"/>
  <c r="I123" i="5"/>
  <c r="J123" i="5" s="1"/>
  <c r="E123" i="5"/>
  <c r="F123" i="5" s="1"/>
  <c r="T122" i="5"/>
  <c r="M122" i="5"/>
  <c r="N122" i="5" s="1"/>
  <c r="J122" i="5"/>
  <c r="I122" i="5"/>
  <c r="F122" i="5"/>
  <c r="E122" i="5"/>
  <c r="T121" i="5"/>
  <c r="P121" i="5"/>
  <c r="M121" i="5"/>
  <c r="N121" i="5" s="1"/>
  <c r="I121" i="5"/>
  <c r="J121" i="5" s="1"/>
  <c r="E121" i="5"/>
  <c r="F121" i="5" s="1"/>
  <c r="T120" i="5"/>
  <c r="S120" i="5"/>
  <c r="N120" i="5"/>
  <c r="M120" i="5"/>
  <c r="I120" i="5"/>
  <c r="J120" i="5" s="1"/>
  <c r="F120" i="5"/>
  <c r="E120" i="5"/>
  <c r="T119" i="5"/>
  <c r="M119" i="5"/>
  <c r="N119" i="5" s="1"/>
  <c r="J119" i="5"/>
  <c r="I119" i="5"/>
  <c r="E119" i="5"/>
  <c r="T118" i="5"/>
  <c r="P118" i="5" s="1"/>
  <c r="S118" i="5"/>
  <c r="N118" i="5"/>
  <c r="M118" i="5"/>
  <c r="I118" i="5"/>
  <c r="J118" i="5" s="1"/>
  <c r="F118" i="5"/>
  <c r="E118" i="5"/>
  <c r="T117" i="5"/>
  <c r="S117" i="5"/>
  <c r="M117" i="5"/>
  <c r="N117" i="5" s="1"/>
  <c r="I117" i="5"/>
  <c r="J117" i="5" s="1"/>
  <c r="F117" i="5"/>
  <c r="E117" i="5"/>
  <c r="T116" i="5"/>
  <c r="M116" i="5"/>
  <c r="N116" i="5" s="1"/>
  <c r="J116" i="5"/>
  <c r="I116" i="5"/>
  <c r="E116" i="5"/>
  <c r="T115" i="5"/>
  <c r="M115" i="5"/>
  <c r="N115" i="5" s="1"/>
  <c r="I115" i="5"/>
  <c r="J115" i="5" s="1"/>
  <c r="E115" i="5"/>
  <c r="F115" i="5" s="1"/>
  <c r="T114" i="5"/>
  <c r="S114" i="5"/>
  <c r="M114" i="5"/>
  <c r="N114" i="5" s="1"/>
  <c r="J114" i="5"/>
  <c r="I114" i="5"/>
  <c r="F114" i="5"/>
  <c r="E114" i="5"/>
  <c r="T113" i="5"/>
  <c r="N113" i="5"/>
  <c r="M113" i="5"/>
  <c r="I113" i="5"/>
  <c r="J113" i="5" s="1"/>
  <c r="E113" i="5"/>
  <c r="T112" i="5"/>
  <c r="S112" i="5"/>
  <c r="N112" i="5"/>
  <c r="M112" i="5"/>
  <c r="I112" i="5"/>
  <c r="J112" i="5" s="1"/>
  <c r="E112" i="5"/>
  <c r="F112" i="5" s="1"/>
  <c r="T111" i="5"/>
  <c r="M111" i="5"/>
  <c r="N111" i="5" s="1"/>
  <c r="J111" i="5"/>
  <c r="I111" i="5"/>
  <c r="E111" i="5"/>
  <c r="T110" i="5"/>
  <c r="S110" i="5"/>
  <c r="P110" i="5"/>
  <c r="N110" i="5"/>
  <c r="M110" i="5"/>
  <c r="I110" i="5"/>
  <c r="J110" i="5" s="1"/>
  <c r="E110" i="5"/>
  <c r="F110" i="5" s="1"/>
  <c r="T109" i="5"/>
  <c r="S109" i="5"/>
  <c r="P109" i="5"/>
  <c r="M109" i="5"/>
  <c r="N109" i="5" s="1"/>
  <c r="I109" i="5"/>
  <c r="J109" i="5" s="1"/>
  <c r="F109" i="5"/>
  <c r="E109" i="5"/>
  <c r="T108" i="5"/>
  <c r="N108" i="5"/>
  <c r="M108" i="5"/>
  <c r="J108" i="5"/>
  <c r="I108" i="5"/>
  <c r="E108" i="5"/>
  <c r="T107" i="5"/>
  <c r="P107" i="5"/>
  <c r="M107" i="5"/>
  <c r="N107" i="5" s="1"/>
  <c r="I107" i="5"/>
  <c r="J107" i="5" s="1"/>
  <c r="E107" i="5"/>
  <c r="T106" i="5"/>
  <c r="M106" i="5"/>
  <c r="N106" i="5" s="1"/>
  <c r="J106" i="5"/>
  <c r="I106" i="5"/>
  <c r="E106" i="5"/>
  <c r="V105" i="5"/>
  <c r="T105" i="5"/>
  <c r="P105" i="5" s="1"/>
  <c r="N105" i="5"/>
  <c r="M105" i="5"/>
  <c r="J105" i="5"/>
  <c r="I105" i="5"/>
  <c r="F105" i="5"/>
  <c r="E105" i="5"/>
  <c r="S105" i="5" s="1"/>
  <c r="T104" i="5"/>
  <c r="S104" i="5"/>
  <c r="N104" i="5"/>
  <c r="M104" i="5"/>
  <c r="I104" i="5"/>
  <c r="J104" i="5" s="1"/>
  <c r="F104" i="5"/>
  <c r="E104" i="5"/>
  <c r="T103" i="5"/>
  <c r="M103" i="5"/>
  <c r="N103" i="5" s="1"/>
  <c r="J103" i="5"/>
  <c r="I103" i="5"/>
  <c r="E103" i="5"/>
  <c r="T102" i="5"/>
  <c r="N102" i="5"/>
  <c r="M102" i="5"/>
  <c r="I102" i="5"/>
  <c r="E102" i="5"/>
  <c r="F102" i="5" s="1"/>
  <c r="T101" i="5"/>
  <c r="N101" i="5"/>
  <c r="M101" i="5"/>
  <c r="I101" i="5"/>
  <c r="F101" i="5"/>
  <c r="E101" i="5"/>
  <c r="T100" i="5"/>
  <c r="M100" i="5"/>
  <c r="N100" i="5" s="1"/>
  <c r="J100" i="5"/>
  <c r="I100" i="5"/>
  <c r="E100" i="5"/>
  <c r="T99" i="5"/>
  <c r="M99" i="5"/>
  <c r="N99" i="5" s="1"/>
  <c r="J99" i="5"/>
  <c r="I99" i="5"/>
  <c r="E99" i="5"/>
  <c r="F99" i="5" s="1"/>
  <c r="T98" i="5"/>
  <c r="P99" i="5" s="1"/>
  <c r="M98" i="5"/>
  <c r="N98" i="5" s="1"/>
  <c r="I98" i="5"/>
  <c r="J98" i="5" s="1"/>
  <c r="E98" i="5"/>
  <c r="V97" i="5"/>
  <c r="T97" i="5"/>
  <c r="P97" i="5"/>
  <c r="N97" i="5"/>
  <c r="M97" i="5"/>
  <c r="J97" i="5"/>
  <c r="I97" i="5"/>
  <c r="F97" i="5"/>
  <c r="E97" i="5"/>
  <c r="S97" i="5" s="1"/>
  <c r="U97" i="5" s="1"/>
  <c r="T96" i="5"/>
  <c r="S96" i="5"/>
  <c r="N96" i="5"/>
  <c r="M96" i="5"/>
  <c r="I96" i="5"/>
  <c r="J96" i="5" s="1"/>
  <c r="F96" i="5"/>
  <c r="E96" i="5"/>
  <c r="T95" i="5"/>
  <c r="N95" i="5"/>
  <c r="M95" i="5"/>
  <c r="J95" i="5"/>
  <c r="I95" i="5"/>
  <c r="F95" i="5"/>
  <c r="E95" i="5"/>
  <c r="S95" i="5" s="1"/>
  <c r="T94" i="5"/>
  <c r="N94" i="5"/>
  <c r="M94" i="5"/>
  <c r="I94" i="5"/>
  <c r="J94" i="5" s="1"/>
  <c r="E94" i="5"/>
  <c r="F94" i="5" s="1"/>
  <c r="T93" i="5"/>
  <c r="M93" i="5"/>
  <c r="N93" i="5" s="1"/>
  <c r="I93" i="5"/>
  <c r="F93" i="5"/>
  <c r="E93" i="5"/>
  <c r="T92" i="5"/>
  <c r="P92" i="5" s="1"/>
  <c r="N92" i="5"/>
  <c r="M92" i="5"/>
  <c r="J92" i="5"/>
  <c r="I92" i="5"/>
  <c r="F92" i="5"/>
  <c r="E92" i="5"/>
  <c r="S92" i="5" s="1"/>
  <c r="T91" i="5"/>
  <c r="S91" i="5"/>
  <c r="N91" i="5"/>
  <c r="M91" i="5"/>
  <c r="J91" i="5"/>
  <c r="I91" i="5"/>
  <c r="E91" i="5"/>
  <c r="F91" i="5" s="1"/>
  <c r="T90" i="5"/>
  <c r="M90" i="5"/>
  <c r="N90" i="5" s="1"/>
  <c r="J90" i="5"/>
  <c r="I90" i="5"/>
  <c r="E90" i="5"/>
  <c r="T89" i="5"/>
  <c r="P89" i="5" s="1"/>
  <c r="N89" i="5"/>
  <c r="M89" i="5"/>
  <c r="J89" i="5"/>
  <c r="I89" i="5"/>
  <c r="E89" i="5"/>
  <c r="F89" i="5" s="1"/>
  <c r="T88" i="5"/>
  <c r="N88" i="5"/>
  <c r="M88" i="5"/>
  <c r="I88" i="5"/>
  <c r="J88" i="5" s="1"/>
  <c r="F88" i="5"/>
  <c r="E88" i="5"/>
  <c r="S88" i="5" s="1"/>
  <c r="T87" i="5"/>
  <c r="P88" i="5" s="1"/>
  <c r="N87" i="5"/>
  <c r="M87" i="5"/>
  <c r="J87" i="5"/>
  <c r="I87" i="5"/>
  <c r="F87" i="5"/>
  <c r="E87" i="5"/>
  <c r="T86" i="5"/>
  <c r="S86" i="5"/>
  <c r="P86" i="5"/>
  <c r="N86" i="5"/>
  <c r="M86" i="5"/>
  <c r="J86" i="5"/>
  <c r="I86" i="5"/>
  <c r="E86" i="5"/>
  <c r="F86" i="5" s="1"/>
  <c r="T85" i="5"/>
  <c r="N85" i="5"/>
  <c r="M85" i="5"/>
  <c r="I85" i="5"/>
  <c r="F85" i="5"/>
  <c r="E85" i="5"/>
  <c r="T84" i="5"/>
  <c r="P84" i="5" s="1"/>
  <c r="M84" i="5"/>
  <c r="N84" i="5" s="1"/>
  <c r="J84" i="5"/>
  <c r="I84" i="5"/>
  <c r="E84" i="5"/>
  <c r="T83" i="5"/>
  <c r="P83" i="5" s="1"/>
  <c r="N83" i="5"/>
  <c r="M83" i="5"/>
  <c r="J83" i="5"/>
  <c r="I83" i="5"/>
  <c r="F83" i="5"/>
  <c r="E83" i="5"/>
  <c r="S83" i="5" s="1"/>
  <c r="T82" i="5"/>
  <c r="M82" i="5"/>
  <c r="N82" i="5" s="1"/>
  <c r="I82" i="5"/>
  <c r="J82" i="5" s="1"/>
  <c r="E82" i="5"/>
  <c r="T81" i="5"/>
  <c r="P81" i="5"/>
  <c r="M81" i="5"/>
  <c r="N81" i="5" s="1"/>
  <c r="J81" i="5"/>
  <c r="I81" i="5"/>
  <c r="F81" i="5"/>
  <c r="E81" i="5"/>
  <c r="T80" i="5"/>
  <c r="S80" i="5"/>
  <c r="M80" i="5"/>
  <c r="N80" i="5" s="1"/>
  <c r="J80" i="5"/>
  <c r="I80" i="5"/>
  <c r="E80" i="5"/>
  <c r="F80" i="5" s="1"/>
  <c r="T79" i="5"/>
  <c r="S79" i="5"/>
  <c r="N79" i="5"/>
  <c r="M79" i="5"/>
  <c r="J79" i="5"/>
  <c r="I79" i="5"/>
  <c r="F79" i="5"/>
  <c r="E79" i="5"/>
  <c r="T78" i="5"/>
  <c r="M78" i="5"/>
  <c r="N78" i="5" s="1"/>
  <c r="I78" i="5"/>
  <c r="J78" i="5" s="1"/>
  <c r="E78" i="5"/>
  <c r="F78" i="5" s="1"/>
  <c r="T77" i="5"/>
  <c r="V77" i="5" s="1"/>
  <c r="P77" i="5"/>
  <c r="N77" i="5"/>
  <c r="M77" i="5"/>
  <c r="J77" i="5"/>
  <c r="I77" i="5"/>
  <c r="F77" i="5"/>
  <c r="E77" i="5"/>
  <c r="S77" i="5" s="1"/>
  <c r="T76" i="5"/>
  <c r="M76" i="5"/>
  <c r="N76" i="5" s="1"/>
  <c r="I76" i="5"/>
  <c r="J76" i="5" s="1"/>
  <c r="E76" i="5"/>
  <c r="T75" i="5"/>
  <c r="V75" i="5" s="1"/>
  <c r="P75" i="5"/>
  <c r="N75" i="5"/>
  <c r="M75" i="5"/>
  <c r="J75" i="5"/>
  <c r="I75" i="5"/>
  <c r="F75" i="5"/>
  <c r="E75" i="5"/>
  <c r="S75" i="5" s="1"/>
  <c r="T74" i="5"/>
  <c r="M74" i="5"/>
  <c r="N74" i="5" s="1"/>
  <c r="I74" i="5"/>
  <c r="J74" i="5" s="1"/>
  <c r="E74" i="5"/>
  <c r="T73" i="5"/>
  <c r="P74" i="5" s="1"/>
  <c r="N73" i="5"/>
  <c r="M73" i="5"/>
  <c r="J73" i="5"/>
  <c r="I73" i="5"/>
  <c r="F73" i="5"/>
  <c r="E73" i="5"/>
  <c r="T72" i="5"/>
  <c r="S72" i="5"/>
  <c r="M72" i="5"/>
  <c r="N72" i="5" s="1"/>
  <c r="I72" i="5"/>
  <c r="J72" i="5" s="1"/>
  <c r="E72" i="5"/>
  <c r="F72" i="5" s="1"/>
  <c r="T71" i="5"/>
  <c r="P71" i="5" s="1"/>
  <c r="M71" i="5"/>
  <c r="N71" i="5" s="1"/>
  <c r="I71" i="5"/>
  <c r="J71" i="5" s="1"/>
  <c r="F71" i="5"/>
  <c r="E71" i="5"/>
  <c r="T70" i="5"/>
  <c r="M70" i="5"/>
  <c r="N70" i="5" s="1"/>
  <c r="J70" i="5"/>
  <c r="I70" i="5"/>
  <c r="E70" i="5"/>
  <c r="F70" i="5" s="1"/>
  <c r="T69" i="5"/>
  <c r="N69" i="5"/>
  <c r="M69" i="5"/>
  <c r="I69" i="5"/>
  <c r="J69" i="5" s="1"/>
  <c r="E69" i="5"/>
  <c r="T68" i="5"/>
  <c r="M68" i="5"/>
  <c r="N68" i="5" s="1"/>
  <c r="I68" i="5"/>
  <c r="J68" i="5" s="1"/>
  <c r="E68" i="5"/>
  <c r="F68" i="5" s="1"/>
  <c r="V67" i="5"/>
  <c r="T67" i="5"/>
  <c r="P67" i="5" s="1"/>
  <c r="N67" i="5"/>
  <c r="M67" i="5"/>
  <c r="J67" i="5"/>
  <c r="I67" i="5"/>
  <c r="F67" i="5"/>
  <c r="E67" i="5"/>
  <c r="S67" i="5" s="1"/>
  <c r="T66" i="5"/>
  <c r="S66" i="5"/>
  <c r="P66" i="5"/>
  <c r="M66" i="5"/>
  <c r="N66" i="5" s="1"/>
  <c r="I66" i="5"/>
  <c r="J66" i="5" s="1"/>
  <c r="F66" i="5"/>
  <c r="E66" i="5"/>
  <c r="T65" i="5"/>
  <c r="M65" i="5"/>
  <c r="N65" i="5" s="1"/>
  <c r="J65" i="5"/>
  <c r="I65" i="5"/>
  <c r="F65" i="5"/>
  <c r="E65" i="5"/>
  <c r="T64" i="5"/>
  <c r="N64" i="5"/>
  <c r="M64" i="5"/>
  <c r="I64" i="5"/>
  <c r="F64" i="5"/>
  <c r="E64" i="5"/>
  <c r="T63" i="5"/>
  <c r="M63" i="5"/>
  <c r="N63" i="5" s="1"/>
  <c r="I63" i="5"/>
  <c r="F63" i="5"/>
  <c r="E63" i="5"/>
  <c r="T62" i="5"/>
  <c r="N62" i="5"/>
  <c r="M62" i="5"/>
  <c r="J62" i="5"/>
  <c r="I62" i="5"/>
  <c r="F62" i="5"/>
  <c r="E62" i="5"/>
  <c r="S62" i="5" s="1"/>
  <c r="T61" i="5"/>
  <c r="P61" i="5"/>
  <c r="M61" i="5"/>
  <c r="N61" i="5" s="1"/>
  <c r="I61" i="5"/>
  <c r="E61" i="5"/>
  <c r="F61" i="5" s="1"/>
  <c r="T60" i="5"/>
  <c r="O60" i="5"/>
  <c r="N60" i="5"/>
  <c r="M60" i="5"/>
  <c r="F60" i="5"/>
  <c r="E60" i="5"/>
  <c r="S60" i="5" s="1"/>
  <c r="U60" i="5" s="1"/>
  <c r="T59" i="5"/>
  <c r="N59" i="5"/>
  <c r="M59" i="5"/>
  <c r="J59" i="5"/>
  <c r="I59" i="5"/>
  <c r="E59" i="5"/>
  <c r="S59" i="5" s="1"/>
  <c r="U59" i="5" s="1"/>
  <c r="T58" i="5"/>
  <c r="M58" i="5"/>
  <c r="N58" i="5" s="1"/>
  <c r="I58" i="5"/>
  <c r="S58" i="5" s="1"/>
  <c r="O58" i="5" s="1"/>
  <c r="E58" i="5"/>
  <c r="F58" i="5" s="1"/>
  <c r="T57" i="5"/>
  <c r="U57" i="5" s="1"/>
  <c r="M57" i="5"/>
  <c r="N57" i="5" s="1"/>
  <c r="I57" i="5"/>
  <c r="S57" i="5" s="1"/>
  <c r="F57" i="5"/>
  <c r="E57" i="5"/>
  <c r="T56" i="5"/>
  <c r="N56" i="5"/>
  <c r="M56" i="5"/>
  <c r="I56" i="5"/>
  <c r="J56" i="5" s="1"/>
  <c r="F56" i="5"/>
  <c r="E56" i="5"/>
  <c r="T55" i="5"/>
  <c r="P55" i="5"/>
  <c r="M55" i="5"/>
  <c r="N55" i="5" s="1"/>
  <c r="I55" i="5"/>
  <c r="F55" i="5"/>
  <c r="E55" i="5"/>
  <c r="T54" i="5"/>
  <c r="P54" i="5"/>
  <c r="M54" i="5"/>
  <c r="N54" i="5" s="1"/>
  <c r="J54" i="5"/>
  <c r="I54" i="5"/>
  <c r="E54" i="5"/>
  <c r="S54" i="5" s="1"/>
  <c r="U54" i="5" s="1"/>
  <c r="T53" i="5"/>
  <c r="P53" i="5"/>
  <c r="N53" i="5"/>
  <c r="M53" i="5"/>
  <c r="I53" i="5"/>
  <c r="J53" i="5" s="1"/>
  <c r="E53" i="5"/>
  <c r="A53" i="5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T52" i="5"/>
  <c r="M52" i="5"/>
  <c r="N52" i="5" s="1"/>
  <c r="I52" i="5"/>
  <c r="J52" i="5" s="1"/>
  <c r="F52" i="5"/>
  <c r="E52" i="5"/>
  <c r="A52" i="5"/>
  <c r="U51" i="5"/>
  <c r="T51" i="5"/>
  <c r="O51" i="5"/>
  <c r="N51" i="5"/>
  <c r="M51" i="5"/>
  <c r="J51" i="5"/>
  <c r="I51" i="5"/>
  <c r="E51" i="5"/>
  <c r="S51" i="5" s="1"/>
  <c r="A51" i="5"/>
  <c r="T50" i="5"/>
  <c r="U50" i="5" s="1"/>
  <c r="M50" i="5"/>
  <c r="N50" i="5" s="1"/>
  <c r="I50" i="5"/>
  <c r="S50" i="5" s="1"/>
  <c r="E50" i="5"/>
  <c r="F50" i="5" s="1"/>
  <c r="T49" i="5"/>
  <c r="S49" i="5"/>
  <c r="N49" i="5"/>
  <c r="M49" i="5"/>
  <c r="J49" i="5"/>
  <c r="I49" i="5"/>
  <c r="E49" i="5"/>
  <c r="F49" i="5" s="1"/>
  <c r="T48" i="5"/>
  <c r="V48" i="5" s="1"/>
  <c r="P48" i="5"/>
  <c r="M48" i="5"/>
  <c r="N48" i="5" s="1"/>
  <c r="J48" i="5"/>
  <c r="I48" i="5"/>
  <c r="F48" i="5"/>
  <c r="E48" i="5"/>
  <c r="S48" i="5" s="1"/>
  <c r="U48" i="5" s="1"/>
  <c r="T47" i="5"/>
  <c r="N47" i="5"/>
  <c r="M47" i="5"/>
  <c r="I47" i="5"/>
  <c r="J47" i="5" s="1"/>
  <c r="F47" i="5"/>
  <c r="E47" i="5"/>
  <c r="T46" i="5"/>
  <c r="S46" i="5"/>
  <c r="N46" i="5"/>
  <c r="M46" i="5"/>
  <c r="I46" i="5"/>
  <c r="J46" i="5" s="1"/>
  <c r="E46" i="5"/>
  <c r="F46" i="5" s="1"/>
  <c r="T45" i="5"/>
  <c r="S45" i="5"/>
  <c r="N45" i="5"/>
  <c r="M45" i="5"/>
  <c r="I45" i="5"/>
  <c r="J45" i="5" s="1"/>
  <c r="E45" i="5"/>
  <c r="F45" i="5" s="1"/>
  <c r="T44" i="5"/>
  <c r="V44" i="5" s="1"/>
  <c r="P44" i="5"/>
  <c r="M44" i="5"/>
  <c r="N44" i="5" s="1"/>
  <c r="J44" i="5"/>
  <c r="I44" i="5"/>
  <c r="F44" i="5"/>
  <c r="E44" i="5"/>
  <c r="S44" i="5" s="1"/>
  <c r="U44" i="5" s="1"/>
  <c r="T43" i="5"/>
  <c r="P43" i="5"/>
  <c r="N43" i="5"/>
  <c r="M43" i="5"/>
  <c r="I43" i="5"/>
  <c r="J43" i="5" s="1"/>
  <c r="F43" i="5"/>
  <c r="E43" i="5"/>
  <c r="T42" i="5"/>
  <c r="S42" i="5"/>
  <c r="O42" i="5" s="1"/>
  <c r="N42" i="5"/>
  <c r="M42" i="5"/>
  <c r="I42" i="5"/>
  <c r="J42" i="5" s="1"/>
  <c r="E42" i="5"/>
  <c r="F42" i="5" s="1"/>
  <c r="T41" i="5"/>
  <c r="N41" i="5"/>
  <c r="M41" i="5"/>
  <c r="I41" i="5"/>
  <c r="J41" i="5" s="1"/>
  <c r="F41" i="5"/>
  <c r="E41" i="5"/>
  <c r="S41" i="5" s="1"/>
  <c r="T40" i="5"/>
  <c r="P40" i="5"/>
  <c r="M40" i="5"/>
  <c r="N40" i="5" s="1"/>
  <c r="J40" i="5"/>
  <c r="I40" i="5"/>
  <c r="E40" i="5"/>
  <c r="S40" i="5" s="1"/>
  <c r="T39" i="5"/>
  <c r="M39" i="5"/>
  <c r="N39" i="5" s="1"/>
  <c r="I39" i="5"/>
  <c r="J39" i="5" s="1"/>
  <c r="F39" i="5"/>
  <c r="E39" i="5"/>
  <c r="T38" i="5"/>
  <c r="N38" i="5"/>
  <c r="M38" i="5"/>
  <c r="S38" i="5" s="1"/>
  <c r="J38" i="5"/>
  <c r="I38" i="5"/>
  <c r="E38" i="5"/>
  <c r="F38" i="5" s="1"/>
  <c r="T37" i="5"/>
  <c r="S37" i="5"/>
  <c r="N37" i="5"/>
  <c r="M37" i="5"/>
  <c r="I37" i="5"/>
  <c r="J37" i="5" s="1"/>
  <c r="E37" i="5"/>
  <c r="F37" i="5" s="1"/>
  <c r="T36" i="5"/>
  <c r="P36" i="5"/>
  <c r="M36" i="5"/>
  <c r="N36" i="5" s="1"/>
  <c r="J36" i="5"/>
  <c r="I36" i="5"/>
  <c r="E36" i="5"/>
  <c r="T35" i="5"/>
  <c r="N35" i="5"/>
  <c r="M35" i="5"/>
  <c r="I35" i="5"/>
  <c r="J35" i="5" s="1"/>
  <c r="F35" i="5"/>
  <c r="E35" i="5"/>
  <c r="T34" i="5"/>
  <c r="P34" i="5" s="1"/>
  <c r="M34" i="5"/>
  <c r="N34" i="5" s="1"/>
  <c r="J34" i="5"/>
  <c r="I34" i="5"/>
  <c r="E34" i="5"/>
  <c r="F34" i="5" s="1"/>
  <c r="T33" i="5"/>
  <c r="N33" i="5"/>
  <c r="M33" i="5"/>
  <c r="J33" i="5"/>
  <c r="I33" i="5"/>
  <c r="E33" i="5"/>
  <c r="F33" i="5" s="1"/>
  <c r="T32" i="5"/>
  <c r="V32" i="5" s="1"/>
  <c r="P32" i="5"/>
  <c r="M32" i="5"/>
  <c r="N32" i="5" s="1"/>
  <c r="J32" i="5"/>
  <c r="I32" i="5"/>
  <c r="F32" i="5"/>
  <c r="E32" i="5"/>
  <c r="S32" i="5" s="1"/>
  <c r="U32" i="5" s="1"/>
  <c r="T31" i="5"/>
  <c r="M31" i="5"/>
  <c r="N31" i="5" s="1"/>
  <c r="I31" i="5"/>
  <c r="J31" i="5" s="1"/>
  <c r="F31" i="5"/>
  <c r="E31" i="5"/>
  <c r="T30" i="5"/>
  <c r="N30" i="5"/>
  <c r="M30" i="5"/>
  <c r="I30" i="5"/>
  <c r="S30" i="5" s="1"/>
  <c r="E30" i="5"/>
  <c r="F30" i="5" s="1"/>
  <c r="T29" i="5"/>
  <c r="N29" i="5"/>
  <c r="M29" i="5"/>
  <c r="J29" i="5"/>
  <c r="I29" i="5"/>
  <c r="E29" i="5"/>
  <c r="F29" i="5" s="1"/>
  <c r="T28" i="5"/>
  <c r="P28" i="5"/>
  <c r="M28" i="5"/>
  <c r="N28" i="5" s="1"/>
  <c r="J28" i="5"/>
  <c r="I28" i="5"/>
  <c r="E28" i="5"/>
  <c r="T27" i="5"/>
  <c r="P27" i="5"/>
  <c r="M27" i="5"/>
  <c r="N27" i="5" s="1"/>
  <c r="I27" i="5"/>
  <c r="J27" i="5" s="1"/>
  <c r="F27" i="5"/>
  <c r="E27" i="5"/>
  <c r="T26" i="5"/>
  <c r="M26" i="5"/>
  <c r="N26" i="5" s="1"/>
  <c r="I26" i="5"/>
  <c r="E26" i="5"/>
  <c r="F26" i="5" s="1"/>
  <c r="T25" i="5"/>
  <c r="N25" i="5"/>
  <c r="M25" i="5"/>
  <c r="I25" i="5"/>
  <c r="J25" i="5" s="1"/>
  <c r="F25" i="5"/>
  <c r="E25" i="5"/>
  <c r="T24" i="5"/>
  <c r="P24" i="5"/>
  <c r="M24" i="5"/>
  <c r="N24" i="5" s="1"/>
  <c r="J24" i="5"/>
  <c r="I24" i="5"/>
  <c r="E24" i="5"/>
  <c r="S24" i="5" s="1"/>
  <c r="U24" i="5" s="1"/>
  <c r="T23" i="5"/>
  <c r="P23" i="5"/>
  <c r="M23" i="5"/>
  <c r="N23" i="5" s="1"/>
  <c r="I23" i="5"/>
  <c r="J23" i="5" s="1"/>
  <c r="F23" i="5"/>
  <c r="E23" i="5"/>
  <c r="T22" i="5"/>
  <c r="P22" i="5" s="1"/>
  <c r="M22" i="5"/>
  <c r="N22" i="5" s="1"/>
  <c r="I22" i="5"/>
  <c r="E22" i="5"/>
  <c r="F22" i="5" s="1"/>
  <c r="T21" i="5"/>
  <c r="N21" i="5"/>
  <c r="M21" i="5"/>
  <c r="J21" i="5"/>
  <c r="I21" i="5"/>
  <c r="F21" i="5"/>
  <c r="E21" i="5"/>
  <c r="S21" i="5" s="1"/>
  <c r="T20" i="5"/>
  <c r="P20" i="5"/>
  <c r="M20" i="5"/>
  <c r="N20" i="5" s="1"/>
  <c r="J20" i="5"/>
  <c r="I20" i="5"/>
  <c r="E20" i="5"/>
  <c r="T19" i="5"/>
  <c r="P19" i="5"/>
  <c r="M19" i="5"/>
  <c r="N19" i="5" s="1"/>
  <c r="I19" i="5"/>
  <c r="J19" i="5" s="1"/>
  <c r="F19" i="5"/>
  <c r="E19" i="5"/>
  <c r="T18" i="5"/>
  <c r="P18" i="5"/>
  <c r="M18" i="5"/>
  <c r="J18" i="5"/>
  <c r="I18" i="5"/>
  <c r="E18" i="5"/>
  <c r="F18" i="5" s="1"/>
  <c r="T17" i="5"/>
  <c r="N17" i="5"/>
  <c r="M17" i="5"/>
  <c r="J17" i="5"/>
  <c r="I17" i="5"/>
  <c r="E17" i="5"/>
  <c r="F17" i="5" s="1"/>
  <c r="T16" i="5"/>
  <c r="M16" i="5"/>
  <c r="N16" i="5" s="1"/>
  <c r="J16" i="5"/>
  <c r="I16" i="5"/>
  <c r="E16" i="5"/>
  <c r="T15" i="5"/>
  <c r="M15" i="5"/>
  <c r="N15" i="5" s="1"/>
  <c r="I15" i="5"/>
  <c r="J15" i="5" s="1"/>
  <c r="F15" i="5"/>
  <c r="E15" i="5"/>
  <c r="T14" i="5"/>
  <c r="P14" i="5" s="1"/>
  <c r="S14" i="5"/>
  <c r="N14" i="5"/>
  <c r="M14" i="5"/>
  <c r="I14" i="5"/>
  <c r="J14" i="5" s="1"/>
  <c r="E14" i="5"/>
  <c r="F14" i="5" s="1"/>
  <c r="T13" i="5"/>
  <c r="N13" i="5"/>
  <c r="M13" i="5"/>
  <c r="I13" i="5"/>
  <c r="J13" i="5" s="1"/>
  <c r="E13" i="5"/>
  <c r="F13" i="5" s="1"/>
  <c r="T12" i="5"/>
  <c r="M12" i="5"/>
  <c r="N12" i="5" s="1"/>
  <c r="J12" i="5"/>
  <c r="I12" i="5"/>
  <c r="F12" i="5"/>
  <c r="E12" i="5"/>
  <c r="S12" i="5" s="1"/>
  <c r="T11" i="5"/>
  <c r="N11" i="5"/>
  <c r="M11" i="5"/>
  <c r="I11" i="5"/>
  <c r="J11" i="5" s="1"/>
  <c r="F11" i="5"/>
  <c r="E11" i="5"/>
  <c r="T10" i="5"/>
  <c r="V10" i="5" s="1"/>
  <c r="S10" i="5"/>
  <c r="N10" i="5"/>
  <c r="M10" i="5"/>
  <c r="I10" i="5"/>
  <c r="J10" i="5" s="1"/>
  <c r="E10" i="5"/>
  <c r="F10" i="5" s="1"/>
  <c r="T9" i="5"/>
  <c r="P9" i="5" s="1"/>
  <c r="N9" i="5"/>
  <c r="M9" i="5"/>
  <c r="I9" i="5"/>
  <c r="J9" i="5" s="1"/>
  <c r="F9" i="5"/>
  <c r="E9" i="5"/>
  <c r="T8" i="5"/>
  <c r="P8" i="5"/>
  <c r="M8" i="5"/>
  <c r="N8" i="5" s="1"/>
  <c r="J8" i="5"/>
  <c r="I8" i="5"/>
  <c r="F8" i="5"/>
  <c r="E8" i="5"/>
  <c r="S8" i="5" s="1"/>
  <c r="U8" i="5" s="1"/>
  <c r="T7" i="5"/>
  <c r="P7" i="5"/>
  <c r="M7" i="5"/>
  <c r="N7" i="5" s="1"/>
  <c r="I7" i="5"/>
  <c r="J7" i="5" s="1"/>
  <c r="F7" i="5"/>
  <c r="E7" i="5"/>
  <c r="T6" i="5"/>
  <c r="P6" i="5" s="1"/>
  <c r="M6" i="5"/>
  <c r="N6" i="5" s="1"/>
  <c r="I6" i="5"/>
  <c r="E6" i="5"/>
  <c r="F6" i="5" s="1"/>
  <c r="T5" i="5"/>
  <c r="N5" i="5"/>
  <c r="M5" i="5"/>
  <c r="J5" i="5"/>
  <c r="I5" i="5"/>
  <c r="F5" i="5"/>
  <c r="E5" i="5"/>
  <c r="S5" i="5" s="1"/>
  <c r="T4" i="5"/>
  <c r="P4" i="5"/>
  <c r="M4" i="5"/>
  <c r="N4" i="5" s="1"/>
  <c r="J4" i="5"/>
  <c r="I4" i="5"/>
  <c r="E4" i="5"/>
  <c r="T3" i="5"/>
  <c r="P3" i="5"/>
  <c r="M3" i="5"/>
  <c r="N3" i="5" s="1"/>
  <c r="I3" i="5"/>
  <c r="J3" i="5" s="1"/>
  <c r="F3" i="5"/>
  <c r="E3" i="5"/>
  <c r="F460" i="4"/>
  <c r="E460" i="4"/>
  <c r="F459" i="4"/>
  <c r="E459" i="4"/>
  <c r="F458" i="4"/>
  <c r="E458" i="4"/>
  <c r="F457" i="4"/>
  <c r="E457" i="4"/>
  <c r="E456" i="4"/>
  <c r="F456" i="4" s="1"/>
  <c r="E455" i="4"/>
  <c r="F455" i="4" s="1"/>
  <c r="F454" i="4"/>
  <c r="E454" i="4"/>
  <c r="F453" i="4"/>
  <c r="E453" i="4"/>
  <c r="E452" i="4"/>
  <c r="F452" i="4" s="1"/>
  <c r="F451" i="4"/>
  <c r="E451" i="4"/>
  <c r="F450" i="4"/>
  <c r="E450" i="4"/>
  <c r="F449" i="4"/>
  <c r="E449" i="4"/>
  <c r="E448" i="4"/>
  <c r="F448" i="4" s="1"/>
  <c r="E447" i="4"/>
  <c r="F447" i="4" s="1"/>
  <c r="E446" i="4"/>
  <c r="F446" i="4" s="1"/>
  <c r="E445" i="4"/>
  <c r="F445" i="4" s="1"/>
  <c r="F444" i="4"/>
  <c r="E444" i="4"/>
  <c r="F443" i="4"/>
  <c r="E443" i="4"/>
  <c r="F442" i="4"/>
  <c r="E442" i="4"/>
  <c r="F441" i="4"/>
  <c r="E441" i="4"/>
  <c r="E440" i="4"/>
  <c r="F440" i="4" s="1"/>
  <c r="E439" i="4"/>
  <c r="F439" i="4" s="1"/>
  <c r="F438" i="4"/>
  <c r="E438" i="4"/>
  <c r="F437" i="4"/>
  <c r="E437" i="4"/>
  <c r="E436" i="4"/>
  <c r="F436" i="4" s="1"/>
  <c r="F435" i="4"/>
  <c r="E435" i="4"/>
  <c r="F434" i="4"/>
  <c r="E434" i="4"/>
  <c r="E433" i="4"/>
  <c r="F433" i="4" s="1"/>
  <c r="E432" i="4"/>
  <c r="F432" i="4" s="1"/>
  <c r="E431" i="4"/>
  <c r="F431" i="4" s="1"/>
  <c r="E430" i="4"/>
  <c r="F430" i="4" s="1"/>
  <c r="E429" i="4"/>
  <c r="F429" i="4" s="1"/>
  <c r="F428" i="4"/>
  <c r="E428" i="4"/>
  <c r="F427" i="4"/>
  <c r="E427" i="4"/>
  <c r="F426" i="4"/>
  <c r="E426" i="4"/>
  <c r="F425" i="4"/>
  <c r="E425" i="4"/>
  <c r="E424" i="4"/>
  <c r="F424" i="4" s="1"/>
  <c r="E423" i="4"/>
  <c r="F423" i="4" s="1"/>
  <c r="F422" i="4"/>
  <c r="E422" i="4"/>
  <c r="F421" i="4"/>
  <c r="E421" i="4"/>
  <c r="E420" i="4"/>
  <c r="F420" i="4" s="1"/>
  <c r="F419" i="4"/>
  <c r="E419" i="4"/>
  <c r="F418" i="4"/>
  <c r="E418" i="4"/>
  <c r="E417" i="4"/>
  <c r="F417" i="4" s="1"/>
  <c r="E416" i="4"/>
  <c r="F416" i="4" s="1"/>
  <c r="E415" i="4"/>
  <c r="F415" i="4" s="1"/>
  <c r="E414" i="4"/>
  <c r="F414" i="4" s="1"/>
  <c r="E413" i="4"/>
  <c r="F413" i="4" s="1"/>
  <c r="F412" i="4"/>
  <c r="E412" i="4"/>
  <c r="F411" i="4"/>
  <c r="E411" i="4"/>
  <c r="F410" i="4"/>
  <c r="E410" i="4"/>
  <c r="F409" i="4"/>
  <c r="E409" i="4"/>
  <c r="E408" i="4"/>
  <c r="F408" i="4" s="1"/>
  <c r="E407" i="4"/>
  <c r="F407" i="4" s="1"/>
  <c r="F406" i="4"/>
  <c r="E406" i="4"/>
  <c r="F405" i="4"/>
  <c r="E405" i="4"/>
  <c r="E404" i="4"/>
  <c r="F404" i="4" s="1"/>
  <c r="F403" i="4"/>
  <c r="E403" i="4"/>
  <c r="F402" i="4"/>
  <c r="E402" i="4"/>
  <c r="E401" i="4"/>
  <c r="F401" i="4" s="1"/>
  <c r="E400" i="4"/>
  <c r="F400" i="4" s="1"/>
  <c r="E399" i="4"/>
  <c r="F399" i="4" s="1"/>
  <c r="E398" i="4"/>
  <c r="F398" i="4" s="1"/>
  <c r="E397" i="4"/>
  <c r="F397" i="4" s="1"/>
  <c r="F396" i="4"/>
  <c r="E396" i="4"/>
  <c r="F395" i="4"/>
  <c r="E395" i="4"/>
  <c r="F394" i="4"/>
  <c r="E394" i="4"/>
  <c r="F393" i="4"/>
  <c r="E393" i="4"/>
  <c r="E392" i="4"/>
  <c r="F392" i="4" s="1"/>
  <c r="E391" i="4"/>
  <c r="F391" i="4" s="1"/>
  <c r="F390" i="4"/>
  <c r="E390" i="4"/>
  <c r="F389" i="4"/>
  <c r="E389" i="4"/>
  <c r="E388" i="4"/>
  <c r="F388" i="4" s="1"/>
  <c r="F387" i="4"/>
  <c r="E387" i="4"/>
  <c r="F386" i="4"/>
  <c r="E386" i="4"/>
  <c r="E385" i="4"/>
  <c r="F385" i="4" s="1"/>
  <c r="E384" i="4"/>
  <c r="F384" i="4" s="1"/>
  <c r="E383" i="4"/>
  <c r="F383" i="4" s="1"/>
  <c r="E382" i="4"/>
  <c r="F382" i="4" s="1"/>
  <c r="E381" i="4"/>
  <c r="F381" i="4" s="1"/>
  <c r="F380" i="4"/>
  <c r="E380" i="4"/>
  <c r="F379" i="4"/>
  <c r="E379" i="4"/>
  <c r="F378" i="4"/>
  <c r="E378" i="4"/>
  <c r="F377" i="4"/>
  <c r="E377" i="4"/>
  <c r="E376" i="4"/>
  <c r="F376" i="4" s="1"/>
  <c r="E375" i="4"/>
  <c r="F375" i="4" s="1"/>
  <c r="F374" i="4"/>
  <c r="E374" i="4"/>
  <c r="F373" i="4"/>
  <c r="E373" i="4"/>
  <c r="F372" i="4"/>
  <c r="E372" i="4"/>
  <c r="F371" i="4"/>
  <c r="E371" i="4"/>
  <c r="F370" i="4"/>
  <c r="E370" i="4"/>
  <c r="F369" i="4"/>
  <c r="E369" i="4"/>
  <c r="E368" i="4"/>
  <c r="F368" i="4" s="1"/>
  <c r="E367" i="4"/>
  <c r="F367" i="4" s="1"/>
  <c r="E366" i="4"/>
  <c r="F366" i="4" s="1"/>
  <c r="F365" i="4"/>
  <c r="E365" i="4"/>
  <c r="F364" i="4"/>
  <c r="E364" i="4"/>
  <c r="F363" i="4"/>
  <c r="E363" i="4"/>
  <c r="F362" i="4"/>
  <c r="E362" i="4"/>
  <c r="F361" i="4"/>
  <c r="E361" i="4"/>
  <c r="E360" i="4"/>
  <c r="F360" i="4" s="1"/>
  <c r="E359" i="4"/>
  <c r="F359" i="4" s="1"/>
  <c r="F358" i="4"/>
  <c r="E358" i="4"/>
  <c r="F357" i="4"/>
  <c r="E357" i="4"/>
  <c r="E356" i="4"/>
  <c r="F356" i="4" s="1"/>
  <c r="F355" i="4"/>
  <c r="E355" i="4"/>
  <c r="F354" i="4"/>
  <c r="E354" i="4"/>
  <c r="E353" i="4"/>
  <c r="F353" i="4" s="1"/>
  <c r="E352" i="4"/>
  <c r="F352" i="4" s="1"/>
  <c r="E351" i="4"/>
  <c r="F351" i="4" s="1"/>
  <c r="F350" i="4"/>
  <c r="E350" i="4"/>
  <c r="E349" i="4"/>
  <c r="F349" i="4" s="1"/>
  <c r="E348" i="4"/>
  <c r="F348" i="4" s="1"/>
  <c r="F347" i="4"/>
  <c r="E347" i="4"/>
  <c r="F346" i="4"/>
  <c r="E346" i="4"/>
  <c r="F345" i="4"/>
  <c r="E345" i="4"/>
  <c r="E344" i="4"/>
  <c r="F344" i="4" s="1"/>
  <c r="E343" i="4"/>
  <c r="F343" i="4" s="1"/>
  <c r="E342" i="4"/>
  <c r="F342" i="4" s="1"/>
  <c r="F341" i="4"/>
  <c r="E341" i="4"/>
  <c r="F340" i="4"/>
  <c r="E340" i="4"/>
  <c r="F339" i="4"/>
  <c r="E339" i="4"/>
  <c r="F338" i="4"/>
  <c r="E338" i="4"/>
  <c r="E337" i="4"/>
  <c r="F337" i="4" s="1"/>
  <c r="E336" i="4"/>
  <c r="F336" i="4" s="1"/>
  <c r="E335" i="4"/>
  <c r="F335" i="4" s="1"/>
  <c r="F334" i="4"/>
  <c r="E334" i="4"/>
  <c r="E333" i="4"/>
  <c r="F333" i="4" s="1"/>
  <c r="E332" i="4"/>
  <c r="F332" i="4" s="1"/>
  <c r="F331" i="4"/>
  <c r="E331" i="4"/>
  <c r="A331" i="4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F330" i="4"/>
  <c r="E330" i="4"/>
  <c r="A330" i="4"/>
  <c r="F329" i="4"/>
  <c r="E329" i="4"/>
  <c r="F328" i="4"/>
  <c r="E328" i="4"/>
  <c r="F327" i="4"/>
  <c r="E327" i="4"/>
  <c r="E326" i="4"/>
  <c r="F326" i="4" s="1"/>
  <c r="F325" i="4"/>
  <c r="E325" i="4"/>
  <c r="F324" i="4"/>
  <c r="E324" i="4"/>
  <c r="E323" i="4"/>
  <c r="F323" i="4" s="1"/>
  <c r="E322" i="4"/>
  <c r="F322" i="4" s="1"/>
  <c r="E321" i="4"/>
  <c r="F321" i="4" s="1"/>
  <c r="F320" i="4"/>
  <c r="E320" i="4"/>
  <c r="E319" i="4"/>
  <c r="F319" i="4" s="1"/>
  <c r="E318" i="4"/>
  <c r="F318" i="4" s="1"/>
  <c r="F317" i="4"/>
  <c r="E317" i="4"/>
  <c r="F316" i="4"/>
  <c r="E316" i="4"/>
  <c r="F315" i="4"/>
  <c r="E315" i="4"/>
  <c r="E314" i="4"/>
  <c r="F314" i="4" s="1"/>
  <c r="E313" i="4"/>
  <c r="F313" i="4" s="1"/>
  <c r="F312" i="4"/>
  <c r="E312" i="4"/>
  <c r="F311" i="4"/>
  <c r="E311" i="4"/>
  <c r="E310" i="4"/>
  <c r="F310" i="4" s="1"/>
  <c r="E309" i="4"/>
  <c r="F309" i="4" s="1"/>
  <c r="F308" i="4"/>
  <c r="E308" i="4"/>
  <c r="E307" i="4"/>
  <c r="F307" i="4" s="1"/>
  <c r="E306" i="4"/>
  <c r="F306" i="4" s="1"/>
  <c r="E305" i="4"/>
  <c r="F305" i="4" s="1"/>
  <c r="F304" i="4"/>
  <c r="E304" i="4"/>
  <c r="F303" i="4"/>
  <c r="E303" i="4"/>
  <c r="E302" i="4"/>
  <c r="F302" i="4" s="1"/>
  <c r="F301" i="4"/>
  <c r="E301" i="4"/>
  <c r="F300" i="4"/>
  <c r="E300" i="4"/>
  <c r="E299" i="4"/>
  <c r="F299" i="4" s="1"/>
  <c r="E298" i="4"/>
  <c r="F298" i="4" s="1"/>
  <c r="F297" i="4"/>
  <c r="E297" i="4"/>
  <c r="F296" i="4"/>
  <c r="E296" i="4"/>
  <c r="E295" i="4"/>
  <c r="F295" i="4" s="1"/>
  <c r="E294" i="4"/>
  <c r="F294" i="4" s="1"/>
  <c r="F293" i="4"/>
  <c r="E293" i="4"/>
  <c r="F292" i="4"/>
  <c r="E292" i="4"/>
  <c r="E291" i="4"/>
  <c r="F291" i="4" s="1"/>
  <c r="E290" i="4"/>
  <c r="F290" i="4" s="1"/>
  <c r="F289" i="4"/>
  <c r="E289" i="4"/>
  <c r="F288" i="4"/>
  <c r="E288" i="4"/>
  <c r="E287" i="4"/>
  <c r="F287" i="4" s="1"/>
  <c r="E286" i="4"/>
  <c r="F286" i="4" s="1"/>
  <c r="E285" i="4"/>
  <c r="F285" i="4" s="1"/>
  <c r="F284" i="4"/>
  <c r="E284" i="4"/>
  <c r="F283" i="4"/>
  <c r="E283" i="4"/>
  <c r="E282" i="4"/>
  <c r="F282" i="4" s="1"/>
  <c r="E281" i="4"/>
  <c r="F281" i="4" s="1"/>
  <c r="F280" i="4"/>
  <c r="E280" i="4"/>
  <c r="F279" i="4"/>
  <c r="E279" i="4"/>
  <c r="E278" i="4"/>
  <c r="F278" i="4" s="1"/>
  <c r="E277" i="4"/>
  <c r="F277" i="4" s="1"/>
  <c r="F276" i="4"/>
  <c r="E276" i="4"/>
  <c r="F275" i="4"/>
  <c r="E275" i="4"/>
  <c r="E274" i="4"/>
  <c r="F274" i="4" s="1"/>
  <c r="E273" i="4"/>
  <c r="F273" i="4" s="1"/>
  <c r="F272" i="4"/>
  <c r="E272" i="4"/>
  <c r="E271" i="4"/>
  <c r="F271" i="4" s="1"/>
  <c r="E270" i="4"/>
  <c r="F270" i="4" s="1"/>
  <c r="F269" i="4"/>
  <c r="E269" i="4"/>
  <c r="F268" i="4"/>
  <c r="E268" i="4"/>
  <c r="E267" i="4"/>
  <c r="F267" i="4" s="1"/>
  <c r="E266" i="4"/>
  <c r="F266" i="4" s="1"/>
  <c r="F265" i="4"/>
  <c r="E265" i="4"/>
  <c r="F264" i="4"/>
  <c r="E264" i="4"/>
  <c r="E263" i="4"/>
  <c r="F263" i="4" s="1"/>
  <c r="E262" i="4"/>
  <c r="F262" i="4" s="1"/>
  <c r="E261" i="4"/>
  <c r="F261" i="4" s="1"/>
  <c r="F260" i="4"/>
  <c r="E260" i="4"/>
  <c r="F259" i="4"/>
  <c r="E259" i="4"/>
  <c r="E258" i="4"/>
  <c r="F258" i="4" s="1"/>
  <c r="E257" i="4"/>
  <c r="F257" i="4" s="1"/>
  <c r="F256" i="4"/>
  <c r="E256" i="4"/>
  <c r="E255" i="4"/>
  <c r="F255" i="4" s="1"/>
  <c r="E254" i="4"/>
  <c r="F254" i="4" s="1"/>
  <c r="E253" i="4"/>
  <c r="F253" i="4" s="1"/>
  <c r="F252" i="4"/>
  <c r="E252" i="4"/>
  <c r="F251" i="4"/>
  <c r="E251" i="4"/>
  <c r="E250" i="4"/>
  <c r="F250" i="4" s="1"/>
  <c r="F249" i="4"/>
  <c r="E249" i="4"/>
  <c r="F248" i="4"/>
  <c r="E248" i="4"/>
  <c r="F247" i="4"/>
  <c r="E247" i="4"/>
  <c r="E246" i="4"/>
  <c r="F246" i="4" s="1"/>
  <c r="E245" i="4"/>
  <c r="F245" i="4" s="1"/>
  <c r="F244" i="4"/>
  <c r="E244" i="4"/>
  <c r="E243" i="4"/>
  <c r="F243" i="4" s="1"/>
  <c r="E242" i="4"/>
  <c r="F242" i="4" s="1"/>
  <c r="E241" i="4"/>
  <c r="F241" i="4" s="1"/>
  <c r="F240" i="4"/>
  <c r="E240" i="4"/>
  <c r="E239" i="4"/>
  <c r="F239" i="4" s="1"/>
  <c r="E238" i="4"/>
  <c r="F238" i="4" s="1"/>
  <c r="E237" i="4"/>
  <c r="F237" i="4" s="1"/>
  <c r="F236" i="4"/>
  <c r="E236" i="4"/>
  <c r="F235" i="4"/>
  <c r="E235" i="4"/>
  <c r="E234" i="4"/>
  <c r="F234" i="4" s="1"/>
  <c r="E233" i="4"/>
  <c r="F233" i="4" s="1"/>
  <c r="F232" i="4"/>
  <c r="E232" i="4"/>
  <c r="E231" i="4"/>
  <c r="F231" i="4" s="1"/>
  <c r="E230" i="4"/>
  <c r="F230" i="4" s="1"/>
  <c r="E229" i="4"/>
  <c r="F229" i="4" s="1"/>
  <c r="F228" i="4"/>
  <c r="E228" i="4"/>
  <c r="F227" i="4"/>
  <c r="E227" i="4"/>
  <c r="F226" i="4"/>
  <c r="E226" i="4"/>
  <c r="E225" i="4"/>
  <c r="F225" i="4" s="1"/>
  <c r="F224" i="4"/>
  <c r="E224" i="4"/>
  <c r="F223" i="4"/>
  <c r="E223" i="4"/>
  <c r="E222" i="4"/>
  <c r="F222" i="4" s="1"/>
  <c r="E221" i="4"/>
  <c r="F221" i="4" s="1"/>
  <c r="F220" i="4"/>
  <c r="E220" i="4"/>
  <c r="E219" i="4"/>
  <c r="F219" i="4" s="1"/>
  <c r="F218" i="4"/>
  <c r="E218" i="4"/>
  <c r="E217" i="4"/>
  <c r="F217" i="4" s="1"/>
  <c r="E216" i="4"/>
  <c r="F216" i="4" s="1"/>
  <c r="E215" i="4"/>
  <c r="F215" i="4" s="1"/>
  <c r="F214" i="4"/>
  <c r="E214" i="4"/>
  <c r="E213" i="4"/>
  <c r="F213" i="4" s="1"/>
  <c r="F212" i="4"/>
  <c r="E212" i="4"/>
  <c r="E211" i="4"/>
  <c r="F211" i="4" s="1"/>
  <c r="E210" i="4"/>
  <c r="F210" i="4" s="1"/>
  <c r="E209" i="4"/>
  <c r="F209" i="4" s="1"/>
  <c r="E208" i="4"/>
  <c r="F208" i="4" s="1"/>
  <c r="E207" i="4"/>
  <c r="F207" i="4" s="1"/>
  <c r="E206" i="4"/>
  <c r="F206" i="4" s="1"/>
  <c r="F205" i="4"/>
  <c r="E205" i="4"/>
  <c r="E204" i="4"/>
  <c r="F204" i="4" s="1"/>
  <c r="E203" i="4"/>
  <c r="F203" i="4" s="1"/>
  <c r="E202" i="4"/>
  <c r="F202" i="4" s="1"/>
  <c r="F201" i="4"/>
  <c r="E201" i="4"/>
  <c r="E200" i="4"/>
  <c r="F200" i="4" s="1"/>
  <c r="E199" i="4"/>
  <c r="F199" i="4" s="1"/>
  <c r="E198" i="4"/>
  <c r="F198" i="4" s="1"/>
  <c r="F197" i="4"/>
  <c r="E197" i="4"/>
  <c r="E196" i="4"/>
  <c r="F196" i="4" s="1"/>
  <c r="E195" i="4"/>
  <c r="F195" i="4" s="1"/>
  <c r="E194" i="4"/>
  <c r="F194" i="4" s="1"/>
  <c r="F193" i="4"/>
  <c r="E193" i="4"/>
  <c r="E192" i="4"/>
  <c r="F192" i="4" s="1"/>
  <c r="E191" i="4"/>
  <c r="F191" i="4" s="1"/>
  <c r="E190" i="4"/>
  <c r="F190" i="4" s="1"/>
  <c r="F189" i="4"/>
  <c r="E189" i="4"/>
  <c r="E188" i="4"/>
  <c r="F188" i="4" s="1"/>
  <c r="E187" i="4"/>
  <c r="F187" i="4" s="1"/>
  <c r="E186" i="4"/>
  <c r="F186" i="4" s="1"/>
  <c r="F185" i="4"/>
  <c r="E185" i="4"/>
  <c r="E184" i="4"/>
  <c r="F184" i="4" s="1"/>
  <c r="E183" i="4"/>
  <c r="F183" i="4" s="1"/>
  <c r="E182" i="4"/>
  <c r="F182" i="4" s="1"/>
  <c r="F181" i="4"/>
  <c r="E181" i="4"/>
  <c r="E180" i="4"/>
  <c r="F180" i="4" s="1"/>
  <c r="E179" i="4"/>
  <c r="F179" i="4" s="1"/>
  <c r="E178" i="4"/>
  <c r="F178" i="4" s="1"/>
  <c r="F177" i="4"/>
  <c r="E177" i="4"/>
  <c r="E176" i="4"/>
  <c r="F176" i="4" s="1"/>
  <c r="E175" i="4"/>
  <c r="F175" i="4" s="1"/>
  <c r="E174" i="4"/>
  <c r="F174" i="4" s="1"/>
  <c r="F173" i="4"/>
  <c r="E173" i="4"/>
  <c r="E172" i="4"/>
  <c r="F172" i="4" s="1"/>
  <c r="E171" i="4"/>
  <c r="F171" i="4" s="1"/>
  <c r="E170" i="4"/>
  <c r="F170" i="4" s="1"/>
  <c r="F169" i="4"/>
  <c r="E169" i="4"/>
  <c r="E168" i="4"/>
  <c r="F168" i="4" s="1"/>
  <c r="E167" i="4"/>
  <c r="F167" i="4" s="1"/>
  <c r="E166" i="4"/>
  <c r="F166" i="4" s="1"/>
  <c r="F165" i="4"/>
  <c r="E165" i="4"/>
  <c r="E164" i="4"/>
  <c r="F164" i="4" s="1"/>
  <c r="E163" i="4"/>
  <c r="F163" i="4" s="1"/>
  <c r="E162" i="4"/>
  <c r="F162" i="4" s="1"/>
  <c r="F161" i="4"/>
  <c r="E161" i="4"/>
  <c r="E160" i="4"/>
  <c r="F160" i="4" s="1"/>
  <c r="E159" i="4"/>
  <c r="F159" i="4" s="1"/>
  <c r="E158" i="4"/>
  <c r="F158" i="4" s="1"/>
  <c r="F157" i="4"/>
  <c r="E157" i="4"/>
  <c r="E156" i="4"/>
  <c r="F156" i="4" s="1"/>
  <c r="E155" i="4"/>
  <c r="F155" i="4" s="1"/>
  <c r="E154" i="4"/>
  <c r="F154" i="4" s="1"/>
  <c r="F153" i="4"/>
  <c r="E153" i="4"/>
  <c r="E152" i="4"/>
  <c r="F152" i="4" s="1"/>
  <c r="E151" i="4"/>
  <c r="F151" i="4" s="1"/>
  <c r="E150" i="4"/>
  <c r="F150" i="4" s="1"/>
  <c r="F149" i="4"/>
  <c r="E149" i="4"/>
  <c r="E148" i="4"/>
  <c r="F148" i="4" s="1"/>
  <c r="E147" i="4"/>
  <c r="F147" i="4" s="1"/>
  <c r="E146" i="4"/>
  <c r="F146" i="4" s="1"/>
  <c r="F145" i="4"/>
  <c r="E145" i="4"/>
  <c r="E144" i="4"/>
  <c r="F144" i="4" s="1"/>
  <c r="E143" i="4"/>
  <c r="F143" i="4" s="1"/>
  <c r="E142" i="4"/>
  <c r="F142" i="4" s="1"/>
  <c r="F141" i="4"/>
  <c r="E141" i="4"/>
  <c r="E140" i="4"/>
  <c r="F140" i="4" s="1"/>
  <c r="E139" i="4"/>
  <c r="F139" i="4" s="1"/>
  <c r="E138" i="4"/>
  <c r="F138" i="4" s="1"/>
  <c r="F137" i="4"/>
  <c r="E137" i="4"/>
  <c r="E136" i="4"/>
  <c r="F136" i="4" s="1"/>
  <c r="E135" i="4"/>
  <c r="F135" i="4" s="1"/>
  <c r="E134" i="4"/>
  <c r="F134" i="4" s="1"/>
  <c r="F133" i="4"/>
  <c r="E133" i="4"/>
  <c r="E132" i="4"/>
  <c r="F132" i="4" s="1"/>
  <c r="E131" i="4"/>
  <c r="F131" i="4" s="1"/>
  <c r="E130" i="4"/>
  <c r="F130" i="4" s="1"/>
  <c r="F129" i="4"/>
  <c r="E129" i="4"/>
  <c r="E128" i="4"/>
  <c r="F128" i="4" s="1"/>
  <c r="E127" i="4"/>
  <c r="F127" i="4" s="1"/>
  <c r="E126" i="4"/>
  <c r="F126" i="4" s="1"/>
  <c r="F125" i="4"/>
  <c r="E125" i="4"/>
  <c r="E124" i="4"/>
  <c r="F124" i="4" s="1"/>
  <c r="E123" i="4"/>
  <c r="F123" i="4" s="1"/>
  <c r="E122" i="4"/>
  <c r="F122" i="4" s="1"/>
  <c r="F121" i="4"/>
  <c r="E121" i="4"/>
  <c r="E120" i="4"/>
  <c r="F120" i="4" s="1"/>
  <c r="E119" i="4"/>
  <c r="F119" i="4" s="1"/>
  <c r="E118" i="4"/>
  <c r="F118" i="4" s="1"/>
  <c r="F117" i="4"/>
  <c r="E117" i="4"/>
  <c r="E116" i="4"/>
  <c r="F116" i="4" s="1"/>
  <c r="E115" i="4"/>
  <c r="F115" i="4" s="1"/>
  <c r="E114" i="4"/>
  <c r="F114" i="4" s="1"/>
  <c r="F113" i="4"/>
  <c r="E113" i="4"/>
  <c r="E112" i="4"/>
  <c r="F112" i="4" s="1"/>
  <c r="E111" i="4"/>
  <c r="F111" i="4" s="1"/>
  <c r="E110" i="4"/>
  <c r="F110" i="4" s="1"/>
  <c r="F109" i="4"/>
  <c r="E109" i="4"/>
  <c r="E108" i="4"/>
  <c r="F108" i="4" s="1"/>
  <c r="E107" i="4"/>
  <c r="F107" i="4" s="1"/>
  <c r="E106" i="4"/>
  <c r="F106" i="4" s="1"/>
  <c r="F105" i="4"/>
  <c r="E105" i="4"/>
  <c r="E104" i="4"/>
  <c r="F104" i="4" s="1"/>
  <c r="E103" i="4"/>
  <c r="F103" i="4" s="1"/>
  <c r="E102" i="4"/>
  <c r="F102" i="4" s="1"/>
  <c r="F101" i="4"/>
  <c r="E101" i="4"/>
  <c r="E100" i="4"/>
  <c r="F100" i="4" s="1"/>
  <c r="E99" i="4"/>
  <c r="F99" i="4" s="1"/>
  <c r="E98" i="4"/>
  <c r="F98" i="4" s="1"/>
  <c r="F97" i="4"/>
  <c r="E97" i="4"/>
  <c r="E96" i="4"/>
  <c r="F96" i="4" s="1"/>
  <c r="E95" i="4"/>
  <c r="F95" i="4" s="1"/>
  <c r="E94" i="4"/>
  <c r="F94" i="4" s="1"/>
  <c r="F93" i="4"/>
  <c r="E93" i="4"/>
  <c r="E92" i="4"/>
  <c r="F92" i="4" s="1"/>
  <c r="E91" i="4"/>
  <c r="F91" i="4" s="1"/>
  <c r="E90" i="4"/>
  <c r="F90" i="4" s="1"/>
  <c r="F89" i="4"/>
  <c r="E89" i="4"/>
  <c r="E88" i="4"/>
  <c r="F88" i="4" s="1"/>
  <c r="E87" i="4"/>
  <c r="F87" i="4" s="1"/>
  <c r="E86" i="4"/>
  <c r="F86" i="4" s="1"/>
  <c r="F85" i="4"/>
  <c r="E85" i="4"/>
  <c r="E84" i="4"/>
  <c r="F84" i="4" s="1"/>
  <c r="E83" i="4"/>
  <c r="F83" i="4" s="1"/>
  <c r="E82" i="4"/>
  <c r="F82" i="4" s="1"/>
  <c r="F81" i="4"/>
  <c r="E81" i="4"/>
  <c r="E80" i="4"/>
  <c r="F80" i="4" s="1"/>
  <c r="E79" i="4"/>
  <c r="F79" i="4" s="1"/>
  <c r="E78" i="4"/>
  <c r="F78" i="4" s="1"/>
  <c r="F77" i="4"/>
  <c r="E77" i="4"/>
  <c r="E76" i="4"/>
  <c r="F76" i="4" s="1"/>
  <c r="E75" i="4"/>
  <c r="F75" i="4" s="1"/>
  <c r="E74" i="4"/>
  <c r="F74" i="4" s="1"/>
  <c r="F73" i="4"/>
  <c r="E73" i="4"/>
  <c r="E72" i="4"/>
  <c r="F72" i="4" s="1"/>
  <c r="E71" i="4"/>
  <c r="F71" i="4" s="1"/>
  <c r="E70" i="4"/>
  <c r="F70" i="4" s="1"/>
  <c r="F69" i="4"/>
  <c r="E69" i="4"/>
  <c r="E68" i="4"/>
  <c r="F68" i="4" s="1"/>
  <c r="E67" i="4"/>
  <c r="F67" i="4" s="1"/>
  <c r="E66" i="4"/>
  <c r="F66" i="4" s="1"/>
  <c r="F65" i="4"/>
  <c r="E65" i="4"/>
  <c r="E64" i="4"/>
  <c r="F64" i="4" s="1"/>
  <c r="E63" i="4"/>
  <c r="F63" i="4" s="1"/>
  <c r="E62" i="4"/>
  <c r="F62" i="4" s="1"/>
  <c r="F61" i="4"/>
  <c r="E61" i="4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F53" i="4"/>
  <c r="E53" i="4"/>
  <c r="E52" i="4"/>
  <c r="F52" i="4" s="1"/>
  <c r="E51" i="4"/>
  <c r="F51" i="4" s="1"/>
  <c r="E50" i="4"/>
  <c r="F50" i="4" s="1"/>
  <c r="F49" i="4"/>
  <c r="E49" i="4"/>
  <c r="E48" i="4"/>
  <c r="F48" i="4" s="1"/>
  <c r="E47" i="4"/>
  <c r="F47" i="4" s="1"/>
  <c r="E46" i="4"/>
  <c r="F46" i="4" s="1"/>
  <c r="F45" i="4"/>
  <c r="E45" i="4"/>
  <c r="E44" i="4"/>
  <c r="F44" i="4" s="1"/>
  <c r="E43" i="4"/>
  <c r="F43" i="4" s="1"/>
  <c r="E42" i="4"/>
  <c r="F42" i="4" s="1"/>
  <c r="F41" i="4"/>
  <c r="E41" i="4"/>
  <c r="E40" i="4"/>
  <c r="F40" i="4" s="1"/>
  <c r="E39" i="4"/>
  <c r="F39" i="4" s="1"/>
  <c r="E38" i="4"/>
  <c r="F38" i="4" s="1"/>
  <c r="F37" i="4"/>
  <c r="E37" i="4"/>
  <c r="E36" i="4"/>
  <c r="F36" i="4" s="1"/>
  <c r="E35" i="4"/>
  <c r="F35" i="4" s="1"/>
  <c r="E34" i="4"/>
  <c r="F34" i="4" s="1"/>
  <c r="F33" i="4"/>
  <c r="E33" i="4"/>
  <c r="E32" i="4"/>
  <c r="F32" i="4" s="1"/>
  <c r="E31" i="4"/>
  <c r="F31" i="4" s="1"/>
  <c r="E30" i="4"/>
  <c r="F30" i="4" s="1"/>
  <c r="F29" i="4"/>
  <c r="E29" i="4"/>
  <c r="E28" i="4"/>
  <c r="F28" i="4" s="1"/>
  <c r="E27" i="4"/>
  <c r="F27" i="4" s="1"/>
  <c r="E26" i="4"/>
  <c r="F26" i="4" s="1"/>
  <c r="F25" i="4"/>
  <c r="E25" i="4"/>
  <c r="E24" i="4"/>
  <c r="F24" i="4" s="1"/>
  <c r="E23" i="4"/>
  <c r="F23" i="4" s="1"/>
  <c r="E22" i="4"/>
  <c r="F22" i="4" s="1"/>
  <c r="F21" i="4"/>
  <c r="E21" i="4"/>
  <c r="E20" i="4"/>
  <c r="F20" i="4" s="1"/>
  <c r="E19" i="4"/>
  <c r="F19" i="4" s="1"/>
  <c r="E18" i="4"/>
  <c r="F18" i="4" s="1"/>
  <c r="F17" i="4"/>
  <c r="E17" i="4"/>
  <c r="E16" i="4"/>
  <c r="F16" i="4" s="1"/>
  <c r="E15" i="4"/>
  <c r="F15" i="4" s="1"/>
  <c r="E14" i="4"/>
  <c r="F14" i="4" s="1"/>
  <c r="F13" i="4"/>
  <c r="E13" i="4"/>
  <c r="E12" i="4"/>
  <c r="F12" i="4" s="1"/>
  <c r="E11" i="4"/>
  <c r="F11" i="4" s="1"/>
  <c r="E10" i="4"/>
  <c r="F10" i="4" s="1"/>
  <c r="F9" i="4"/>
  <c r="E9" i="4"/>
  <c r="E8" i="4"/>
  <c r="F8" i="4" s="1"/>
  <c r="E7" i="4"/>
  <c r="F7" i="4" s="1"/>
  <c r="E6" i="4"/>
  <c r="F6" i="4" s="1"/>
  <c r="F5" i="4"/>
  <c r="E5" i="4"/>
  <c r="E4" i="4"/>
  <c r="F4" i="4" s="1"/>
  <c r="E3" i="4"/>
  <c r="F3" i="4" s="1"/>
  <c r="E2" i="4"/>
  <c r="F2" i="4" s="1"/>
  <c r="AA348" i="3"/>
  <c r="Z348" i="3"/>
  <c r="U348" i="3"/>
  <c r="P348" i="3"/>
  <c r="K348" i="3"/>
  <c r="F348" i="3"/>
  <c r="AA347" i="3"/>
  <c r="Z347" i="3"/>
  <c r="U347" i="3"/>
  <c r="P347" i="3"/>
  <c r="K347" i="3"/>
  <c r="F347" i="3"/>
  <c r="AA346" i="3"/>
  <c r="Z346" i="3"/>
  <c r="U346" i="3"/>
  <c r="P346" i="3"/>
  <c r="K346" i="3"/>
  <c r="F346" i="3"/>
  <c r="AA345" i="3"/>
  <c r="Z345" i="3"/>
  <c r="U345" i="3"/>
  <c r="P345" i="3"/>
  <c r="K345" i="3"/>
  <c r="F345" i="3"/>
  <c r="AA344" i="3"/>
  <c r="Z344" i="3"/>
  <c r="U344" i="3"/>
  <c r="P344" i="3"/>
  <c r="K344" i="3"/>
  <c r="F344" i="3"/>
  <c r="AA343" i="3"/>
  <c r="Z343" i="3"/>
  <c r="U343" i="3"/>
  <c r="P343" i="3"/>
  <c r="K343" i="3"/>
  <c r="F343" i="3"/>
  <c r="AA342" i="3"/>
  <c r="Z342" i="3"/>
  <c r="U342" i="3"/>
  <c r="P342" i="3"/>
  <c r="K342" i="3"/>
  <c r="F342" i="3"/>
  <c r="AA341" i="3"/>
  <c r="Z341" i="3"/>
  <c r="U341" i="3"/>
  <c r="P341" i="3"/>
  <c r="K341" i="3"/>
  <c r="F341" i="3"/>
  <c r="AA340" i="3"/>
  <c r="Z340" i="3"/>
  <c r="U340" i="3"/>
  <c r="P340" i="3"/>
  <c r="K340" i="3"/>
  <c r="F340" i="3"/>
  <c r="AA339" i="3"/>
  <c r="Z339" i="3"/>
  <c r="U339" i="3"/>
  <c r="P339" i="3"/>
  <c r="K339" i="3"/>
  <c r="F339" i="3"/>
  <c r="AA338" i="3"/>
  <c r="Z338" i="3"/>
  <c r="U338" i="3"/>
  <c r="P338" i="3"/>
  <c r="K338" i="3"/>
  <c r="F338" i="3"/>
  <c r="AA337" i="3"/>
  <c r="Z337" i="3"/>
  <c r="U337" i="3"/>
  <c r="P337" i="3"/>
  <c r="K337" i="3"/>
  <c r="F337" i="3"/>
  <c r="AA336" i="3"/>
  <c r="Z336" i="3"/>
  <c r="U336" i="3"/>
  <c r="P336" i="3"/>
  <c r="K336" i="3"/>
  <c r="F336" i="3"/>
  <c r="AA335" i="3"/>
  <c r="Z335" i="3"/>
  <c r="U335" i="3"/>
  <c r="P335" i="3"/>
  <c r="K335" i="3"/>
  <c r="F335" i="3"/>
  <c r="AA334" i="3"/>
  <c r="Z334" i="3"/>
  <c r="U334" i="3"/>
  <c r="P334" i="3"/>
  <c r="K334" i="3"/>
  <c r="F334" i="3"/>
  <c r="AA333" i="3"/>
  <c r="Z333" i="3"/>
  <c r="U333" i="3"/>
  <c r="P333" i="3"/>
  <c r="K333" i="3"/>
  <c r="F333" i="3"/>
  <c r="AA332" i="3"/>
  <c r="Z332" i="3"/>
  <c r="U332" i="3"/>
  <c r="P332" i="3"/>
  <c r="K332" i="3"/>
  <c r="F332" i="3"/>
  <c r="AA331" i="3"/>
  <c r="Z331" i="3"/>
  <c r="U331" i="3"/>
  <c r="P331" i="3"/>
  <c r="K331" i="3"/>
  <c r="F331" i="3"/>
  <c r="AA330" i="3"/>
  <c r="Z330" i="3"/>
  <c r="U330" i="3"/>
  <c r="P330" i="3"/>
  <c r="K330" i="3"/>
  <c r="F330" i="3"/>
  <c r="AA329" i="3"/>
  <c r="Z329" i="3"/>
  <c r="U329" i="3"/>
  <c r="P329" i="3"/>
  <c r="K329" i="3"/>
  <c r="F329" i="3"/>
  <c r="AA328" i="3"/>
  <c r="Z328" i="3"/>
  <c r="U328" i="3"/>
  <c r="P328" i="3"/>
  <c r="K328" i="3"/>
  <c r="F328" i="3"/>
  <c r="AA327" i="3"/>
  <c r="Z327" i="3"/>
  <c r="U327" i="3"/>
  <c r="P327" i="3"/>
  <c r="K327" i="3"/>
  <c r="F327" i="3"/>
  <c r="AA326" i="3"/>
  <c r="Z326" i="3"/>
  <c r="U326" i="3"/>
  <c r="P326" i="3"/>
  <c r="K326" i="3"/>
  <c r="F326" i="3"/>
  <c r="AA325" i="3"/>
  <c r="Z325" i="3"/>
  <c r="U325" i="3"/>
  <c r="P325" i="3"/>
  <c r="K325" i="3"/>
  <c r="F325" i="3"/>
  <c r="AA324" i="3"/>
  <c r="Z324" i="3"/>
  <c r="U324" i="3"/>
  <c r="P324" i="3"/>
  <c r="K324" i="3"/>
  <c r="F324" i="3"/>
  <c r="AA323" i="3"/>
  <c r="Z323" i="3"/>
  <c r="U323" i="3"/>
  <c r="P323" i="3"/>
  <c r="K323" i="3"/>
  <c r="F323" i="3"/>
  <c r="AA322" i="3"/>
  <c r="Z322" i="3"/>
  <c r="U322" i="3"/>
  <c r="P322" i="3"/>
  <c r="K322" i="3"/>
  <c r="F322" i="3"/>
  <c r="AA321" i="3"/>
  <c r="Z321" i="3"/>
  <c r="U321" i="3"/>
  <c r="P321" i="3"/>
  <c r="K321" i="3"/>
  <c r="F321" i="3"/>
  <c r="AA320" i="3"/>
  <c r="Z320" i="3"/>
  <c r="U320" i="3"/>
  <c r="P320" i="3"/>
  <c r="K320" i="3"/>
  <c r="F320" i="3"/>
  <c r="AA319" i="3"/>
  <c r="Z319" i="3"/>
  <c r="U319" i="3"/>
  <c r="P319" i="3"/>
  <c r="K319" i="3"/>
  <c r="F319" i="3"/>
  <c r="AA318" i="3"/>
  <c r="Z318" i="3"/>
  <c r="U318" i="3"/>
  <c r="P318" i="3"/>
  <c r="K318" i="3"/>
  <c r="F318" i="3"/>
  <c r="AA317" i="3"/>
  <c r="Z317" i="3"/>
  <c r="U317" i="3"/>
  <c r="P317" i="3"/>
  <c r="K317" i="3"/>
  <c r="F317" i="3"/>
  <c r="AA316" i="3"/>
  <c r="Z316" i="3"/>
  <c r="U316" i="3"/>
  <c r="P316" i="3"/>
  <c r="K316" i="3"/>
  <c r="F316" i="3"/>
  <c r="AA315" i="3"/>
  <c r="Z315" i="3"/>
  <c r="U315" i="3"/>
  <c r="P315" i="3"/>
  <c r="K315" i="3"/>
  <c r="F315" i="3"/>
  <c r="AA314" i="3"/>
  <c r="Z314" i="3"/>
  <c r="U314" i="3"/>
  <c r="P314" i="3"/>
  <c r="K314" i="3"/>
  <c r="F314" i="3"/>
  <c r="AA313" i="3"/>
  <c r="Z313" i="3"/>
  <c r="U313" i="3"/>
  <c r="P313" i="3"/>
  <c r="K313" i="3"/>
  <c r="F313" i="3"/>
  <c r="AA312" i="3"/>
  <c r="Z312" i="3"/>
  <c r="U312" i="3"/>
  <c r="P312" i="3"/>
  <c r="K312" i="3"/>
  <c r="F312" i="3"/>
  <c r="AA311" i="3"/>
  <c r="Z311" i="3"/>
  <c r="U311" i="3"/>
  <c r="P311" i="3"/>
  <c r="K311" i="3"/>
  <c r="F311" i="3"/>
  <c r="AA310" i="3"/>
  <c r="Z310" i="3"/>
  <c r="U310" i="3"/>
  <c r="P310" i="3"/>
  <c r="K310" i="3"/>
  <c r="F310" i="3"/>
  <c r="AA309" i="3"/>
  <c r="Z309" i="3"/>
  <c r="U309" i="3"/>
  <c r="P309" i="3"/>
  <c r="K309" i="3"/>
  <c r="F309" i="3"/>
  <c r="AA308" i="3"/>
  <c r="Z308" i="3"/>
  <c r="U308" i="3"/>
  <c r="P308" i="3"/>
  <c r="K308" i="3"/>
  <c r="F308" i="3"/>
  <c r="AA307" i="3"/>
  <c r="Z307" i="3"/>
  <c r="U307" i="3"/>
  <c r="P307" i="3"/>
  <c r="K307" i="3"/>
  <c r="F307" i="3"/>
  <c r="AA306" i="3"/>
  <c r="Z306" i="3"/>
  <c r="U306" i="3"/>
  <c r="P306" i="3"/>
  <c r="K306" i="3"/>
  <c r="F306" i="3"/>
  <c r="AA305" i="3"/>
  <c r="Z305" i="3"/>
  <c r="U305" i="3"/>
  <c r="P305" i="3"/>
  <c r="K305" i="3"/>
  <c r="F305" i="3"/>
  <c r="AA304" i="3"/>
  <c r="Z304" i="3"/>
  <c r="U304" i="3"/>
  <c r="P304" i="3"/>
  <c r="K304" i="3"/>
  <c r="F304" i="3"/>
  <c r="AA303" i="3"/>
  <c r="Z303" i="3"/>
  <c r="U303" i="3"/>
  <c r="P303" i="3"/>
  <c r="K303" i="3"/>
  <c r="F303" i="3"/>
  <c r="AA302" i="3"/>
  <c r="Z302" i="3"/>
  <c r="U302" i="3"/>
  <c r="P302" i="3"/>
  <c r="K302" i="3"/>
  <c r="F302" i="3"/>
  <c r="AA301" i="3"/>
  <c r="Z301" i="3"/>
  <c r="U301" i="3"/>
  <c r="P301" i="3"/>
  <c r="K301" i="3"/>
  <c r="F301" i="3"/>
  <c r="AA300" i="3"/>
  <c r="Z300" i="3"/>
  <c r="U300" i="3"/>
  <c r="P300" i="3"/>
  <c r="K300" i="3"/>
  <c r="F300" i="3"/>
  <c r="AA299" i="3"/>
  <c r="Z299" i="3"/>
  <c r="U299" i="3"/>
  <c r="P299" i="3"/>
  <c r="K299" i="3"/>
  <c r="F299" i="3"/>
  <c r="AA298" i="3"/>
  <c r="Z298" i="3"/>
  <c r="U298" i="3"/>
  <c r="P298" i="3"/>
  <c r="K298" i="3"/>
  <c r="F298" i="3"/>
  <c r="AA297" i="3"/>
  <c r="Z297" i="3"/>
  <c r="U297" i="3"/>
  <c r="P297" i="3"/>
  <c r="K297" i="3"/>
  <c r="F297" i="3"/>
  <c r="AA296" i="3"/>
  <c r="Z296" i="3"/>
  <c r="U296" i="3"/>
  <c r="P296" i="3"/>
  <c r="K296" i="3"/>
  <c r="F296" i="3"/>
  <c r="AA295" i="3"/>
  <c r="Z295" i="3"/>
  <c r="U295" i="3"/>
  <c r="P295" i="3"/>
  <c r="K295" i="3"/>
  <c r="F295" i="3"/>
  <c r="AA294" i="3"/>
  <c r="Z294" i="3"/>
  <c r="U294" i="3"/>
  <c r="P294" i="3"/>
  <c r="K294" i="3"/>
  <c r="F294" i="3"/>
  <c r="AA293" i="3"/>
  <c r="Z293" i="3"/>
  <c r="U293" i="3"/>
  <c r="P293" i="3"/>
  <c r="K293" i="3"/>
  <c r="F293" i="3"/>
  <c r="AA292" i="3"/>
  <c r="Z292" i="3"/>
  <c r="U292" i="3"/>
  <c r="P292" i="3"/>
  <c r="K292" i="3"/>
  <c r="F292" i="3"/>
  <c r="AA291" i="3"/>
  <c r="Z291" i="3"/>
  <c r="U291" i="3"/>
  <c r="P291" i="3"/>
  <c r="K291" i="3"/>
  <c r="F291" i="3"/>
  <c r="AA290" i="3"/>
  <c r="Z290" i="3"/>
  <c r="U290" i="3"/>
  <c r="P290" i="3"/>
  <c r="K290" i="3"/>
  <c r="F290" i="3"/>
  <c r="AA289" i="3"/>
  <c r="Z289" i="3"/>
  <c r="U289" i="3"/>
  <c r="P289" i="3"/>
  <c r="K289" i="3"/>
  <c r="F289" i="3"/>
  <c r="AA288" i="3"/>
  <c r="Z288" i="3"/>
  <c r="U288" i="3"/>
  <c r="P288" i="3"/>
  <c r="K288" i="3"/>
  <c r="F288" i="3"/>
  <c r="AA287" i="3"/>
  <c r="Z287" i="3"/>
  <c r="U287" i="3"/>
  <c r="P287" i="3"/>
  <c r="K287" i="3"/>
  <c r="F287" i="3"/>
  <c r="AA286" i="3"/>
  <c r="Z286" i="3"/>
  <c r="U286" i="3"/>
  <c r="P286" i="3"/>
  <c r="K286" i="3"/>
  <c r="F286" i="3"/>
  <c r="AA285" i="3"/>
  <c r="Z285" i="3"/>
  <c r="U285" i="3"/>
  <c r="P285" i="3"/>
  <c r="K285" i="3"/>
  <c r="F285" i="3"/>
  <c r="AA284" i="3"/>
  <c r="Z284" i="3"/>
  <c r="U284" i="3"/>
  <c r="P284" i="3"/>
  <c r="K284" i="3"/>
  <c r="F284" i="3"/>
  <c r="AA283" i="3"/>
  <c r="Z283" i="3"/>
  <c r="U283" i="3"/>
  <c r="P283" i="3"/>
  <c r="K283" i="3"/>
  <c r="F283" i="3"/>
  <c r="AA282" i="3"/>
  <c r="Z282" i="3"/>
  <c r="U282" i="3"/>
  <c r="P282" i="3"/>
  <c r="K282" i="3"/>
  <c r="F282" i="3"/>
  <c r="AA281" i="3"/>
  <c r="Z281" i="3"/>
  <c r="U281" i="3"/>
  <c r="P281" i="3"/>
  <c r="K281" i="3"/>
  <c r="F281" i="3"/>
  <c r="AA280" i="3"/>
  <c r="Z280" i="3"/>
  <c r="U280" i="3"/>
  <c r="P280" i="3"/>
  <c r="K280" i="3"/>
  <c r="F280" i="3"/>
  <c r="AA279" i="3"/>
  <c r="Z279" i="3"/>
  <c r="U279" i="3"/>
  <c r="P279" i="3"/>
  <c r="K279" i="3"/>
  <c r="F279" i="3"/>
  <c r="AA278" i="3"/>
  <c r="Z278" i="3"/>
  <c r="U278" i="3"/>
  <c r="P278" i="3"/>
  <c r="K278" i="3"/>
  <c r="F278" i="3"/>
  <c r="AA277" i="3"/>
  <c r="Z277" i="3"/>
  <c r="U277" i="3"/>
  <c r="P277" i="3"/>
  <c r="K277" i="3"/>
  <c r="F277" i="3"/>
  <c r="AA276" i="3"/>
  <c r="Z276" i="3"/>
  <c r="U276" i="3"/>
  <c r="P276" i="3"/>
  <c r="K276" i="3"/>
  <c r="F276" i="3"/>
  <c r="AA275" i="3"/>
  <c r="Z275" i="3"/>
  <c r="U275" i="3"/>
  <c r="P275" i="3"/>
  <c r="K275" i="3"/>
  <c r="F275" i="3"/>
  <c r="AA274" i="3"/>
  <c r="Z274" i="3"/>
  <c r="U274" i="3"/>
  <c r="P274" i="3"/>
  <c r="K274" i="3"/>
  <c r="F274" i="3"/>
  <c r="AA273" i="3"/>
  <c r="Z273" i="3"/>
  <c r="U273" i="3"/>
  <c r="P273" i="3"/>
  <c r="K273" i="3"/>
  <c r="F273" i="3"/>
  <c r="AA272" i="3"/>
  <c r="Z272" i="3"/>
  <c r="U272" i="3"/>
  <c r="P272" i="3"/>
  <c r="K272" i="3"/>
  <c r="F272" i="3"/>
  <c r="AA271" i="3"/>
  <c r="Z271" i="3"/>
  <c r="U271" i="3"/>
  <c r="P271" i="3"/>
  <c r="K271" i="3"/>
  <c r="F271" i="3"/>
  <c r="AA270" i="3"/>
  <c r="Z270" i="3"/>
  <c r="U270" i="3"/>
  <c r="P270" i="3"/>
  <c r="K270" i="3"/>
  <c r="F270" i="3"/>
  <c r="AA269" i="3"/>
  <c r="Z269" i="3"/>
  <c r="U269" i="3"/>
  <c r="P269" i="3"/>
  <c r="K269" i="3"/>
  <c r="F269" i="3"/>
  <c r="AA268" i="3"/>
  <c r="Z268" i="3"/>
  <c r="U268" i="3"/>
  <c r="P268" i="3"/>
  <c r="K268" i="3"/>
  <c r="F268" i="3"/>
  <c r="AA267" i="3"/>
  <c r="Z267" i="3"/>
  <c r="U267" i="3"/>
  <c r="P267" i="3"/>
  <c r="K267" i="3"/>
  <c r="F267" i="3"/>
  <c r="AA266" i="3"/>
  <c r="Z266" i="3"/>
  <c r="U266" i="3"/>
  <c r="P266" i="3"/>
  <c r="K266" i="3"/>
  <c r="F266" i="3"/>
  <c r="AA265" i="3"/>
  <c r="Z265" i="3"/>
  <c r="U265" i="3"/>
  <c r="P265" i="3"/>
  <c r="K265" i="3"/>
  <c r="F265" i="3"/>
  <c r="AA264" i="3"/>
  <c r="Z264" i="3"/>
  <c r="U264" i="3"/>
  <c r="P264" i="3"/>
  <c r="K264" i="3"/>
  <c r="F264" i="3"/>
  <c r="AA263" i="3"/>
  <c r="Z263" i="3"/>
  <c r="U263" i="3"/>
  <c r="P263" i="3"/>
  <c r="K263" i="3"/>
  <c r="F263" i="3"/>
  <c r="AA262" i="3"/>
  <c r="Z262" i="3"/>
  <c r="U262" i="3"/>
  <c r="P262" i="3"/>
  <c r="K262" i="3"/>
  <c r="F262" i="3"/>
  <c r="AA261" i="3"/>
  <c r="Z261" i="3"/>
  <c r="U261" i="3"/>
  <c r="P261" i="3"/>
  <c r="K261" i="3"/>
  <c r="F261" i="3"/>
  <c r="AA260" i="3"/>
  <c r="Z260" i="3"/>
  <c r="U260" i="3"/>
  <c r="P260" i="3"/>
  <c r="K260" i="3"/>
  <c r="F260" i="3"/>
  <c r="AA259" i="3"/>
  <c r="Z259" i="3"/>
  <c r="U259" i="3"/>
  <c r="P259" i="3"/>
  <c r="K259" i="3"/>
  <c r="F259" i="3"/>
  <c r="AA258" i="3"/>
  <c r="Z258" i="3"/>
  <c r="U258" i="3"/>
  <c r="P258" i="3"/>
  <c r="K258" i="3"/>
  <c r="F258" i="3"/>
  <c r="AA257" i="3"/>
  <c r="Z257" i="3"/>
  <c r="U257" i="3"/>
  <c r="P257" i="3"/>
  <c r="K257" i="3"/>
  <c r="F257" i="3"/>
  <c r="AA256" i="3"/>
  <c r="Z256" i="3"/>
  <c r="U256" i="3"/>
  <c r="P256" i="3"/>
  <c r="K256" i="3"/>
  <c r="F256" i="3"/>
  <c r="AA255" i="3"/>
  <c r="Z255" i="3"/>
  <c r="U255" i="3"/>
  <c r="P255" i="3"/>
  <c r="K255" i="3"/>
  <c r="F255" i="3"/>
  <c r="AA254" i="3"/>
  <c r="Z254" i="3"/>
  <c r="U254" i="3"/>
  <c r="P254" i="3"/>
  <c r="K254" i="3"/>
  <c r="F254" i="3"/>
  <c r="AA253" i="3"/>
  <c r="Z253" i="3"/>
  <c r="U253" i="3"/>
  <c r="P253" i="3"/>
  <c r="K253" i="3"/>
  <c r="F253" i="3"/>
  <c r="AA252" i="3"/>
  <c r="Z252" i="3"/>
  <c r="U252" i="3"/>
  <c r="P252" i="3"/>
  <c r="K252" i="3"/>
  <c r="F252" i="3"/>
  <c r="AA251" i="3"/>
  <c r="Z251" i="3"/>
  <c r="U251" i="3"/>
  <c r="P251" i="3"/>
  <c r="K251" i="3"/>
  <c r="F251" i="3"/>
  <c r="AA250" i="3"/>
  <c r="Z250" i="3"/>
  <c r="U250" i="3"/>
  <c r="P250" i="3"/>
  <c r="K250" i="3"/>
  <c r="F250" i="3"/>
  <c r="AA249" i="3"/>
  <c r="Z249" i="3"/>
  <c r="U249" i="3"/>
  <c r="P249" i="3"/>
  <c r="K249" i="3"/>
  <c r="F249" i="3"/>
  <c r="AA183" i="3"/>
  <c r="AA181" i="3"/>
  <c r="AA176" i="3"/>
  <c r="AA163" i="3"/>
  <c r="AV40" i="8" l="1"/>
  <c r="U4" i="8"/>
  <c r="AV10" i="8"/>
  <c r="AV13" i="8"/>
  <c r="AU16" i="8"/>
  <c r="AV19" i="8"/>
  <c r="AV29" i="8"/>
  <c r="AU32" i="8"/>
  <c r="AV35" i="8"/>
  <c r="AV45" i="8"/>
  <c r="AV51" i="8"/>
  <c r="AV61" i="8"/>
  <c r="AU64" i="8"/>
  <c r="AV67" i="8"/>
  <c r="AV77" i="8"/>
  <c r="AU80" i="8"/>
  <c r="AV83" i="8"/>
  <c r="AV93" i="8"/>
  <c r="AV95" i="8"/>
  <c r="AW111" i="8"/>
  <c r="BD111" i="8" s="1"/>
  <c r="AZ115" i="8"/>
  <c r="BB116" i="8"/>
  <c r="AW117" i="8"/>
  <c r="BD117" i="8" s="1"/>
  <c r="AU7" i="8"/>
  <c r="AU23" i="8"/>
  <c r="AV26" i="8"/>
  <c r="AU39" i="8"/>
  <c r="AV42" i="8"/>
  <c r="AU55" i="8"/>
  <c r="AV58" i="8"/>
  <c r="AU71" i="8"/>
  <c r="AV74" i="8"/>
  <c r="AU87" i="8"/>
  <c r="AV90" i="8"/>
  <c r="BC116" i="8"/>
  <c r="AX117" i="8"/>
  <c r="BE117" i="8" s="1"/>
  <c r="AX119" i="8"/>
  <c r="AW119" i="8"/>
  <c r="BD119" i="8" s="1"/>
  <c r="BE109" i="8"/>
  <c r="AU5" i="8"/>
  <c r="AU8" i="8"/>
  <c r="AV11" i="8"/>
  <c r="AV21" i="8"/>
  <c r="AU24" i="8"/>
  <c r="AV27" i="8"/>
  <c r="AV37" i="8"/>
  <c r="AU40" i="8"/>
  <c r="AV43" i="8"/>
  <c r="AV53" i="8"/>
  <c r="AU56" i="8"/>
  <c r="AV59" i="8"/>
  <c r="AV69" i="8"/>
  <c r="AU72" i="8"/>
  <c r="AV75" i="8"/>
  <c r="AV85" i="8"/>
  <c r="AU88" i="8"/>
  <c r="AV91" i="8"/>
  <c r="AV100" i="8"/>
  <c r="AV102" i="8"/>
  <c r="AU103" i="8"/>
  <c r="AU105" i="8"/>
  <c r="BB110" i="8"/>
  <c r="BE116" i="8"/>
  <c r="BC118" i="8"/>
  <c r="BA119" i="8"/>
  <c r="BC119" i="8" s="1"/>
  <c r="AV8" i="8"/>
  <c r="AV56" i="8"/>
  <c r="AV88" i="8"/>
  <c r="BC110" i="8"/>
  <c r="BD115" i="8"/>
  <c r="AU12" i="8"/>
  <c r="AU28" i="8"/>
  <c r="AU44" i="8"/>
  <c r="AU60" i="8"/>
  <c r="AU76" i="8"/>
  <c r="AU92" i="8"/>
  <c r="BB111" i="8"/>
  <c r="BC112" i="8"/>
  <c r="BD118" i="8"/>
  <c r="AV24" i="8"/>
  <c r="AV72" i="8"/>
  <c r="AV105" i="8"/>
  <c r="T4" i="8"/>
  <c r="AV12" i="8"/>
  <c r="AV15" i="8"/>
  <c r="AU25" i="8"/>
  <c r="AV28" i="8"/>
  <c r="AV31" i="8"/>
  <c r="AU41" i="8"/>
  <c r="AV44" i="8"/>
  <c r="AV47" i="8"/>
  <c r="AU57" i="8"/>
  <c r="AV60" i="8"/>
  <c r="AV63" i="8"/>
  <c r="AU73" i="8"/>
  <c r="AV76" i="8"/>
  <c r="AV79" i="8"/>
  <c r="AU89" i="8"/>
  <c r="AV92" i="8"/>
  <c r="AV98" i="8"/>
  <c r="AX109" i="8"/>
  <c r="BE112" i="8"/>
  <c r="AZ112" i="8"/>
  <c r="BB112" i="8" s="1"/>
  <c r="AX114" i="8"/>
  <c r="BE114" i="8" s="1"/>
  <c r="BB115" i="8"/>
  <c r="BB118" i="8"/>
  <c r="S6" i="5"/>
  <c r="J6" i="5"/>
  <c r="S4" i="5"/>
  <c r="O5" i="5" s="1"/>
  <c r="Q5" i="5" s="1"/>
  <c r="F4" i="5"/>
  <c r="U5" i="5"/>
  <c r="V5" i="5"/>
  <c r="U10" i="5"/>
  <c r="V12" i="5"/>
  <c r="P12" i="5"/>
  <c r="S25" i="5"/>
  <c r="S26" i="5"/>
  <c r="J26" i="5"/>
  <c r="U37" i="5"/>
  <c r="O45" i="5"/>
  <c r="U45" i="5"/>
  <c r="S64" i="5"/>
  <c r="V64" i="5" s="1"/>
  <c r="J64" i="5"/>
  <c r="F74" i="5"/>
  <c r="S74" i="5"/>
  <c r="U83" i="5"/>
  <c r="U120" i="5"/>
  <c r="U159" i="5"/>
  <c r="O159" i="5"/>
  <c r="Q159" i="5" s="1"/>
  <c r="V159" i="5"/>
  <c r="V166" i="5"/>
  <c r="P166" i="5"/>
  <c r="V9" i="5"/>
  <c r="S20" i="5"/>
  <c r="F20" i="5"/>
  <c r="O21" i="5"/>
  <c r="U21" i="5"/>
  <c r="V21" i="5"/>
  <c r="S28" i="5"/>
  <c r="F28" i="5"/>
  <c r="V30" i="5"/>
  <c r="U30" i="5"/>
  <c r="S36" i="5"/>
  <c r="F36" i="5"/>
  <c r="S53" i="5"/>
  <c r="F53" i="5"/>
  <c r="J55" i="5"/>
  <c r="S55" i="5"/>
  <c r="J63" i="5"/>
  <c r="S63" i="5"/>
  <c r="O80" i="5"/>
  <c r="Q80" i="5" s="1"/>
  <c r="U80" i="5"/>
  <c r="O96" i="5"/>
  <c r="O97" i="5"/>
  <c r="Q97" i="5" s="1"/>
  <c r="V96" i="5"/>
  <c r="U96" i="5"/>
  <c r="R97" i="5"/>
  <c r="S17" i="5"/>
  <c r="S22" i="5"/>
  <c r="J22" i="5"/>
  <c r="J30" i="5"/>
  <c r="U42" i="5"/>
  <c r="O49" i="5"/>
  <c r="Q49" i="5" s="1"/>
  <c r="U49" i="5"/>
  <c r="P56" i="5"/>
  <c r="P50" i="5"/>
  <c r="V50" i="5"/>
  <c r="P57" i="5"/>
  <c r="V57" i="5"/>
  <c r="S34" i="5"/>
  <c r="S9" i="5"/>
  <c r="O10" i="5" s="1"/>
  <c r="Q10" i="5" s="1"/>
  <c r="O38" i="5"/>
  <c r="U38" i="5"/>
  <c r="V40" i="5"/>
  <c r="P41" i="5"/>
  <c r="V41" i="5"/>
  <c r="P49" i="5"/>
  <c r="V49" i="5"/>
  <c r="O59" i="5"/>
  <c r="P95" i="5"/>
  <c r="V95" i="5"/>
  <c r="P96" i="5"/>
  <c r="R96" i="5" s="1"/>
  <c r="V66" i="5"/>
  <c r="U66" i="5"/>
  <c r="S13" i="5"/>
  <c r="O14" i="5" s="1"/>
  <c r="U40" i="5"/>
  <c r="O41" i="5"/>
  <c r="Q41" i="5" s="1"/>
  <c r="U41" i="5"/>
  <c r="O46" i="5"/>
  <c r="U46" i="5"/>
  <c r="P58" i="5"/>
  <c r="R58" i="5" s="1"/>
  <c r="V58" i="5"/>
  <c r="P59" i="5"/>
  <c r="R59" i="5" s="1"/>
  <c r="V59" i="5"/>
  <c r="P60" i="5"/>
  <c r="R60" i="5" s="1"/>
  <c r="J61" i="5"/>
  <c r="S61" i="5"/>
  <c r="V148" i="5"/>
  <c r="P148" i="5"/>
  <c r="R148" i="5" s="1"/>
  <c r="P149" i="5"/>
  <c r="O151" i="5"/>
  <c r="V151" i="5"/>
  <c r="U151" i="5"/>
  <c r="P10" i="5"/>
  <c r="P11" i="5"/>
  <c r="S18" i="5"/>
  <c r="N18" i="5"/>
  <c r="V14" i="5"/>
  <c r="P15" i="5"/>
  <c r="S16" i="5"/>
  <c r="V16" i="5" s="1"/>
  <c r="F16" i="5"/>
  <c r="P38" i="5"/>
  <c r="R38" i="5" s="1"/>
  <c r="V38" i="5"/>
  <c r="P39" i="5"/>
  <c r="F40" i="5"/>
  <c r="P46" i="5"/>
  <c r="R46" i="5" s="1"/>
  <c r="V46" i="5"/>
  <c r="P47" i="5"/>
  <c r="O50" i="5"/>
  <c r="Q50" i="5" s="1"/>
  <c r="S56" i="5"/>
  <c r="O57" i="5"/>
  <c r="Q57" i="5" s="1"/>
  <c r="U58" i="5"/>
  <c r="P69" i="5"/>
  <c r="V69" i="5"/>
  <c r="S84" i="5"/>
  <c r="F84" i="5"/>
  <c r="U91" i="5"/>
  <c r="P13" i="5"/>
  <c r="V36" i="5"/>
  <c r="P42" i="5"/>
  <c r="R42" i="5" s="1"/>
  <c r="P45" i="5"/>
  <c r="R45" i="5" s="1"/>
  <c r="V45" i="5"/>
  <c r="P51" i="5"/>
  <c r="R51" i="5" s="1"/>
  <c r="U67" i="5"/>
  <c r="O67" i="5"/>
  <c r="O79" i="5"/>
  <c r="Q79" i="5" s="1"/>
  <c r="U79" i="5"/>
  <c r="U135" i="5"/>
  <c r="P177" i="5"/>
  <c r="R177" i="5" s="1"/>
  <c r="P178" i="5"/>
  <c r="R178" i="5" s="1"/>
  <c r="V177" i="5"/>
  <c r="S69" i="5"/>
  <c r="F69" i="5"/>
  <c r="P79" i="5"/>
  <c r="V79" i="5"/>
  <c r="S82" i="5"/>
  <c r="F82" i="5"/>
  <c r="U92" i="5"/>
  <c r="O92" i="5"/>
  <c r="V92" i="5"/>
  <c r="S116" i="5"/>
  <c r="F116" i="5"/>
  <c r="U124" i="5"/>
  <c r="O124" i="5"/>
  <c r="Q124" i="5" s="1"/>
  <c r="N174" i="5"/>
  <c r="S174" i="5"/>
  <c r="U14" i="5"/>
  <c r="P17" i="5"/>
  <c r="V20" i="5"/>
  <c r="V28" i="5"/>
  <c r="S33" i="5"/>
  <c r="P37" i="5"/>
  <c r="V37" i="5"/>
  <c r="V42" i="5"/>
  <c r="J50" i="5"/>
  <c r="V51" i="5"/>
  <c r="P52" i="5"/>
  <c r="F54" i="5"/>
  <c r="V54" i="5"/>
  <c r="J57" i="5"/>
  <c r="J58" i="5"/>
  <c r="S98" i="5"/>
  <c r="F98" i="5"/>
  <c r="U114" i="5"/>
  <c r="P132" i="5"/>
  <c r="U152" i="5"/>
  <c r="O152" i="5"/>
  <c r="V174" i="5"/>
  <c r="P174" i="5"/>
  <c r="F24" i="5"/>
  <c r="V24" i="5"/>
  <c r="S29" i="5"/>
  <c r="P30" i="5"/>
  <c r="P33" i="5"/>
  <c r="V33" i="5"/>
  <c r="P35" i="5"/>
  <c r="V60" i="5"/>
  <c r="V61" i="5"/>
  <c r="P63" i="5"/>
  <c r="P64" i="5"/>
  <c r="P85" i="5"/>
  <c r="V85" i="5"/>
  <c r="S99" i="5"/>
  <c r="J102" i="5"/>
  <c r="S102" i="5"/>
  <c r="F125" i="5"/>
  <c r="S125" i="5"/>
  <c r="P5" i="5"/>
  <c r="V8" i="5"/>
  <c r="P21" i="5"/>
  <c r="R21" i="5" s="1"/>
  <c r="P26" i="5"/>
  <c r="P29" i="5"/>
  <c r="V29" i="5"/>
  <c r="P31" i="5"/>
  <c r="V34" i="5"/>
  <c r="O62" i="5"/>
  <c r="Q62" i="5" s="1"/>
  <c r="U62" i="5"/>
  <c r="P62" i="5"/>
  <c r="V62" i="5"/>
  <c r="P65" i="5"/>
  <c r="S71" i="5"/>
  <c r="U72" i="5"/>
  <c r="F76" i="5"/>
  <c r="S76" i="5"/>
  <c r="P87" i="5"/>
  <c r="S90" i="5"/>
  <c r="F90" i="5"/>
  <c r="U149" i="5"/>
  <c r="O149" i="5"/>
  <c r="Q149" i="5" s="1"/>
  <c r="O150" i="5"/>
  <c r="Q150" i="5" s="1"/>
  <c r="V150" i="5"/>
  <c r="U150" i="5"/>
  <c r="U12" i="5"/>
  <c r="P16" i="5"/>
  <c r="P25" i="5"/>
  <c r="V25" i="5"/>
  <c r="O32" i="5"/>
  <c r="Q32" i="5" s="1"/>
  <c r="P72" i="5"/>
  <c r="V72" i="5"/>
  <c r="P73" i="5"/>
  <c r="J101" i="5"/>
  <c r="S101" i="5"/>
  <c r="S106" i="5"/>
  <c r="F106" i="5"/>
  <c r="U112" i="5"/>
  <c r="V112" i="5"/>
  <c r="P168" i="5"/>
  <c r="R168" i="5" s="1"/>
  <c r="P167" i="5"/>
  <c r="P68" i="5"/>
  <c r="U77" i="5"/>
  <c r="P80" i="5"/>
  <c r="V80" i="5"/>
  <c r="P93" i="5"/>
  <c r="U109" i="5"/>
  <c r="U110" i="5"/>
  <c r="O110" i="5"/>
  <c r="Q110" i="5" s="1"/>
  <c r="Q148" i="5"/>
  <c r="V63" i="5"/>
  <c r="S65" i="5"/>
  <c r="U75" i="5"/>
  <c r="P76" i="5"/>
  <c r="S78" i="5"/>
  <c r="P82" i="5"/>
  <c r="O88" i="5"/>
  <c r="Q88" i="5" s="1"/>
  <c r="U88" i="5"/>
  <c r="V88" i="5"/>
  <c r="P103" i="5"/>
  <c r="P104" i="5"/>
  <c r="V109" i="5"/>
  <c r="U117" i="5"/>
  <c r="O117" i="5"/>
  <c r="Q117" i="5" s="1"/>
  <c r="V139" i="5"/>
  <c r="U139" i="5"/>
  <c r="F143" i="5"/>
  <c r="S143" i="5"/>
  <c r="S154" i="5"/>
  <c r="F154" i="5"/>
  <c r="O160" i="5"/>
  <c r="Q160" i="5" s="1"/>
  <c r="V160" i="5"/>
  <c r="U160" i="5"/>
  <c r="S165" i="5"/>
  <c r="V180" i="5"/>
  <c r="S68" i="5"/>
  <c r="S70" i="5"/>
  <c r="P78" i="5"/>
  <c r="S81" i="5"/>
  <c r="S89" i="5"/>
  <c r="V98" i="5"/>
  <c r="P98" i="5"/>
  <c r="V101" i="5"/>
  <c r="P101" i="5"/>
  <c r="O104" i="5"/>
  <c r="Q104" i="5" s="1"/>
  <c r="U104" i="5"/>
  <c r="O105" i="5"/>
  <c r="Q105" i="5" s="1"/>
  <c r="P116" i="5"/>
  <c r="P117" i="5"/>
  <c r="S131" i="5"/>
  <c r="P140" i="5"/>
  <c r="V140" i="5"/>
  <c r="P141" i="5"/>
  <c r="F142" i="5"/>
  <c r="S142" i="5"/>
  <c r="S144" i="5"/>
  <c r="J144" i="5"/>
  <c r="S3" i="5"/>
  <c r="S7" i="5"/>
  <c r="S11" i="5"/>
  <c r="S15" i="5"/>
  <c r="S19" i="5"/>
  <c r="S23" i="5"/>
  <c r="S27" i="5"/>
  <c r="S31" i="5"/>
  <c r="S35" i="5"/>
  <c r="S39" i="5"/>
  <c r="S43" i="5"/>
  <c r="S47" i="5"/>
  <c r="F51" i="5"/>
  <c r="S52" i="5"/>
  <c r="F59" i="5"/>
  <c r="V68" i="5"/>
  <c r="P70" i="5"/>
  <c r="V70" i="5"/>
  <c r="S73" i="5"/>
  <c r="V82" i="5"/>
  <c r="J85" i="5"/>
  <c r="S85" i="5"/>
  <c r="V86" i="5"/>
  <c r="V90" i="5"/>
  <c r="P90" i="5"/>
  <c r="P94" i="5"/>
  <c r="S100" i="5"/>
  <c r="F100" i="5"/>
  <c r="P106" i="5"/>
  <c r="S108" i="5"/>
  <c r="F108" i="5"/>
  <c r="V116" i="5"/>
  <c r="J155" i="5"/>
  <c r="S155" i="5"/>
  <c r="O158" i="5"/>
  <c r="U158" i="5"/>
  <c r="V158" i="5"/>
  <c r="S162" i="5"/>
  <c r="F162" i="5"/>
  <c r="J167" i="5"/>
  <c r="S167" i="5"/>
  <c r="Q169" i="5"/>
  <c r="R169" i="5"/>
  <c r="U180" i="5"/>
  <c r="V76" i="5"/>
  <c r="U86" i="5"/>
  <c r="S93" i="5"/>
  <c r="J93" i="5"/>
  <c r="S103" i="5"/>
  <c r="F103" i="5"/>
  <c r="V104" i="5"/>
  <c r="R105" i="5"/>
  <c r="S119" i="5"/>
  <c r="F119" i="5"/>
  <c r="V125" i="5"/>
  <c r="P125" i="5"/>
  <c r="S140" i="5"/>
  <c r="F140" i="5"/>
  <c r="O145" i="5"/>
  <c r="F157" i="5"/>
  <c r="S157" i="5"/>
  <c r="F161" i="5"/>
  <c r="S161" i="5"/>
  <c r="V91" i="5"/>
  <c r="F107" i="5"/>
  <c r="S107" i="5"/>
  <c r="P111" i="5"/>
  <c r="V110" i="5"/>
  <c r="O118" i="5"/>
  <c r="Q118" i="5" s="1"/>
  <c r="U118" i="5"/>
  <c r="P119" i="5"/>
  <c r="S126" i="5"/>
  <c r="F126" i="5"/>
  <c r="S127" i="5"/>
  <c r="F127" i="5"/>
  <c r="P138" i="5"/>
  <c r="P137" i="5"/>
  <c r="V149" i="5"/>
  <c r="P155" i="5"/>
  <c r="V154" i="5"/>
  <c r="S163" i="5"/>
  <c r="F163" i="5"/>
  <c r="U164" i="5"/>
  <c r="V164" i="5"/>
  <c r="V78" i="5"/>
  <c r="V83" i="5"/>
  <c r="U95" i="5"/>
  <c r="P102" i="5"/>
  <c r="S111" i="5"/>
  <c r="F111" i="5"/>
  <c r="P113" i="5"/>
  <c r="P114" i="5"/>
  <c r="V113" i="5"/>
  <c r="V118" i="5"/>
  <c r="P120" i="5"/>
  <c r="V120" i="5"/>
  <c r="P123" i="5"/>
  <c r="P122" i="5"/>
  <c r="S128" i="5"/>
  <c r="N128" i="5"/>
  <c r="P133" i="5"/>
  <c r="S138" i="5"/>
  <c r="O139" i="5" s="1"/>
  <c r="F138" i="5"/>
  <c r="R159" i="5"/>
  <c r="P170" i="5"/>
  <c r="P176" i="5"/>
  <c r="P175" i="5"/>
  <c r="Q177" i="5"/>
  <c r="O178" i="5"/>
  <c r="U178" i="5"/>
  <c r="S87" i="5"/>
  <c r="P91" i="5"/>
  <c r="S94" i="5"/>
  <c r="O95" i="5" s="1"/>
  <c r="Q95" i="5" s="1"/>
  <c r="V102" i="5"/>
  <c r="U105" i="5"/>
  <c r="S113" i="5"/>
  <c r="F113" i="5"/>
  <c r="S115" i="5"/>
  <c r="U123" i="5"/>
  <c r="S132" i="5"/>
  <c r="F132" i="5"/>
  <c r="S146" i="5"/>
  <c r="F146" i="5"/>
  <c r="U147" i="5"/>
  <c r="V147" i="5"/>
  <c r="S171" i="5"/>
  <c r="V171" i="5" s="1"/>
  <c r="F171" i="5"/>
  <c r="F172" i="5"/>
  <c r="S172" i="5"/>
  <c r="S175" i="5"/>
  <c r="F175" i="5"/>
  <c r="V107" i="5"/>
  <c r="P127" i="5"/>
  <c r="V127" i="5"/>
  <c r="O153" i="5"/>
  <c r="O168" i="5"/>
  <c r="V168" i="5"/>
  <c r="P100" i="5"/>
  <c r="V111" i="5"/>
  <c r="P112" i="5"/>
  <c r="V117" i="5"/>
  <c r="S121" i="5"/>
  <c r="V121" i="5" s="1"/>
  <c r="P126" i="5"/>
  <c r="S133" i="5"/>
  <c r="F133" i="5"/>
  <c r="P145" i="5"/>
  <c r="R145" i="5" s="1"/>
  <c r="V145" i="5"/>
  <c r="P160" i="5"/>
  <c r="P162" i="5"/>
  <c r="P163" i="5"/>
  <c r="V162" i="5"/>
  <c r="F170" i="5"/>
  <c r="S170" i="5"/>
  <c r="V170" i="5" s="1"/>
  <c r="U177" i="5"/>
  <c r="V178" i="5"/>
  <c r="P108" i="5"/>
  <c r="S134" i="5"/>
  <c r="F134" i="5"/>
  <c r="V134" i="5"/>
  <c r="S136" i="5"/>
  <c r="S141" i="5"/>
  <c r="F141" i="5"/>
  <c r="V141" i="5"/>
  <c r="P142" i="5"/>
  <c r="U148" i="5"/>
  <c r="P152" i="5"/>
  <c r="R152" i="5" s="1"/>
  <c r="V152" i="5"/>
  <c r="S179" i="5"/>
  <c r="F179" i="5"/>
  <c r="V114" i="5"/>
  <c r="P115" i="5"/>
  <c r="V124" i="5"/>
  <c r="P135" i="5"/>
  <c r="V135" i="5"/>
  <c r="V142" i="5"/>
  <c r="V144" i="5"/>
  <c r="P153" i="5"/>
  <c r="R153" i="5" s="1"/>
  <c r="S166" i="5"/>
  <c r="V181" i="5"/>
  <c r="P181" i="5"/>
  <c r="R181" i="5" s="1"/>
  <c r="BE119" i="8"/>
  <c r="S130" i="5"/>
  <c r="S137" i="5"/>
  <c r="V137" i="5" s="1"/>
  <c r="P151" i="5"/>
  <c r="R151" i="5" s="1"/>
  <c r="V165" i="5"/>
  <c r="BD112" i="8"/>
  <c r="S122" i="5"/>
  <c r="S129" i="5"/>
  <c r="P143" i="5"/>
  <c r="V157" i="5"/>
  <c r="V169" i="5"/>
  <c r="AU9" i="8"/>
  <c r="AZ109" i="8"/>
  <c r="BB109" i="8" s="1"/>
  <c r="AW110" i="8"/>
  <c r="BD110" i="8" s="1"/>
  <c r="AX110" i="8"/>
  <c r="BE110" i="8" s="1"/>
  <c r="AW113" i="8"/>
  <c r="BD113" i="8" s="1"/>
  <c r="AX118" i="8"/>
  <c r="BE118" i="8" s="1"/>
  <c r="AU109" i="8"/>
  <c r="AX113" i="8"/>
  <c r="BE113" i="8" s="1"/>
  <c r="AW116" i="8"/>
  <c r="BD116" i="8" s="1"/>
  <c r="AU18" i="8"/>
  <c r="AU26" i="8"/>
  <c r="AU34" i="8"/>
  <c r="AU42" i="8"/>
  <c r="AU50" i="8"/>
  <c r="AU58" i="8"/>
  <c r="AU66" i="8"/>
  <c r="AU74" i="8"/>
  <c r="AU82" i="8"/>
  <c r="AU90" i="8"/>
  <c r="AU98" i="8"/>
  <c r="AU100" i="8"/>
  <c r="AU106" i="8"/>
  <c r="AZ113" i="8"/>
  <c r="BB113" i="8" s="1"/>
  <c r="Q139" i="5" l="1"/>
  <c r="R139" i="5"/>
  <c r="Q14" i="5"/>
  <c r="R14" i="5"/>
  <c r="U122" i="5"/>
  <c r="O123" i="5"/>
  <c r="Q123" i="5" s="1"/>
  <c r="O122" i="5"/>
  <c r="Q122" i="5" s="1"/>
  <c r="V122" i="5"/>
  <c r="O175" i="5"/>
  <c r="Q175" i="5" s="1"/>
  <c r="U175" i="5"/>
  <c r="V39" i="5"/>
  <c r="U39" i="5"/>
  <c r="O39" i="5"/>
  <c r="Q39" i="5" s="1"/>
  <c r="R101" i="5"/>
  <c r="U106" i="5"/>
  <c r="O106" i="5"/>
  <c r="Q106" i="5" s="1"/>
  <c r="Q21" i="5"/>
  <c r="U133" i="5"/>
  <c r="O133" i="5"/>
  <c r="Q133" i="5" s="1"/>
  <c r="U132" i="5"/>
  <c r="O132" i="5"/>
  <c r="Q132" i="5" s="1"/>
  <c r="R158" i="5"/>
  <c r="Q158" i="5"/>
  <c r="R106" i="5"/>
  <c r="O31" i="5"/>
  <c r="Q31" i="5" s="1"/>
  <c r="V31" i="5"/>
  <c r="U31" i="5"/>
  <c r="Q181" i="5"/>
  <c r="U68" i="5"/>
  <c r="O68" i="5"/>
  <c r="Q68" i="5" s="1"/>
  <c r="U101" i="5"/>
  <c r="O101" i="5"/>
  <c r="Q101" i="5" s="1"/>
  <c r="R5" i="5"/>
  <c r="Q152" i="5"/>
  <c r="O98" i="5"/>
  <c r="Q98" i="5" s="1"/>
  <c r="U98" i="5"/>
  <c r="U82" i="5"/>
  <c r="O82" i="5"/>
  <c r="Q82" i="5" s="1"/>
  <c r="Q67" i="5"/>
  <c r="R67" i="5"/>
  <c r="Q151" i="5"/>
  <c r="R95" i="5"/>
  <c r="R88" i="5"/>
  <c r="Q45" i="5"/>
  <c r="O179" i="5"/>
  <c r="U179" i="5"/>
  <c r="V179" i="5"/>
  <c r="O146" i="5"/>
  <c r="V146" i="5"/>
  <c r="O147" i="5"/>
  <c r="U146" i="5"/>
  <c r="R78" i="5"/>
  <c r="R12" i="5"/>
  <c r="R175" i="5"/>
  <c r="U36" i="5"/>
  <c r="O36" i="5"/>
  <c r="Q42" i="5"/>
  <c r="Q168" i="5"/>
  <c r="R91" i="5"/>
  <c r="V133" i="5"/>
  <c r="U140" i="5"/>
  <c r="O140" i="5"/>
  <c r="Q140" i="5" s="1"/>
  <c r="O166" i="5"/>
  <c r="Q166" i="5" s="1"/>
  <c r="U166" i="5"/>
  <c r="O134" i="5"/>
  <c r="U134" i="5"/>
  <c r="R126" i="5"/>
  <c r="Q153" i="5"/>
  <c r="O87" i="5"/>
  <c r="Q87" i="5" s="1"/>
  <c r="U87" i="5"/>
  <c r="U161" i="5"/>
  <c r="O161" i="5"/>
  <c r="V161" i="5"/>
  <c r="U155" i="5"/>
  <c r="O156" i="5"/>
  <c r="V155" i="5"/>
  <c r="O155" i="5"/>
  <c r="Q155" i="5" s="1"/>
  <c r="V106" i="5"/>
  <c r="U85" i="5"/>
  <c r="O85" i="5"/>
  <c r="Q85" i="5" s="1"/>
  <c r="O27" i="5"/>
  <c r="V27" i="5"/>
  <c r="U27" i="5"/>
  <c r="O131" i="5"/>
  <c r="U131" i="5"/>
  <c r="V131" i="5"/>
  <c r="R98" i="5"/>
  <c r="U154" i="5"/>
  <c r="O154" i="5"/>
  <c r="R80" i="5"/>
  <c r="O71" i="5"/>
  <c r="U71" i="5"/>
  <c r="O72" i="5"/>
  <c r="Q72" i="5" s="1"/>
  <c r="V71" i="5"/>
  <c r="U125" i="5"/>
  <c r="O125" i="5"/>
  <c r="Q125" i="5" s="1"/>
  <c r="O29" i="5"/>
  <c r="Q29" i="5" s="1"/>
  <c r="U29" i="5"/>
  <c r="U116" i="5"/>
  <c r="O116" i="5"/>
  <c r="Q116" i="5" s="1"/>
  <c r="R149" i="5"/>
  <c r="Q59" i="5"/>
  <c r="Q38" i="5"/>
  <c r="R57" i="5"/>
  <c r="Q60" i="5"/>
  <c r="U20" i="5"/>
  <c r="O20" i="5"/>
  <c r="Q51" i="5"/>
  <c r="R120" i="5"/>
  <c r="O119" i="5"/>
  <c r="Q119" i="5" s="1"/>
  <c r="U119" i="5"/>
  <c r="O7" i="5"/>
  <c r="V7" i="5"/>
  <c r="O8" i="5"/>
  <c r="U7" i="5"/>
  <c r="U76" i="5"/>
  <c r="O76" i="5"/>
  <c r="Q76" i="5" s="1"/>
  <c r="U172" i="5"/>
  <c r="O173" i="5"/>
  <c r="V172" i="5"/>
  <c r="O172" i="5"/>
  <c r="O3" i="5"/>
  <c r="V3" i="5"/>
  <c r="U3" i="5"/>
  <c r="R93" i="5"/>
  <c r="U16" i="5"/>
  <c r="O16" i="5"/>
  <c r="Q16" i="5" s="1"/>
  <c r="O171" i="5"/>
  <c r="U171" i="5"/>
  <c r="O128" i="5"/>
  <c r="U128" i="5"/>
  <c r="V128" i="5"/>
  <c r="U103" i="5"/>
  <c r="O103" i="5"/>
  <c r="Q103" i="5" s="1"/>
  <c r="U167" i="5"/>
  <c r="O167" i="5"/>
  <c r="Q167" i="5" s="1"/>
  <c r="V52" i="5"/>
  <c r="U52" i="5"/>
  <c r="O52" i="5"/>
  <c r="Q52" i="5" s="1"/>
  <c r="O23" i="5"/>
  <c r="U23" i="5"/>
  <c r="V23" i="5"/>
  <c r="O24" i="5"/>
  <c r="R117" i="5"/>
  <c r="O180" i="5"/>
  <c r="O143" i="5"/>
  <c r="Q143" i="5" s="1"/>
  <c r="V143" i="5"/>
  <c r="U143" i="5"/>
  <c r="R104" i="5"/>
  <c r="U78" i="5"/>
  <c r="O78" i="5"/>
  <c r="Q78" i="5" s="1"/>
  <c r="R16" i="5"/>
  <c r="R63" i="5"/>
  <c r="V4" i="5"/>
  <c r="R79" i="5"/>
  <c r="O13" i="5"/>
  <c r="Q13" i="5" s="1"/>
  <c r="U13" i="5"/>
  <c r="V13" i="5"/>
  <c r="O55" i="5"/>
  <c r="V55" i="5"/>
  <c r="U55" i="5"/>
  <c r="O30" i="5"/>
  <c r="Q30" i="5" s="1"/>
  <c r="O120" i="5"/>
  <c r="Q120" i="5" s="1"/>
  <c r="O83" i="5"/>
  <c r="O37" i="5"/>
  <c r="Q37" i="5" s="1"/>
  <c r="O176" i="5"/>
  <c r="Q176" i="5" s="1"/>
  <c r="O138" i="5"/>
  <c r="Q138" i="5" s="1"/>
  <c r="U138" i="5"/>
  <c r="V138" i="5"/>
  <c r="Q145" i="5"/>
  <c r="R167" i="5"/>
  <c r="R41" i="5"/>
  <c r="O22" i="5"/>
  <c r="U22" i="5"/>
  <c r="V22" i="5"/>
  <c r="U35" i="5"/>
  <c r="O35" i="5"/>
  <c r="Q35" i="5" s="1"/>
  <c r="V35" i="5"/>
  <c r="U70" i="5"/>
  <c r="O70" i="5"/>
  <c r="Q70" i="5" s="1"/>
  <c r="O17" i="5"/>
  <c r="Q17" i="5" s="1"/>
  <c r="U17" i="5"/>
  <c r="R115" i="5"/>
  <c r="O121" i="5"/>
  <c r="U121" i="5"/>
  <c r="U157" i="5"/>
  <c r="O157" i="5"/>
  <c r="R125" i="5"/>
  <c r="O100" i="5"/>
  <c r="Q100" i="5" s="1"/>
  <c r="U100" i="5"/>
  <c r="V100" i="5"/>
  <c r="O19" i="5"/>
  <c r="V19" i="5"/>
  <c r="U19" i="5"/>
  <c r="O144" i="5"/>
  <c r="U144" i="5"/>
  <c r="R116" i="5"/>
  <c r="U89" i="5"/>
  <c r="O89" i="5"/>
  <c r="V89" i="5"/>
  <c r="V103" i="5"/>
  <c r="O77" i="5"/>
  <c r="U90" i="5"/>
  <c r="O90" i="5"/>
  <c r="Q90" i="5" s="1"/>
  <c r="U102" i="5"/>
  <c r="O102" i="5"/>
  <c r="Q102" i="5" s="1"/>
  <c r="V132" i="5"/>
  <c r="R37" i="5"/>
  <c r="U174" i="5"/>
  <c r="O174" i="5"/>
  <c r="Q174" i="5" s="1"/>
  <c r="O135" i="5"/>
  <c r="Q135" i="5" s="1"/>
  <c r="O18" i="5"/>
  <c r="V18" i="5"/>
  <c r="U18" i="5"/>
  <c r="R50" i="5"/>
  <c r="R32" i="5"/>
  <c r="O74" i="5"/>
  <c r="O75" i="5"/>
  <c r="V74" i="5"/>
  <c r="U74" i="5"/>
  <c r="O6" i="5"/>
  <c r="V6" i="5"/>
  <c r="U6" i="5"/>
  <c r="R100" i="5"/>
  <c r="V175" i="5"/>
  <c r="O64" i="5"/>
  <c r="Q64" i="5" s="1"/>
  <c r="U64" i="5"/>
  <c r="U170" i="5"/>
  <c r="O170" i="5"/>
  <c r="Q170" i="5" s="1"/>
  <c r="R133" i="5"/>
  <c r="V119" i="5"/>
  <c r="R70" i="5"/>
  <c r="O40" i="5"/>
  <c r="U137" i="5"/>
  <c r="O137" i="5"/>
  <c r="Q137" i="5" s="1"/>
  <c r="R160" i="5"/>
  <c r="U113" i="5"/>
  <c r="O113" i="5"/>
  <c r="Q113" i="5" s="1"/>
  <c r="Q178" i="5"/>
  <c r="U111" i="5"/>
  <c r="O111" i="5"/>
  <c r="Q111" i="5" s="1"/>
  <c r="O163" i="5"/>
  <c r="Q163" i="5" s="1"/>
  <c r="V163" i="5"/>
  <c r="U163" i="5"/>
  <c r="O164" i="5"/>
  <c r="O127" i="5"/>
  <c r="Q127" i="5" s="1"/>
  <c r="U127" i="5"/>
  <c r="U93" i="5"/>
  <c r="O93" i="5"/>
  <c r="Q93" i="5" s="1"/>
  <c r="R118" i="5"/>
  <c r="V47" i="5"/>
  <c r="U47" i="5"/>
  <c r="O48" i="5"/>
  <c r="O47" i="5"/>
  <c r="Q47" i="5" s="1"/>
  <c r="U15" i="5"/>
  <c r="V15" i="5"/>
  <c r="O15" i="5"/>
  <c r="Q15" i="5" s="1"/>
  <c r="O142" i="5"/>
  <c r="Q142" i="5" s="1"/>
  <c r="U142" i="5"/>
  <c r="O86" i="5"/>
  <c r="O165" i="5"/>
  <c r="U165" i="5"/>
  <c r="R103" i="5"/>
  <c r="R68" i="5"/>
  <c r="O112" i="5"/>
  <c r="Q112" i="5" s="1"/>
  <c r="R87" i="5"/>
  <c r="R29" i="5"/>
  <c r="V17" i="5"/>
  <c r="Q92" i="5"/>
  <c r="R92" i="5"/>
  <c r="R110" i="5"/>
  <c r="O56" i="5"/>
  <c r="Q56" i="5" s="1"/>
  <c r="U56" i="5"/>
  <c r="O61" i="5"/>
  <c r="U61" i="5"/>
  <c r="Q46" i="5"/>
  <c r="R49" i="5"/>
  <c r="O9" i="5"/>
  <c r="U9" i="5"/>
  <c r="Q58" i="5"/>
  <c r="Q96" i="5"/>
  <c r="U28" i="5"/>
  <c r="O28" i="5"/>
  <c r="O26" i="5"/>
  <c r="Q26" i="5" s="1"/>
  <c r="U26" i="5"/>
  <c r="V26" i="5"/>
  <c r="O136" i="5"/>
  <c r="V136" i="5"/>
  <c r="U136" i="5"/>
  <c r="O126" i="5"/>
  <c r="Q126" i="5" s="1"/>
  <c r="V126" i="5"/>
  <c r="U126" i="5"/>
  <c r="U4" i="5"/>
  <c r="O4" i="5"/>
  <c r="U94" i="5"/>
  <c r="O94" i="5"/>
  <c r="Q94" i="5" s="1"/>
  <c r="O108" i="5"/>
  <c r="Q108" i="5" s="1"/>
  <c r="V108" i="5"/>
  <c r="U108" i="5"/>
  <c r="R85" i="5"/>
  <c r="O84" i="5"/>
  <c r="U84" i="5"/>
  <c r="V84" i="5"/>
  <c r="O63" i="5"/>
  <c r="Q63" i="5" s="1"/>
  <c r="U63" i="5"/>
  <c r="R124" i="5"/>
  <c r="O115" i="5"/>
  <c r="Q115" i="5" s="1"/>
  <c r="V115" i="5"/>
  <c r="U115" i="5"/>
  <c r="O129" i="5"/>
  <c r="V129" i="5"/>
  <c r="U129" i="5"/>
  <c r="U130" i="5"/>
  <c r="O130" i="5"/>
  <c r="V130" i="5"/>
  <c r="U141" i="5"/>
  <c r="O141" i="5"/>
  <c r="Q141" i="5" s="1"/>
  <c r="R102" i="5"/>
  <c r="O107" i="5"/>
  <c r="U107" i="5"/>
  <c r="R150" i="5"/>
  <c r="O162" i="5"/>
  <c r="Q162" i="5" s="1"/>
  <c r="U162" i="5"/>
  <c r="V94" i="5"/>
  <c r="O73" i="5"/>
  <c r="Q73" i="5" s="1"/>
  <c r="U73" i="5"/>
  <c r="V73" i="5"/>
  <c r="V43" i="5"/>
  <c r="U43" i="5"/>
  <c r="O44" i="5"/>
  <c r="O43" i="5"/>
  <c r="V11" i="5"/>
  <c r="U11" i="5"/>
  <c r="O12" i="5"/>
  <c r="Q12" i="5" s="1"/>
  <c r="O11" i="5"/>
  <c r="Q11" i="5" s="1"/>
  <c r="O81" i="5"/>
  <c r="U81" i="5"/>
  <c r="V93" i="5"/>
  <c r="U65" i="5"/>
  <c r="O65" i="5"/>
  <c r="Q65" i="5" s="1"/>
  <c r="V65" i="5"/>
  <c r="O109" i="5"/>
  <c r="V167" i="5"/>
  <c r="R72" i="5"/>
  <c r="V87" i="5"/>
  <c r="R62" i="5"/>
  <c r="R26" i="5"/>
  <c r="O99" i="5"/>
  <c r="U99" i="5"/>
  <c r="V99" i="5"/>
  <c r="R35" i="5"/>
  <c r="R174" i="5"/>
  <c r="O114" i="5"/>
  <c r="Q114" i="5" s="1"/>
  <c r="O33" i="5"/>
  <c r="Q33" i="5" s="1"/>
  <c r="U33" i="5"/>
  <c r="O69" i="5"/>
  <c r="Q69" i="5" s="1"/>
  <c r="U69" i="5"/>
  <c r="V81" i="5"/>
  <c r="O91" i="5"/>
  <c r="Q91" i="5" s="1"/>
  <c r="R10" i="5"/>
  <c r="O66" i="5"/>
  <c r="O34" i="5"/>
  <c r="U34" i="5"/>
  <c r="V56" i="5"/>
  <c r="U53" i="5"/>
  <c r="O53" i="5"/>
  <c r="O54" i="5"/>
  <c r="V53" i="5"/>
  <c r="R166" i="5"/>
  <c r="O25" i="5"/>
  <c r="Q25" i="5" s="1"/>
  <c r="U25" i="5"/>
  <c r="Q136" i="5" l="1"/>
  <c r="R136" i="5"/>
  <c r="Q9" i="5"/>
  <c r="R9" i="5"/>
  <c r="Q53" i="5"/>
  <c r="R53" i="5"/>
  <c r="Q109" i="5"/>
  <c r="R109" i="5"/>
  <c r="Q129" i="5"/>
  <c r="R129" i="5"/>
  <c r="Q4" i="5"/>
  <c r="R4" i="5"/>
  <c r="R94" i="5"/>
  <c r="Q74" i="5"/>
  <c r="R74" i="5"/>
  <c r="Q23" i="5"/>
  <c r="R23" i="5"/>
  <c r="R113" i="5"/>
  <c r="R82" i="5"/>
  <c r="R30" i="5"/>
  <c r="R176" i="5"/>
  <c r="R56" i="5"/>
  <c r="Q161" i="5"/>
  <c r="R161" i="5"/>
  <c r="Q43" i="5"/>
  <c r="R43" i="5"/>
  <c r="R52" i="5"/>
  <c r="R76" i="5"/>
  <c r="Q55" i="5"/>
  <c r="R55" i="5"/>
  <c r="R31" i="5"/>
  <c r="Q180" i="5"/>
  <c r="R180" i="5"/>
  <c r="Q128" i="5"/>
  <c r="R128" i="5"/>
  <c r="Q20" i="5"/>
  <c r="R20" i="5"/>
  <c r="R90" i="5"/>
  <c r="Q27" i="5"/>
  <c r="R27" i="5"/>
  <c r="Q157" i="5"/>
  <c r="R157" i="5"/>
  <c r="Q34" i="5"/>
  <c r="R34" i="5"/>
  <c r="R44" i="5"/>
  <c r="Q44" i="5"/>
  <c r="Q130" i="5"/>
  <c r="R130" i="5"/>
  <c r="R111" i="5"/>
  <c r="Q6" i="5"/>
  <c r="R6" i="5"/>
  <c r="R122" i="5"/>
  <c r="Q22" i="5"/>
  <c r="R22" i="5"/>
  <c r="R135" i="5"/>
  <c r="Q3" i="5"/>
  <c r="R3" i="5"/>
  <c r="Q8" i="5"/>
  <c r="R8" i="5"/>
  <c r="R138" i="5"/>
  <c r="Q134" i="5"/>
  <c r="R134" i="5"/>
  <c r="R17" i="5"/>
  <c r="Q84" i="5"/>
  <c r="R84" i="5"/>
  <c r="Q121" i="5"/>
  <c r="R121" i="5"/>
  <c r="Q99" i="5"/>
  <c r="R99" i="5"/>
  <c r="R69" i="5"/>
  <c r="Q179" i="5"/>
  <c r="R179" i="5"/>
  <c r="Q66" i="5"/>
  <c r="R66" i="5"/>
  <c r="Q28" i="5"/>
  <c r="R28" i="5"/>
  <c r="R132" i="5"/>
  <c r="Q165" i="5"/>
  <c r="R165" i="5"/>
  <c r="Q48" i="5"/>
  <c r="R48" i="5"/>
  <c r="R123" i="5"/>
  <c r="R143" i="5"/>
  <c r="Q18" i="5"/>
  <c r="R18" i="5"/>
  <c r="Q19" i="5"/>
  <c r="R19" i="5"/>
  <c r="R127" i="5"/>
  <c r="Q24" i="5"/>
  <c r="R24" i="5"/>
  <c r="Q171" i="5"/>
  <c r="R171" i="5"/>
  <c r="Q172" i="5"/>
  <c r="R172" i="5"/>
  <c r="Q71" i="5"/>
  <c r="R71" i="5"/>
  <c r="R114" i="5"/>
  <c r="R36" i="5"/>
  <c r="Q36" i="5"/>
  <c r="Q147" i="5"/>
  <c r="R147" i="5"/>
  <c r="R155" i="5"/>
  <c r="Q77" i="5"/>
  <c r="R77" i="5"/>
  <c r="Q61" i="5"/>
  <c r="R61" i="5"/>
  <c r="Q86" i="5"/>
  <c r="R86" i="5"/>
  <c r="R142" i="5"/>
  <c r="R39" i="5"/>
  <c r="R65" i="5"/>
  <c r="R89" i="5"/>
  <c r="Q89" i="5"/>
  <c r="R162" i="5"/>
  <c r="Q83" i="5"/>
  <c r="R83" i="5"/>
  <c r="R163" i="5"/>
  <c r="Q7" i="5"/>
  <c r="R7" i="5"/>
  <c r="R25" i="5"/>
  <c r="Q131" i="5"/>
  <c r="R131" i="5"/>
  <c r="R170" i="5"/>
  <c r="R140" i="5"/>
  <c r="R119" i="5"/>
  <c r="R33" i="5"/>
  <c r="R112" i="5"/>
  <c r="R73" i="5"/>
  <c r="Q154" i="5"/>
  <c r="R154" i="5"/>
  <c r="Q144" i="5"/>
  <c r="R144" i="5"/>
  <c r="Q81" i="5"/>
  <c r="R81" i="5"/>
  <c r="Q54" i="5"/>
  <c r="R54" i="5"/>
  <c r="Q107" i="5"/>
  <c r="R107" i="5"/>
  <c r="R11" i="5"/>
  <c r="Q164" i="5"/>
  <c r="R164" i="5"/>
  <c r="Q40" i="5"/>
  <c r="R40" i="5"/>
  <c r="R141" i="5"/>
  <c r="Q75" i="5"/>
  <c r="R75" i="5"/>
  <c r="R108" i="5"/>
  <c r="R13" i="5"/>
  <c r="Q173" i="5"/>
  <c r="R173" i="5"/>
  <c r="R64" i="5"/>
  <c r="Q156" i="5"/>
  <c r="R156" i="5"/>
  <c r="R47" i="5"/>
  <c r="Q146" i="5"/>
  <c r="R146" i="5"/>
  <c r="R15" i="5"/>
  <c r="R137" i="5"/>
</calcChain>
</file>

<file path=xl/sharedStrings.xml><?xml version="1.0" encoding="utf-8"?>
<sst xmlns="http://schemas.openxmlformats.org/spreadsheetml/2006/main" count="1409" uniqueCount="487">
  <si>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</si>
  <si>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</si>
  <si>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</si>
  <si>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</si>
  <si>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</si>
  <si>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</si>
  <si>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</si>
  <si>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</si>
  <si>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</si>
  <si>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</si>
  <si>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</si>
  <si>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</si>
  <si>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</si>
  <si>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</si>
  <si>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</si>
  <si>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</si>
  <si>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</si>
  <si>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</si>
  <si>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</si>
  <si>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</si>
  <si>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</si>
  <si>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</si>
  <si>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</si>
  <si>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</si>
  <si>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</si>
  <si>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</si>
  <si>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</si>
  <si>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</si>
  <si>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</si>
  <si>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</si>
  <si>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</si>
  <si>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</si>
  <si>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</si>
  <si>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</si>
  <si>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</si>
  <si>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</si>
  <si>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</si>
  <si>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</si>
  <si>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</si>
  <si>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</si>
  <si>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</si>
  <si>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</si>
  <si>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</si>
  <si>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</si>
  <si>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</si>
  <si>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</si>
  <si>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</si>
  <si>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</si>
  <si>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</si>
  <si>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</si>
  <si>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</si>
  <si>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</si>
  <si>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</si>
  <si>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</si>
  <si>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</si>
  <si>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</si>
  <si>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</si>
  <si>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</si>
  <si>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</si>
  <si>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</si>
  <si>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</si>
  <si>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</si>
  <si>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</si>
  <si>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</si>
  <si>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</si>
  <si>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</si>
  <si>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</si>
  <si>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</si>
  <si>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</si>
  <si>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</si>
  <si>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</si>
  <si>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</si>
  <si>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</si>
  <si>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</si>
  <si>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</si>
  <si>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</si>
  <si>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</si>
  <si>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</si>
  <si>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</si>
  <si>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</si>
  <si>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</si>
  <si>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</si>
  <si>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</si>
  <si>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</si>
  <si>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</si>
  <si>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</si>
  <si>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</si>
  <si>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</si>
  <si>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</si>
  <si>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</si>
  <si>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</si>
  <si>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</si>
  <si>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</si>
  <si>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</si>
  <si>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</si>
  <si>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</si>
  <si>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</si>
  <si>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</si>
  <si>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</si>
  <si>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</si>
  <si>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</si>
  <si>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</si>
  <si>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</si>
  <si>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</si>
  <si>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</si>
  <si>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</si>
  <si>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</si>
  <si>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</si>
  <si>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</si>
  <si>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</si>
  <si>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</si>
  <si>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</si>
  <si>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</si>
  <si>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</si>
  <si>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</si>
  <si>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</si>
  <si>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</si>
  <si>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</si>
  <si>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</si>
  <si>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</si>
  <si>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</si>
  <si>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</si>
  <si>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</si>
  <si>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</si>
  <si>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</si>
  <si>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</si>
  <si>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</si>
  <si>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</si>
  <si>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</si>
  <si>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</si>
  <si>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</si>
  <si>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</si>
  <si>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</si>
  <si>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</si>
  <si>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</si>
  <si>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</si>
  <si>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</si>
  <si>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</si>
  <si>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</si>
  <si>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</si>
  <si>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</si>
  <si>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</si>
  <si>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</si>
  <si>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</si>
  <si>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</si>
  <si>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</si>
  <si>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</si>
  <si>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</si>
  <si>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</si>
  <si>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</si>
  <si>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</si>
  <si>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</si>
  <si>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</si>
  <si>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</si>
  <si>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</si>
  <si>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</si>
  <si>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</si>
  <si>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</si>
  <si>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</si>
  <si>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</si>
  <si>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</si>
  <si>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</si>
  <si>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</si>
  <si>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</si>
  <si>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</si>
  <si>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</si>
  <si>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</si>
  <si>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</si>
  <si>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</si>
  <si>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</si>
  <si>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</si>
  <si>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</si>
  <si>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</si>
  <si>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</si>
  <si>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</si>
  <si>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</si>
  <si>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</si>
  <si>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</si>
  <si>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</si>
  <si>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</si>
  <si>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</si>
  <si>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</si>
  <si>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</si>
  <si>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</si>
  <si>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</si>
  <si>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</si>
  <si>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</si>
  <si>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</si>
  <si>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</si>
  <si>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</si>
  <si>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</si>
  <si>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</si>
  <si>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</si>
  <si>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</si>
  <si>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</si>
  <si>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</si>
  <si>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</si>
  <si>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</si>
  <si>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</si>
  <si>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</si>
  <si>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</si>
  <si>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</si>
  <si>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</si>
  <si>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</si>
  <si>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</si>
  <si>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</si>
  <si>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</si>
  <si>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</si>
  <si>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</si>
  <si>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</si>
  <si>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</si>
  <si>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</si>
  <si>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</si>
  <si>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</si>
  <si>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</si>
  <si>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</si>
  <si>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</si>
  <si>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</si>
  <si>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</si>
  <si>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</si>
  <si>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</si>
  <si>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</si>
  <si>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</si>
  <si>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</si>
  <si>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</si>
  <si>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</si>
  <si>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</si>
  <si>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</si>
  <si>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</si>
  <si>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</si>
  <si>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</si>
  <si>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</si>
  <si>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</si>
  <si>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</si>
  <si>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</si>
  <si>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</si>
  <si>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</si>
  <si>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</si>
  <si>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</si>
  <si>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</si>
  <si>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</si>
  <si>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</si>
  <si>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</si>
  <si>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</si>
  <si>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</si>
  <si>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</si>
  <si>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</si>
  <si>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</si>
  <si>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</si>
  <si>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</si>
  <si>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</si>
  <si>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</si>
  <si>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</si>
  <si>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</si>
  <si>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</si>
  <si>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</si>
  <si>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</si>
  <si>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</si>
  <si>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</si>
  <si>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</si>
  <si>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</si>
  <si>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</si>
  <si>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</si>
  <si>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</si>
  <si>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</si>
  <si>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</si>
  <si>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</si>
  <si>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</si>
  <si>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</si>
  <si>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</si>
  <si>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</si>
  <si>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</si>
  <si>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</si>
  <si>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</si>
  <si>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</si>
  <si>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</si>
  <si>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</si>
  <si>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</si>
  <si>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</si>
  <si>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</si>
  <si>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</si>
  <si>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</si>
  <si>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</si>
  <si>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</si>
  <si>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</si>
  <si>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</si>
  <si>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</si>
  <si>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</si>
  <si>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</si>
  <si>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</si>
  <si>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</si>
  <si>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</si>
  <si>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</si>
  <si>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</si>
  <si>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</si>
  <si>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</si>
  <si>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</si>
  <si>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</si>
  <si>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</si>
  <si>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</si>
  <si>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</si>
  <si>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</si>
  <si>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</si>
  <si>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</si>
  <si>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</si>
  <si>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</si>
  <si>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</si>
  <si>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</si>
  <si>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</si>
  <si>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</si>
  <si>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</si>
  <si>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</si>
  <si>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</si>
  <si>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42,4%</t>
  </si>
  <si>
    <t>41,9%</t>
  </si>
  <si>
    <t>43,0%</t>
  </si>
  <si>
    <t>Pemakaman_COVID19_Harian</t>
  </si>
  <si>
    <t>Total_Pemakaman_COVID19</t>
  </si>
  <si>
    <t>Pemakaman_Umum_Harian</t>
  </si>
  <si>
    <t>Total_Pemakaman_Umum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</si>
  <si>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</si>
  <si>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</si>
  <si>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</si>
  <si>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</si>
  <si>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</si>
  <si>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</si>
  <si>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</si>
  <si>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Indonesia</t>
  </si>
  <si>
    <t>Total 18 - 59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</si>
  <si>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</si>
  <si>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</si>
  <si>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</si>
  <si>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</si>
  <si>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</si>
  <si>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</si>
  <si>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</si>
  <si>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</si>
  <si>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</si>
  <si>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</si>
  <si>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</si>
  <si>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</si>
  <si>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</si>
  <si>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</si>
  <si>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</si>
  <si>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</si>
  <si>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</si>
  <si>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</si>
  <si>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</si>
  <si>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</si>
  <si>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</si>
  <si>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</si>
  <si>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</si>
  <si>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</si>
  <si>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</si>
  <si>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</si>
  <si>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</si>
  <si>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</si>
  <si>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</si>
  <si>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</si>
  <si>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</si>
  <si>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</si>
  <si>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</si>
  <si>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</si>
  <si>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</si>
  <si>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</si>
  <si>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</si>
  <si>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</si>
  <si>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</si>
  <si>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</si>
  <si>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</si>
  <si>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</si>
  <si>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</si>
  <si>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</si>
  <si>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</si>
  <si>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</si>
  <si>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</si>
  <si>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</si>
  <si>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7903526</t>
  </si>
  <si>
    <t>104,6%</t>
  </si>
  <si>
    <t>95,6%</t>
  </si>
  <si>
    <t>19,7%</t>
  </si>
  <si>
    <t>98,8%</t>
  </si>
  <si>
    <t>47,7%</t>
  </si>
  <si>
    <t>51827</t>
  </si>
  <si>
    <t>11313</t>
  </si>
  <si>
    <t>7903527</t>
  </si>
  <si>
    <t>53397</t>
  </si>
  <si>
    <t>11735</t>
  </si>
  <si>
    <t>7903528</t>
  </si>
  <si>
    <t>53398</t>
  </si>
  <si>
    <t>11736</t>
  </si>
  <si>
    <t>7903529</t>
  </si>
  <si>
    <t>53399</t>
  </si>
  <si>
    <t>11737</t>
  </si>
  <si>
    <t>7903530</t>
  </si>
  <si>
    <t>64836</t>
  </si>
  <si>
    <t>16062</t>
  </si>
  <si>
    <t>7903531</t>
  </si>
  <si>
    <t>64837</t>
  </si>
  <si>
    <t>16063</t>
  </si>
  <si>
    <t>7903532</t>
  </si>
  <si>
    <t>72089</t>
  </si>
  <si>
    <t>19991</t>
  </si>
  <si>
    <t>7903533</t>
  </si>
  <si>
    <t>75756</t>
  </si>
  <si>
    <t>23258</t>
  </si>
  <si>
    <t>7903534</t>
  </si>
  <si>
    <t>75757</t>
  </si>
  <si>
    <t>23259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</si>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</sst>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yy"/>
    <numFmt numFmtId="165" formatCode="m/d/yyyy"/>
    <numFmt numFmtId="166" formatCode="m/d/yyyy\ h:mm"/>
    <numFmt numFmtId="167" formatCode="d\-mmm\-yy"/>
    <numFmt numFmtId="168" formatCode="0.0%"/>
    <numFmt numFmtId="169" formatCode="m/d"/>
    <numFmt numFmtId="170" formatCode="d\ mmmm\ yyyy"/>
  </numFmts>
  <fonts count="2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10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color rgb="FFFFFFFF"/>
      <name val="Arial"/>
    </font>
    <font>
      <b/>
      <sz val="9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sz val="12"/>
      <color rgb="FF000000"/>
      <name val="Calibri"/>
    </font>
    <font>
      <sz val="10"/>
      <color theme="1"/>
      <name val="Calibri"/>
    </font>
    <font>
      <b/>
      <sz val="10"/>
      <name val="Arial"/>
    </font>
    <font>
      <sz val="11"/>
      <color rgb="FFFF0000"/>
      <name val="Calibri"/>
    </font>
    <font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4" fontId="2" fillId="0" borderId="0" xfId="0" applyNumberFormat="1" applyFont="1" applyAlignment="1"/>
    <xf numFmtId="0" fontId="2" fillId="0" borderId="0" xfId="0" applyFont="1" applyAlignment="1"/>
    <xf numFmtId="0" fontId="2" fillId="3" borderId="0" xfId="0" applyFont="1" applyFill="1" applyAlignment="1"/>
    <xf numFmtId="164" fontId="3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164" fontId="7" fillId="0" borderId="0" xfId="0" applyNumberFormat="1" applyFont="1" applyAlignment="1"/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right"/>
    </xf>
    <xf numFmtId="166" fontId="2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165" fontId="7" fillId="0" borderId="0" xfId="0" applyNumberFormat="1" applyFont="1" applyAlignment="1"/>
    <xf numFmtId="166" fontId="7" fillId="0" borderId="0" xfId="0" applyNumberFormat="1" applyFont="1" applyAlignment="1"/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7" fontId="2" fillId="0" borderId="0" xfId="0" applyNumberFormat="1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9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167" fontId="5" fillId="0" borderId="0" xfId="0" applyNumberFormat="1" applyFont="1" applyAlignment="1">
      <alignment horizontal="right"/>
    </xf>
    <xf numFmtId="0" fontId="2" fillId="5" borderId="0" xfId="0" applyFont="1" applyFill="1"/>
    <xf numFmtId="0" fontId="5" fillId="0" borderId="0" xfId="0" applyFont="1" applyAlignment="1">
      <alignment horizontal="right"/>
    </xf>
    <xf numFmtId="167" fontId="5" fillId="0" borderId="0" xfId="0" applyNumberFormat="1" applyFont="1" applyAlignment="1"/>
    <xf numFmtId="0" fontId="2" fillId="0" borderId="0" xfId="0" applyFont="1"/>
    <xf numFmtId="0" fontId="2" fillId="4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1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0" fontId="2" fillId="0" borderId="0" xfId="0" applyNumberFormat="1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10" fontId="12" fillId="0" borderId="0" xfId="0" applyNumberFormat="1" applyFont="1" applyAlignment="1">
      <alignment horizontal="center" vertical="center" wrapText="1"/>
    </xf>
    <xf numFmtId="49" fontId="12" fillId="7" borderId="0" xfId="0" applyNumberFormat="1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/>
    </xf>
    <xf numFmtId="10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10" fontId="13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/>
    </xf>
    <xf numFmtId="1" fontId="14" fillId="8" borderId="1" xfId="0" applyNumberFormat="1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168" fontId="15" fillId="8" borderId="1" xfId="0" applyNumberFormat="1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10" fontId="15" fillId="9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6" fillId="0" borderId="1" xfId="0" applyNumberFormat="1" applyFont="1" applyBorder="1" applyAlignment="1">
      <alignment horizontal="right"/>
    </xf>
    <xf numFmtId="0" fontId="16" fillId="0" borderId="4" xfId="0" applyFont="1" applyBorder="1" applyAlignment="1">
      <alignment horizontal="center"/>
    </xf>
    <xf numFmtId="168" fontId="16" fillId="0" borderId="4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0" fontId="16" fillId="10" borderId="1" xfId="0" applyNumberFormat="1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10" fontId="16" fillId="10" borderId="7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68" fontId="16" fillId="0" borderId="1" xfId="0" applyNumberFormat="1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9" fontId="2" fillId="0" borderId="0" xfId="0" applyNumberFormat="1" applyFont="1" applyAlignment="1"/>
    <xf numFmtId="0" fontId="16" fillId="0" borderId="0" xfId="0" applyFont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0" fontId="16" fillId="10" borderId="1" xfId="0" applyNumberFormat="1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68" fontId="16" fillId="0" borderId="2" xfId="0" applyNumberFormat="1" applyFont="1" applyBorder="1" applyAlignment="1">
      <alignment horizontal="center"/>
    </xf>
    <xf numFmtId="0" fontId="16" fillId="10" borderId="7" xfId="0" applyFont="1" applyFill="1" applyBorder="1" applyAlignment="1">
      <alignment horizontal="center"/>
    </xf>
    <xf numFmtId="0" fontId="16" fillId="10" borderId="3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9" fontId="18" fillId="0" borderId="0" xfId="0" applyNumberFormat="1" applyFont="1" applyAlignment="1">
      <alignment horizontal="right"/>
    </xf>
    <xf numFmtId="10" fontId="16" fillId="10" borderId="3" xfId="0" applyNumberFormat="1" applyFont="1" applyFill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8" fontId="16" fillId="0" borderId="0" xfId="0" applyNumberFormat="1" applyFont="1" applyAlignment="1">
      <alignment horizontal="center"/>
    </xf>
    <xf numFmtId="10" fontId="16" fillId="0" borderId="0" xfId="0" applyNumberFormat="1" applyFont="1" applyAlignment="1">
      <alignment horizontal="center"/>
    </xf>
    <xf numFmtId="0" fontId="4" fillId="0" borderId="0" xfId="0" applyFont="1" applyAlignment="1"/>
    <xf numFmtId="0" fontId="1" fillId="0" borderId="0" xfId="0" applyFont="1"/>
    <xf numFmtId="14" fontId="2" fillId="0" borderId="0" xfId="0" applyNumberFormat="1" applyFont="1"/>
    <xf numFmtId="49" fontId="4" fillId="0" borderId="1" xfId="0" applyNumberFormat="1" applyFont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168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70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8" fontId="4" fillId="0" borderId="1" xfId="0" applyNumberFormat="1" applyFont="1" applyBorder="1" applyAlignment="1">
      <alignment horizontal="left" vertical="top"/>
    </xf>
    <xf numFmtId="168" fontId="4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170" fontId="4" fillId="8" borderId="1" xfId="0" applyNumberFormat="1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8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10" fillId="0" borderId="1" xfId="0" applyFont="1" applyBorder="1" applyAlignment="1">
      <alignment horizontal="left" wrapText="1"/>
    </xf>
    <xf numFmtId="0" fontId="10" fillId="11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4" fillId="11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4" fillId="12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8" fillId="0" borderId="5" xfId="0" applyFont="1" applyBorder="1" applyAlignment="1">
      <alignment horizontal="right"/>
    </xf>
    <xf numFmtId="0" fontId="18" fillId="0" borderId="5" xfId="0" applyFont="1" applyBorder="1" applyAlignment="1">
      <alignment horizontal="left"/>
    </xf>
    <xf numFmtId="0" fontId="18" fillId="0" borderId="5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0" fontId="2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2" fillId="0" borderId="0" xfId="0" applyFont="1" applyAlignment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0" fillId="0" borderId="0" xfId="0" applyFont="1" applyAlignment="1"/>
    <xf numFmtId="0" fontId="12" fillId="7" borderId="0" xfId="0" applyFont="1" applyFill="1" applyAlignment="1">
      <alignment horizontal="center"/>
    </xf>
    <xf numFmtId="49" fontId="4" fillId="11" borderId="2" xfId="0" applyNumberFormat="1" applyFont="1" applyFill="1" applyBorder="1" applyAlignment="1">
      <alignment horizontal="center" vertical="center" wrapText="1"/>
    </xf>
    <xf numFmtId="0" fontId="7" fillId="0" borderId="5" xfId="0" applyFont="1" applyBorder="1"/>
    <xf numFmtId="49" fontId="4" fillId="11" borderId="8" xfId="0" applyNumberFormat="1" applyFont="1" applyFill="1" applyBorder="1" applyAlignment="1">
      <alignment horizontal="center" vertical="top"/>
    </xf>
    <xf numFmtId="0" fontId="7" fillId="0" borderId="3" xfId="0" applyFont="1" applyBorder="1"/>
    <xf numFmtId="0" fontId="4" fillId="0" borderId="2" xfId="0" applyFont="1" applyBorder="1" applyAlignment="1">
      <alignment horizontal="center" vertical="center"/>
    </xf>
    <xf numFmtId="0" fontId="7" fillId="0" borderId="10" xfId="0" applyFont="1" applyBorder="1"/>
    <xf numFmtId="0" fontId="4" fillId="0" borderId="8" xfId="0" applyFont="1" applyBorder="1" applyAlignment="1">
      <alignment horizontal="center" vertical="top"/>
    </xf>
    <xf numFmtId="0" fontId="7" fillId="0" borderId="9" xfId="0" applyFont="1" applyBorder="1"/>
    <xf numFmtId="168" fontId="4" fillId="0" borderId="8" xfId="0" applyNumberFormat="1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0" fontId="4" fillId="11" borderId="8" xfId="0" applyFont="1" applyFill="1" applyBorder="1" applyAlignment="1">
      <alignment horizontal="center" vertical="top"/>
    </xf>
    <xf numFmtId="49" fontId="4" fillId="11" borderId="2" xfId="0" applyNumberFormat="1" applyFont="1" applyFill="1" applyBorder="1" applyAlignment="1">
      <alignment horizontal="center" vertical="top" wrapText="1"/>
    </xf>
    <xf numFmtId="0" fontId="10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86"/>
  <sheetViews>
    <sheetView workbookViewId="0">
      <pane xSplit="1" ySplit="1" topLeftCell="B44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sheetData>
    <row r="1" spans="1:21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3.2" x14ac:dyDescent="0.25">
      <c r="A2" s="3">
        <v>43891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1" ht="13.2" x14ac:dyDescent="0.25">
      <c r="A3" s="3">
        <v>43892</v>
      </c>
      <c r="B3" s="4">
        <v>0</v>
      </c>
      <c r="C3" s="4">
        <v>0</v>
      </c>
      <c r="D3" s="4">
        <v>2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2</v>
      </c>
      <c r="O3" s="4">
        <v>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ht="13.2" x14ac:dyDescent="0.25">
      <c r="A4" s="3">
        <v>43893</v>
      </c>
      <c r="B4" s="4">
        <v>0</v>
      </c>
      <c r="C4" s="4">
        <v>0</v>
      </c>
      <c r="D4" s="4">
        <v>2</v>
      </c>
      <c r="E4" s="4">
        <v>2</v>
      </c>
      <c r="F4" s="4">
        <v>1</v>
      </c>
      <c r="G4" s="4">
        <v>0</v>
      </c>
      <c r="H4" s="4">
        <v>0</v>
      </c>
      <c r="I4" s="4">
        <v>2</v>
      </c>
      <c r="J4" s="4">
        <v>3</v>
      </c>
      <c r="K4" s="4">
        <v>2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2</v>
      </c>
      <c r="T4" s="4">
        <v>3</v>
      </c>
      <c r="U4" s="4">
        <v>2</v>
      </c>
    </row>
    <row r="5" spans="1:21" ht="13.2" x14ac:dyDescent="0.25">
      <c r="A5" s="3">
        <v>43894</v>
      </c>
      <c r="B5" s="4">
        <v>0</v>
      </c>
      <c r="C5" s="4">
        <v>0</v>
      </c>
      <c r="D5" s="4">
        <v>2</v>
      </c>
      <c r="E5" s="4">
        <v>2</v>
      </c>
      <c r="F5" s="4">
        <v>1</v>
      </c>
      <c r="G5" s="4">
        <v>0</v>
      </c>
      <c r="H5" s="4">
        <v>0</v>
      </c>
      <c r="I5" s="4">
        <v>2</v>
      </c>
      <c r="J5" s="4">
        <v>3</v>
      </c>
      <c r="K5" s="4">
        <v>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ht="13.2" x14ac:dyDescent="0.25">
      <c r="A6" s="3">
        <v>43895</v>
      </c>
      <c r="B6" s="4">
        <v>0</v>
      </c>
      <c r="C6" s="4">
        <v>0</v>
      </c>
      <c r="D6" s="4">
        <v>2</v>
      </c>
      <c r="E6" s="4">
        <v>2</v>
      </c>
      <c r="F6" s="4">
        <v>3</v>
      </c>
      <c r="G6" s="4">
        <v>0</v>
      </c>
      <c r="H6" s="4">
        <v>0</v>
      </c>
      <c r="I6" s="4">
        <v>4</v>
      </c>
      <c r="J6" s="4">
        <v>7</v>
      </c>
      <c r="K6" s="4">
        <v>4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2</v>
      </c>
      <c r="T6" s="4">
        <v>4</v>
      </c>
      <c r="U6" s="4">
        <v>2</v>
      </c>
    </row>
    <row r="7" spans="1:21" ht="13.2" x14ac:dyDescent="0.25">
      <c r="A7" s="3">
        <v>43896</v>
      </c>
      <c r="B7" s="4">
        <v>0</v>
      </c>
      <c r="C7" s="4">
        <v>0</v>
      </c>
      <c r="D7" s="4">
        <v>4</v>
      </c>
      <c r="E7" s="4">
        <v>4</v>
      </c>
      <c r="F7" s="4">
        <v>3</v>
      </c>
      <c r="G7" s="4">
        <v>0</v>
      </c>
      <c r="H7" s="4">
        <v>0</v>
      </c>
      <c r="I7" s="4">
        <v>4</v>
      </c>
      <c r="J7" s="4">
        <v>7</v>
      </c>
      <c r="K7" s="4">
        <v>4</v>
      </c>
      <c r="L7" s="4">
        <v>0</v>
      </c>
      <c r="M7" s="4">
        <v>0</v>
      </c>
      <c r="N7" s="4">
        <v>2</v>
      </c>
      <c r="O7" s="4">
        <v>2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ht="13.2" x14ac:dyDescent="0.25">
      <c r="A8" s="3">
        <v>43897</v>
      </c>
      <c r="B8" s="4">
        <v>0</v>
      </c>
      <c r="C8" s="4">
        <v>0</v>
      </c>
      <c r="D8" s="4">
        <v>4</v>
      </c>
      <c r="E8" s="4">
        <v>4</v>
      </c>
      <c r="F8" s="4">
        <v>3</v>
      </c>
      <c r="G8" s="4">
        <v>0</v>
      </c>
      <c r="H8" s="4">
        <v>0</v>
      </c>
      <c r="I8" s="4">
        <v>4</v>
      </c>
      <c r="J8" s="4">
        <v>7</v>
      </c>
      <c r="K8" s="4">
        <v>4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ht="13.2" x14ac:dyDescent="0.25">
      <c r="A9" s="3">
        <v>43898</v>
      </c>
      <c r="B9" s="4">
        <v>0</v>
      </c>
      <c r="C9" s="4">
        <v>0</v>
      </c>
      <c r="D9" s="4">
        <v>6</v>
      </c>
      <c r="E9" s="4">
        <v>6</v>
      </c>
      <c r="F9" s="4">
        <v>3</v>
      </c>
      <c r="G9" s="4">
        <v>0</v>
      </c>
      <c r="H9" s="4">
        <v>0</v>
      </c>
      <c r="I9" s="4">
        <v>4</v>
      </c>
      <c r="J9" s="4">
        <v>7</v>
      </c>
      <c r="K9" s="4">
        <v>4</v>
      </c>
      <c r="L9" s="4">
        <v>0</v>
      </c>
      <c r="M9" s="4">
        <v>0</v>
      </c>
      <c r="N9" s="4">
        <v>2</v>
      </c>
      <c r="O9" s="4">
        <v>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ht="13.2" x14ac:dyDescent="0.25">
      <c r="A10" s="3">
        <v>43899</v>
      </c>
      <c r="B10" s="4">
        <v>0</v>
      </c>
      <c r="C10" s="4">
        <v>0</v>
      </c>
      <c r="D10" s="4">
        <v>19</v>
      </c>
      <c r="E10" s="4">
        <v>19</v>
      </c>
      <c r="F10" s="4">
        <v>3</v>
      </c>
      <c r="G10" s="4">
        <v>0</v>
      </c>
      <c r="H10" s="4">
        <v>0</v>
      </c>
      <c r="I10" s="4">
        <v>31</v>
      </c>
      <c r="J10" s="4">
        <v>34</v>
      </c>
      <c r="K10" s="4">
        <v>31</v>
      </c>
      <c r="L10" s="4">
        <v>0</v>
      </c>
      <c r="M10" s="4">
        <v>0</v>
      </c>
      <c r="N10" s="4">
        <v>13</v>
      </c>
      <c r="O10" s="4">
        <v>13</v>
      </c>
      <c r="P10" s="4">
        <v>0</v>
      </c>
      <c r="Q10" s="4">
        <v>0</v>
      </c>
      <c r="R10" s="4">
        <v>0</v>
      </c>
      <c r="S10" s="4">
        <v>27</v>
      </c>
      <c r="T10" s="4">
        <v>27</v>
      </c>
      <c r="U10" s="4">
        <v>27</v>
      </c>
    </row>
    <row r="11" spans="1:21" ht="13.2" x14ac:dyDescent="0.25">
      <c r="A11" s="3">
        <v>43900</v>
      </c>
      <c r="B11" s="4">
        <v>0</v>
      </c>
      <c r="C11" s="4">
        <v>2</v>
      </c>
      <c r="D11" s="4">
        <v>25</v>
      </c>
      <c r="E11" s="4">
        <v>27</v>
      </c>
      <c r="F11" s="4">
        <v>3</v>
      </c>
      <c r="G11" s="4">
        <v>0</v>
      </c>
      <c r="H11" s="4">
        <v>0</v>
      </c>
      <c r="I11" s="4">
        <v>31</v>
      </c>
      <c r="J11" s="4">
        <v>34</v>
      </c>
      <c r="K11" s="4">
        <v>31</v>
      </c>
      <c r="L11" s="4">
        <v>0</v>
      </c>
      <c r="M11" s="4">
        <v>2</v>
      </c>
      <c r="N11" s="4">
        <v>6</v>
      </c>
      <c r="O11" s="4">
        <v>8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ht="13.2" x14ac:dyDescent="0.25">
      <c r="A12" s="3">
        <v>43901</v>
      </c>
      <c r="B12" s="4">
        <v>1</v>
      </c>
      <c r="C12" s="4">
        <v>2</v>
      </c>
      <c r="D12" s="4">
        <v>31</v>
      </c>
      <c r="E12" s="4">
        <v>34</v>
      </c>
      <c r="F12" s="4">
        <v>3</v>
      </c>
      <c r="G12" s="4">
        <v>0</v>
      </c>
      <c r="H12" s="4">
        <v>0</v>
      </c>
      <c r="I12" s="4">
        <v>33</v>
      </c>
      <c r="J12" s="4">
        <v>36</v>
      </c>
      <c r="K12" s="4">
        <v>33</v>
      </c>
      <c r="L12" s="4">
        <v>1</v>
      </c>
      <c r="M12" s="4">
        <v>0</v>
      </c>
      <c r="N12" s="4">
        <v>6</v>
      </c>
      <c r="O12" s="4">
        <v>7</v>
      </c>
      <c r="P12" s="4">
        <v>0</v>
      </c>
      <c r="Q12" s="4">
        <v>0</v>
      </c>
      <c r="R12" s="4">
        <v>0</v>
      </c>
      <c r="S12" s="4">
        <v>2</v>
      </c>
      <c r="T12" s="4">
        <v>2</v>
      </c>
      <c r="U12" s="4">
        <v>2</v>
      </c>
    </row>
    <row r="13" spans="1:21" ht="13.2" x14ac:dyDescent="0.25">
      <c r="A13" s="3">
        <v>43902</v>
      </c>
      <c r="B13" s="4">
        <v>1</v>
      </c>
      <c r="C13" s="4">
        <v>2</v>
      </c>
      <c r="D13" s="4">
        <v>31</v>
      </c>
      <c r="E13" s="4">
        <v>34</v>
      </c>
      <c r="F13" s="4">
        <v>5</v>
      </c>
      <c r="G13" s="4">
        <v>0</v>
      </c>
      <c r="H13" s="4">
        <v>0</v>
      </c>
      <c r="I13" s="4">
        <v>57</v>
      </c>
      <c r="J13" s="4">
        <v>62</v>
      </c>
      <c r="K13" s="4">
        <v>57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0</v>
      </c>
      <c r="R13" s="4">
        <v>0</v>
      </c>
      <c r="S13" s="4">
        <v>24</v>
      </c>
      <c r="T13" s="4">
        <v>26</v>
      </c>
      <c r="U13" s="4">
        <v>24</v>
      </c>
    </row>
    <row r="14" spans="1:21" ht="13.2" x14ac:dyDescent="0.25">
      <c r="A14" s="3">
        <v>43903</v>
      </c>
      <c r="B14" s="4">
        <v>4</v>
      </c>
      <c r="C14" s="4">
        <v>2</v>
      </c>
      <c r="D14" s="4">
        <v>63</v>
      </c>
      <c r="E14" s="4">
        <v>69</v>
      </c>
      <c r="F14" s="4">
        <v>7</v>
      </c>
      <c r="G14" s="4">
        <v>0</v>
      </c>
      <c r="H14" s="4">
        <v>0</v>
      </c>
      <c r="I14" s="4">
        <v>65</v>
      </c>
      <c r="J14" s="4">
        <v>72</v>
      </c>
      <c r="K14" s="4">
        <v>65</v>
      </c>
      <c r="L14" s="4">
        <v>3</v>
      </c>
      <c r="M14" s="4">
        <v>0</v>
      </c>
      <c r="N14" s="4">
        <v>32</v>
      </c>
      <c r="O14" s="4">
        <v>35</v>
      </c>
      <c r="P14" s="4">
        <v>2</v>
      </c>
      <c r="Q14" s="4">
        <v>0</v>
      </c>
      <c r="R14" s="4">
        <v>0</v>
      </c>
      <c r="S14" s="4">
        <v>8</v>
      </c>
      <c r="T14" s="4">
        <v>10</v>
      </c>
      <c r="U14" s="4">
        <v>8</v>
      </c>
    </row>
    <row r="15" spans="1:21" ht="13.2" x14ac:dyDescent="0.25">
      <c r="A15" s="3">
        <v>43904</v>
      </c>
      <c r="B15" s="4">
        <v>5</v>
      </c>
      <c r="C15" s="4">
        <v>8</v>
      </c>
      <c r="D15" s="4">
        <v>83</v>
      </c>
      <c r="E15" s="4">
        <v>96</v>
      </c>
      <c r="F15" s="4">
        <v>9</v>
      </c>
      <c r="G15" s="4">
        <v>0</v>
      </c>
      <c r="H15" s="4">
        <v>0</v>
      </c>
      <c r="I15" s="4">
        <v>70</v>
      </c>
      <c r="J15" s="4">
        <v>79</v>
      </c>
      <c r="K15" s="4">
        <v>70</v>
      </c>
      <c r="L15" s="4">
        <v>1</v>
      </c>
      <c r="M15" s="4">
        <v>6</v>
      </c>
      <c r="N15" s="4">
        <v>20</v>
      </c>
      <c r="O15" s="4">
        <v>27</v>
      </c>
      <c r="P15" s="4">
        <v>2</v>
      </c>
      <c r="Q15" s="4">
        <v>0</v>
      </c>
      <c r="R15" s="4">
        <v>0</v>
      </c>
      <c r="S15" s="4">
        <v>5</v>
      </c>
      <c r="T15" s="4">
        <v>7</v>
      </c>
      <c r="U15" s="4">
        <v>5</v>
      </c>
    </row>
    <row r="16" spans="1:21" ht="13.2" x14ac:dyDescent="0.25">
      <c r="A16" s="3">
        <v>43905</v>
      </c>
      <c r="B16" s="4">
        <v>5</v>
      </c>
      <c r="C16" s="4">
        <v>8</v>
      </c>
      <c r="D16" s="4">
        <v>104</v>
      </c>
      <c r="E16" s="4">
        <v>117</v>
      </c>
      <c r="F16" s="4">
        <v>11</v>
      </c>
      <c r="G16" s="4">
        <v>0</v>
      </c>
      <c r="H16" s="4">
        <v>0</v>
      </c>
      <c r="I16" s="4">
        <v>84</v>
      </c>
      <c r="J16" s="4">
        <v>95</v>
      </c>
      <c r="K16" s="4">
        <v>84</v>
      </c>
      <c r="L16" s="4">
        <v>0</v>
      </c>
      <c r="M16" s="4">
        <v>0</v>
      </c>
      <c r="N16" s="4">
        <v>21</v>
      </c>
      <c r="O16" s="4">
        <v>21</v>
      </c>
      <c r="P16" s="4">
        <v>2</v>
      </c>
      <c r="Q16" s="4">
        <v>0</v>
      </c>
      <c r="R16" s="4">
        <v>0</v>
      </c>
      <c r="S16" s="4">
        <v>14</v>
      </c>
      <c r="T16" s="4">
        <v>16</v>
      </c>
      <c r="U16" s="4">
        <v>14</v>
      </c>
    </row>
    <row r="17" spans="1:21" ht="13.2" x14ac:dyDescent="0.25">
      <c r="A17" s="3">
        <v>43906</v>
      </c>
      <c r="B17" s="4">
        <v>5</v>
      </c>
      <c r="C17" s="4">
        <v>8</v>
      </c>
      <c r="D17" s="4">
        <v>121</v>
      </c>
      <c r="E17" s="4">
        <v>134</v>
      </c>
      <c r="F17" s="4">
        <v>12</v>
      </c>
      <c r="G17" s="4">
        <v>0</v>
      </c>
      <c r="H17" s="4">
        <v>7</v>
      </c>
      <c r="I17" s="4">
        <v>78</v>
      </c>
      <c r="J17" s="4">
        <v>97</v>
      </c>
      <c r="K17" s="4">
        <v>85</v>
      </c>
      <c r="L17" s="4">
        <v>0</v>
      </c>
      <c r="M17" s="4">
        <v>0</v>
      </c>
      <c r="N17" s="4">
        <v>17</v>
      </c>
      <c r="O17" s="4">
        <v>17</v>
      </c>
      <c r="P17" s="4">
        <v>1</v>
      </c>
      <c r="Q17" s="4">
        <v>0</v>
      </c>
      <c r="R17" s="4">
        <v>7</v>
      </c>
      <c r="S17" s="4">
        <v>-6</v>
      </c>
      <c r="T17" s="4">
        <v>2</v>
      </c>
      <c r="U17" s="4">
        <v>1</v>
      </c>
    </row>
    <row r="18" spans="1:21" ht="13.2" x14ac:dyDescent="0.25">
      <c r="A18" s="3">
        <v>43907</v>
      </c>
      <c r="B18" s="4">
        <v>5</v>
      </c>
      <c r="C18" s="4">
        <v>9</v>
      </c>
      <c r="D18" s="4">
        <v>158</v>
      </c>
      <c r="E18" s="4">
        <v>172</v>
      </c>
      <c r="F18" s="4">
        <v>12</v>
      </c>
      <c r="G18" s="4">
        <v>0</v>
      </c>
      <c r="H18" s="4">
        <v>27</v>
      </c>
      <c r="I18" s="4">
        <v>83</v>
      </c>
      <c r="J18" s="4">
        <v>122</v>
      </c>
      <c r="K18" s="4">
        <v>110</v>
      </c>
      <c r="L18" s="4">
        <v>0</v>
      </c>
      <c r="M18" s="4">
        <v>1</v>
      </c>
      <c r="N18" s="4">
        <v>37</v>
      </c>
      <c r="O18" s="4">
        <v>38</v>
      </c>
      <c r="P18" s="4">
        <v>0</v>
      </c>
      <c r="Q18" s="4">
        <v>0</v>
      </c>
      <c r="R18" s="4">
        <v>20</v>
      </c>
      <c r="S18" s="4">
        <v>5</v>
      </c>
      <c r="T18" s="4">
        <v>25</v>
      </c>
      <c r="U18" s="4">
        <v>25</v>
      </c>
    </row>
    <row r="19" spans="1:21" ht="13.2" x14ac:dyDescent="0.25">
      <c r="A19" s="3">
        <v>43908</v>
      </c>
      <c r="B19" s="4">
        <v>19</v>
      </c>
      <c r="C19" s="4">
        <v>11</v>
      </c>
      <c r="D19" s="4">
        <v>197</v>
      </c>
      <c r="E19" s="4">
        <v>227</v>
      </c>
      <c r="F19" s="4">
        <v>15</v>
      </c>
      <c r="G19" s="4">
        <v>12</v>
      </c>
      <c r="H19" s="4">
        <v>42</v>
      </c>
      <c r="I19" s="4">
        <v>91</v>
      </c>
      <c r="J19" s="4">
        <v>160</v>
      </c>
      <c r="K19" s="4">
        <v>133</v>
      </c>
      <c r="L19" s="4">
        <v>14</v>
      </c>
      <c r="M19" s="4">
        <v>2</v>
      </c>
      <c r="N19" s="4">
        <v>39</v>
      </c>
      <c r="O19" s="4">
        <v>55</v>
      </c>
      <c r="P19" s="4">
        <v>3</v>
      </c>
      <c r="Q19" s="4">
        <v>12</v>
      </c>
      <c r="R19" s="4">
        <v>15</v>
      </c>
      <c r="S19" s="4">
        <v>8</v>
      </c>
      <c r="T19" s="4">
        <v>38</v>
      </c>
      <c r="U19" s="4">
        <v>23</v>
      </c>
    </row>
    <row r="20" spans="1:21" ht="13.2" x14ac:dyDescent="0.25">
      <c r="A20" s="3">
        <v>43909</v>
      </c>
      <c r="B20" s="4">
        <v>25</v>
      </c>
      <c r="C20" s="4">
        <v>15</v>
      </c>
      <c r="D20" s="4">
        <v>269</v>
      </c>
      <c r="E20" s="4">
        <v>309</v>
      </c>
      <c r="F20" s="4">
        <v>19</v>
      </c>
      <c r="G20" s="4">
        <v>13</v>
      </c>
      <c r="H20" s="4">
        <v>57</v>
      </c>
      <c r="I20" s="4">
        <v>121</v>
      </c>
      <c r="J20" s="4">
        <v>210</v>
      </c>
      <c r="K20" s="4">
        <v>178</v>
      </c>
      <c r="L20" s="4">
        <v>6</v>
      </c>
      <c r="M20" s="4">
        <v>4</v>
      </c>
      <c r="N20" s="4">
        <v>72</v>
      </c>
      <c r="O20" s="4">
        <v>82</v>
      </c>
      <c r="P20" s="4">
        <v>4</v>
      </c>
      <c r="Q20" s="4">
        <v>1</v>
      </c>
      <c r="R20" s="4">
        <v>15</v>
      </c>
      <c r="S20" s="4">
        <v>30</v>
      </c>
      <c r="T20" s="4">
        <v>50</v>
      </c>
      <c r="U20" s="4">
        <v>45</v>
      </c>
    </row>
    <row r="21" spans="1:21" ht="13.2" x14ac:dyDescent="0.25">
      <c r="A21" s="3">
        <v>43910</v>
      </c>
      <c r="B21" s="4">
        <v>32</v>
      </c>
      <c r="C21" s="4">
        <v>17</v>
      </c>
      <c r="D21" s="4">
        <v>320</v>
      </c>
      <c r="E21" s="4">
        <v>369</v>
      </c>
      <c r="F21" s="4">
        <v>20</v>
      </c>
      <c r="G21" s="4">
        <v>13</v>
      </c>
      <c r="H21" s="4">
        <v>66</v>
      </c>
      <c r="I21" s="4">
        <v>125</v>
      </c>
      <c r="J21" s="4">
        <v>224</v>
      </c>
      <c r="K21" s="4">
        <v>191</v>
      </c>
      <c r="L21" s="4">
        <v>7</v>
      </c>
      <c r="M21" s="4">
        <v>2</v>
      </c>
      <c r="N21" s="4">
        <v>51</v>
      </c>
      <c r="O21" s="4">
        <v>60</v>
      </c>
      <c r="P21" s="4">
        <v>1</v>
      </c>
      <c r="Q21" s="4">
        <v>0</v>
      </c>
      <c r="R21" s="4">
        <v>9</v>
      </c>
      <c r="S21" s="4">
        <v>4</v>
      </c>
      <c r="T21" s="4">
        <v>14</v>
      </c>
      <c r="U21" s="4">
        <v>13</v>
      </c>
    </row>
    <row r="22" spans="1:21" ht="13.2" x14ac:dyDescent="0.25">
      <c r="A22" s="3">
        <v>43911</v>
      </c>
      <c r="B22" s="4">
        <v>38</v>
      </c>
      <c r="C22" s="4">
        <v>20</v>
      </c>
      <c r="D22" s="4">
        <v>392</v>
      </c>
      <c r="E22" s="4">
        <v>450</v>
      </c>
      <c r="F22" s="5">
        <v>23</v>
      </c>
      <c r="G22" s="4">
        <v>17</v>
      </c>
      <c r="H22" s="4">
        <v>71</v>
      </c>
      <c r="I22" s="4">
        <v>157</v>
      </c>
      <c r="J22" s="4">
        <v>268</v>
      </c>
      <c r="K22" s="4">
        <v>228</v>
      </c>
      <c r="L22" s="4">
        <v>6</v>
      </c>
      <c r="M22" s="4">
        <v>3</v>
      </c>
      <c r="N22" s="4">
        <v>72</v>
      </c>
      <c r="O22" s="4">
        <v>81</v>
      </c>
      <c r="P22" s="4">
        <v>5</v>
      </c>
      <c r="Q22" s="4">
        <v>4</v>
      </c>
      <c r="R22" s="4">
        <v>5</v>
      </c>
      <c r="S22" s="4">
        <v>32</v>
      </c>
      <c r="T22" s="4">
        <v>44</v>
      </c>
      <c r="U22" s="4">
        <v>37</v>
      </c>
    </row>
    <row r="23" spans="1:21" ht="13.2" x14ac:dyDescent="0.25">
      <c r="A23" s="3">
        <v>43912</v>
      </c>
      <c r="B23" s="4">
        <v>48</v>
      </c>
      <c r="C23" s="4">
        <v>29</v>
      </c>
      <c r="D23" s="4">
        <v>437</v>
      </c>
      <c r="E23" s="4">
        <v>514</v>
      </c>
      <c r="F23" s="4">
        <v>29</v>
      </c>
      <c r="G23" s="4">
        <v>21</v>
      </c>
      <c r="H23" s="4">
        <v>77</v>
      </c>
      <c r="I23" s="4">
        <v>177</v>
      </c>
      <c r="J23" s="4">
        <v>304</v>
      </c>
      <c r="K23" s="4">
        <v>254</v>
      </c>
      <c r="L23" s="4">
        <v>10</v>
      </c>
      <c r="M23" s="4">
        <v>9</v>
      </c>
      <c r="N23" s="4">
        <v>45</v>
      </c>
      <c r="O23" s="4">
        <v>64</v>
      </c>
      <c r="P23" s="4">
        <v>4</v>
      </c>
      <c r="Q23" s="4">
        <v>4</v>
      </c>
      <c r="R23" s="4">
        <v>6</v>
      </c>
      <c r="S23" s="4">
        <v>20</v>
      </c>
      <c r="T23" s="4">
        <v>36</v>
      </c>
      <c r="U23" s="4">
        <v>26</v>
      </c>
    </row>
    <row r="24" spans="1:21" ht="13.2" x14ac:dyDescent="0.25">
      <c r="A24" s="3">
        <v>43913</v>
      </c>
      <c r="B24" s="4">
        <v>49</v>
      </c>
      <c r="C24" s="4">
        <v>30</v>
      </c>
      <c r="D24" s="4">
        <v>500</v>
      </c>
      <c r="E24" s="4">
        <v>579</v>
      </c>
      <c r="F24" s="5">
        <v>29</v>
      </c>
      <c r="G24" s="4">
        <v>22</v>
      </c>
      <c r="H24" s="4">
        <v>79</v>
      </c>
      <c r="I24" s="4">
        <v>225</v>
      </c>
      <c r="J24" s="5">
        <v>355</v>
      </c>
      <c r="K24" s="4">
        <v>304</v>
      </c>
      <c r="L24" s="4">
        <v>1</v>
      </c>
      <c r="M24" s="4">
        <v>1</v>
      </c>
      <c r="N24" s="4">
        <v>63</v>
      </c>
      <c r="O24" s="4">
        <v>65</v>
      </c>
      <c r="P24" s="4">
        <v>2</v>
      </c>
      <c r="Q24" s="4">
        <v>1</v>
      </c>
      <c r="R24" s="4">
        <v>2</v>
      </c>
      <c r="S24" s="4">
        <v>48</v>
      </c>
      <c r="T24" s="4">
        <v>52</v>
      </c>
      <c r="U24" s="4">
        <v>50</v>
      </c>
    </row>
    <row r="25" spans="1:21" ht="13.2" x14ac:dyDescent="0.25">
      <c r="A25" s="3">
        <v>43914</v>
      </c>
      <c r="B25" s="4">
        <v>55</v>
      </c>
      <c r="C25" s="4">
        <v>30</v>
      </c>
      <c r="D25" s="4">
        <v>601</v>
      </c>
      <c r="E25" s="4">
        <v>686</v>
      </c>
      <c r="F25" s="4">
        <v>34</v>
      </c>
      <c r="G25" s="4">
        <v>23</v>
      </c>
      <c r="H25" s="4">
        <v>109</v>
      </c>
      <c r="I25" s="4">
        <v>260</v>
      </c>
      <c r="J25" s="4">
        <v>426</v>
      </c>
      <c r="K25" s="4">
        <v>369</v>
      </c>
      <c r="L25" s="4">
        <v>6</v>
      </c>
      <c r="M25" s="4">
        <v>0</v>
      </c>
      <c r="N25" s="4">
        <v>101</v>
      </c>
      <c r="O25" s="4">
        <v>107</v>
      </c>
      <c r="P25" s="4">
        <v>3</v>
      </c>
      <c r="Q25" s="4">
        <v>1</v>
      </c>
      <c r="R25" s="4">
        <v>30</v>
      </c>
      <c r="S25" s="4">
        <v>35</v>
      </c>
      <c r="T25" s="4">
        <v>70</v>
      </c>
      <c r="U25" s="4">
        <v>65</v>
      </c>
    </row>
    <row r="26" spans="1:21" ht="13.2" x14ac:dyDescent="0.25">
      <c r="A26" s="3">
        <v>43915</v>
      </c>
      <c r="B26" s="4">
        <v>58</v>
      </c>
      <c r="C26" s="4">
        <v>31</v>
      </c>
      <c r="D26" s="4">
        <v>701</v>
      </c>
      <c r="E26" s="4">
        <v>790</v>
      </c>
      <c r="F26" s="4">
        <v>43</v>
      </c>
      <c r="G26" s="4">
        <v>27</v>
      </c>
      <c r="H26" s="4">
        <v>112</v>
      </c>
      <c r="I26" s="4">
        <v>290</v>
      </c>
      <c r="J26" s="4">
        <v>472</v>
      </c>
      <c r="K26" s="4">
        <v>402</v>
      </c>
      <c r="L26" s="4">
        <v>3</v>
      </c>
      <c r="M26" s="4">
        <v>1</v>
      </c>
      <c r="N26" s="4">
        <v>100</v>
      </c>
      <c r="O26" s="4">
        <v>104</v>
      </c>
      <c r="P26" s="4">
        <v>9</v>
      </c>
      <c r="Q26" s="4">
        <v>4</v>
      </c>
      <c r="R26" s="4">
        <v>3</v>
      </c>
      <c r="S26" s="4">
        <v>30</v>
      </c>
      <c r="T26" s="4">
        <v>46</v>
      </c>
      <c r="U26" s="4">
        <v>33</v>
      </c>
    </row>
    <row r="27" spans="1:21" ht="13.2" x14ac:dyDescent="0.25">
      <c r="A27" s="3">
        <v>43916</v>
      </c>
      <c r="B27" s="4">
        <v>78</v>
      </c>
      <c r="C27" s="4">
        <v>35</v>
      </c>
      <c r="D27" s="4">
        <v>780</v>
      </c>
      <c r="E27" s="4">
        <v>893</v>
      </c>
      <c r="F27" s="4">
        <v>49</v>
      </c>
      <c r="G27" s="4">
        <v>29</v>
      </c>
      <c r="H27" s="4">
        <v>113</v>
      </c>
      <c r="I27" s="4">
        <v>324</v>
      </c>
      <c r="J27" s="4">
        <v>515</v>
      </c>
      <c r="K27" s="4">
        <v>437</v>
      </c>
      <c r="L27" s="4">
        <v>20</v>
      </c>
      <c r="M27" s="4">
        <v>4</v>
      </c>
      <c r="N27" s="4">
        <v>79</v>
      </c>
      <c r="O27" s="4">
        <v>103</v>
      </c>
      <c r="P27" s="4">
        <v>6</v>
      </c>
      <c r="Q27" s="4">
        <v>2</v>
      </c>
      <c r="R27" s="4">
        <v>1</v>
      </c>
      <c r="S27" s="4">
        <v>34</v>
      </c>
      <c r="T27" s="4">
        <v>43</v>
      </c>
      <c r="U27" s="4">
        <v>35</v>
      </c>
    </row>
    <row r="28" spans="1:21" ht="13.2" x14ac:dyDescent="0.25">
      <c r="A28" s="3">
        <v>43917</v>
      </c>
      <c r="B28" s="4">
        <v>87</v>
      </c>
      <c r="C28" s="4">
        <v>46</v>
      </c>
      <c r="D28" s="4">
        <v>913</v>
      </c>
      <c r="E28" s="4">
        <v>1046</v>
      </c>
      <c r="F28" s="4">
        <v>57</v>
      </c>
      <c r="G28" s="4">
        <v>31</v>
      </c>
      <c r="H28" s="4">
        <v>132</v>
      </c>
      <c r="I28" s="4">
        <v>346</v>
      </c>
      <c r="J28" s="4">
        <v>566</v>
      </c>
      <c r="K28" s="4">
        <v>478</v>
      </c>
      <c r="L28" s="4">
        <v>9</v>
      </c>
      <c r="M28" s="4">
        <v>11</v>
      </c>
      <c r="N28" s="4">
        <v>133</v>
      </c>
      <c r="O28" s="4">
        <v>153</v>
      </c>
      <c r="P28" s="4">
        <v>8</v>
      </c>
      <c r="Q28" s="4">
        <v>2</v>
      </c>
      <c r="R28" s="4">
        <v>19</v>
      </c>
      <c r="S28" s="4">
        <v>22</v>
      </c>
      <c r="T28" s="4">
        <v>51</v>
      </c>
      <c r="U28" s="4">
        <v>41</v>
      </c>
    </row>
    <row r="29" spans="1:21" ht="13.2" x14ac:dyDescent="0.25">
      <c r="A29" s="3">
        <v>43918</v>
      </c>
      <c r="B29" s="4">
        <v>102</v>
      </c>
      <c r="C29" s="4">
        <v>59</v>
      </c>
      <c r="D29" s="4">
        <v>994</v>
      </c>
      <c r="E29" s="4">
        <v>1155</v>
      </c>
      <c r="F29" s="4">
        <v>62</v>
      </c>
      <c r="G29" s="4">
        <v>43</v>
      </c>
      <c r="H29" s="4">
        <v>134</v>
      </c>
      <c r="I29" s="4">
        <v>364</v>
      </c>
      <c r="J29" s="4">
        <v>603</v>
      </c>
      <c r="K29" s="4">
        <v>498</v>
      </c>
      <c r="L29" s="4">
        <v>15</v>
      </c>
      <c r="M29" s="4">
        <v>13</v>
      </c>
      <c r="N29" s="4">
        <v>81</v>
      </c>
      <c r="O29" s="4">
        <v>109</v>
      </c>
      <c r="P29" s="4">
        <v>5</v>
      </c>
      <c r="Q29" s="4">
        <v>12</v>
      </c>
      <c r="R29" s="4">
        <v>2</v>
      </c>
      <c r="S29" s="4">
        <v>18</v>
      </c>
      <c r="T29" s="4">
        <v>37</v>
      </c>
      <c r="U29" s="4">
        <v>20</v>
      </c>
    </row>
    <row r="30" spans="1:21" ht="13.2" x14ac:dyDescent="0.25">
      <c r="A30" s="3">
        <v>43919</v>
      </c>
      <c r="B30" s="4">
        <v>114</v>
      </c>
      <c r="C30" s="4">
        <v>64</v>
      </c>
      <c r="D30" s="4">
        <v>1107</v>
      </c>
      <c r="E30" s="4">
        <v>1285</v>
      </c>
      <c r="F30" s="4">
        <v>67</v>
      </c>
      <c r="G30" s="4">
        <v>48</v>
      </c>
      <c r="H30" s="4">
        <v>151</v>
      </c>
      <c r="I30" s="4">
        <v>435</v>
      </c>
      <c r="J30" s="4">
        <v>701</v>
      </c>
      <c r="K30" s="4">
        <v>586</v>
      </c>
      <c r="L30" s="4">
        <v>12</v>
      </c>
      <c r="M30" s="4">
        <v>5</v>
      </c>
      <c r="N30" s="4">
        <v>113</v>
      </c>
      <c r="O30" s="4">
        <v>130</v>
      </c>
      <c r="P30" s="4">
        <v>5</v>
      </c>
      <c r="Q30" s="4">
        <v>5</v>
      </c>
      <c r="R30" s="4">
        <v>17</v>
      </c>
      <c r="S30" s="4">
        <v>71</v>
      </c>
      <c r="T30" s="4">
        <v>98</v>
      </c>
      <c r="U30" s="4">
        <v>88</v>
      </c>
    </row>
    <row r="31" spans="1:21" ht="13.2" x14ac:dyDescent="0.25">
      <c r="A31" s="3">
        <v>43920</v>
      </c>
      <c r="B31" s="4">
        <v>122</v>
      </c>
      <c r="C31" s="4">
        <v>75</v>
      </c>
      <c r="D31" s="4">
        <v>1217</v>
      </c>
      <c r="E31" s="4">
        <v>1414</v>
      </c>
      <c r="F31" s="4">
        <v>78</v>
      </c>
      <c r="G31" s="4">
        <v>49</v>
      </c>
      <c r="H31" s="4">
        <v>151</v>
      </c>
      <c r="I31" s="4">
        <v>449</v>
      </c>
      <c r="J31" s="4">
        <v>727</v>
      </c>
      <c r="K31" s="4">
        <v>600</v>
      </c>
      <c r="L31" s="4">
        <v>8</v>
      </c>
      <c r="M31" s="4">
        <v>11</v>
      </c>
      <c r="N31" s="4">
        <v>110</v>
      </c>
      <c r="O31" s="4">
        <v>129</v>
      </c>
      <c r="P31" s="4">
        <v>11</v>
      </c>
      <c r="Q31" s="4">
        <v>1</v>
      </c>
      <c r="R31" s="4">
        <v>0</v>
      </c>
      <c r="S31" s="4">
        <v>14</v>
      </c>
      <c r="T31" s="4">
        <v>26</v>
      </c>
      <c r="U31" s="4">
        <v>14</v>
      </c>
    </row>
    <row r="32" spans="1:21" ht="13.2" x14ac:dyDescent="0.25">
      <c r="A32" s="3">
        <v>43921</v>
      </c>
      <c r="B32" s="4">
        <v>136</v>
      </c>
      <c r="C32" s="4">
        <v>81</v>
      </c>
      <c r="D32" s="4">
        <v>1311</v>
      </c>
      <c r="E32" s="4">
        <v>1528</v>
      </c>
      <c r="F32" s="4">
        <v>84</v>
      </c>
      <c r="G32" s="4">
        <v>49</v>
      </c>
      <c r="H32" s="4">
        <v>157</v>
      </c>
      <c r="I32" s="4">
        <v>451</v>
      </c>
      <c r="J32" s="4">
        <v>741</v>
      </c>
      <c r="K32" s="4">
        <v>608</v>
      </c>
      <c r="L32" s="4">
        <v>14</v>
      </c>
      <c r="M32" s="4">
        <v>6</v>
      </c>
      <c r="N32" s="4">
        <v>94</v>
      </c>
      <c r="O32" s="4">
        <v>114</v>
      </c>
      <c r="P32" s="4">
        <v>6</v>
      </c>
      <c r="Q32" s="4">
        <v>0</v>
      </c>
      <c r="R32" s="4">
        <v>6</v>
      </c>
      <c r="S32" s="4">
        <v>2</v>
      </c>
      <c r="T32" s="4">
        <v>14</v>
      </c>
      <c r="U32" s="4">
        <v>8</v>
      </c>
    </row>
    <row r="33" spans="1:21" ht="13.2" x14ac:dyDescent="0.25">
      <c r="A33" s="3">
        <v>43922</v>
      </c>
      <c r="B33" s="4">
        <v>157</v>
      </c>
      <c r="C33" s="4">
        <v>103</v>
      </c>
      <c r="D33" s="4">
        <v>1417</v>
      </c>
      <c r="E33" s="4">
        <v>1677</v>
      </c>
      <c r="F33" s="4">
        <v>90</v>
      </c>
      <c r="G33" s="4">
        <v>51</v>
      </c>
      <c r="H33" s="4">
        <v>176</v>
      </c>
      <c r="I33" s="4">
        <v>499</v>
      </c>
      <c r="J33" s="4">
        <v>816</v>
      </c>
      <c r="K33" s="4">
        <v>675</v>
      </c>
      <c r="L33" s="4">
        <v>21</v>
      </c>
      <c r="M33" s="4">
        <v>22</v>
      </c>
      <c r="N33" s="4">
        <v>106</v>
      </c>
      <c r="O33" s="4">
        <v>149</v>
      </c>
      <c r="P33" s="4">
        <v>6</v>
      </c>
      <c r="Q33" s="4">
        <v>2</v>
      </c>
      <c r="R33" s="4">
        <v>19</v>
      </c>
      <c r="S33" s="4">
        <v>48</v>
      </c>
      <c r="T33" s="4">
        <v>75</v>
      </c>
      <c r="U33" s="4">
        <v>67</v>
      </c>
    </row>
    <row r="34" spans="1:21" ht="13.2" x14ac:dyDescent="0.25">
      <c r="A34" s="3">
        <v>43923</v>
      </c>
      <c r="B34" s="4">
        <v>170</v>
      </c>
      <c r="C34" s="4">
        <v>112</v>
      </c>
      <c r="D34" s="4">
        <v>1508</v>
      </c>
      <c r="E34" s="4">
        <v>1790</v>
      </c>
      <c r="F34" s="4">
        <v>95</v>
      </c>
      <c r="G34" s="4">
        <v>54</v>
      </c>
      <c r="H34" s="4">
        <v>195</v>
      </c>
      <c r="I34" s="4">
        <v>565</v>
      </c>
      <c r="J34" s="4">
        <v>909</v>
      </c>
      <c r="K34" s="4">
        <v>760</v>
      </c>
      <c r="L34" s="4">
        <v>13</v>
      </c>
      <c r="M34" s="4">
        <v>9</v>
      </c>
      <c r="N34" s="4">
        <v>91</v>
      </c>
      <c r="O34" s="4">
        <v>113</v>
      </c>
      <c r="P34" s="4">
        <v>5</v>
      </c>
      <c r="Q34" s="4">
        <v>3</v>
      </c>
      <c r="R34" s="4">
        <v>19</v>
      </c>
      <c r="S34" s="4">
        <v>66</v>
      </c>
      <c r="T34" s="4">
        <v>93</v>
      </c>
      <c r="U34" s="4">
        <v>85</v>
      </c>
    </row>
    <row r="35" spans="1:21" ht="13.2" x14ac:dyDescent="0.25">
      <c r="A35" s="3">
        <v>43924</v>
      </c>
      <c r="B35" s="4">
        <v>181</v>
      </c>
      <c r="C35" s="4">
        <v>134</v>
      </c>
      <c r="D35" s="4">
        <v>1671</v>
      </c>
      <c r="E35" s="4">
        <v>1986</v>
      </c>
      <c r="F35" s="4">
        <v>98</v>
      </c>
      <c r="G35" s="4">
        <v>56</v>
      </c>
      <c r="H35" s="4">
        <v>209</v>
      </c>
      <c r="I35" s="4">
        <v>627</v>
      </c>
      <c r="J35" s="4">
        <v>990</v>
      </c>
      <c r="K35" s="4">
        <v>836</v>
      </c>
      <c r="L35" s="4">
        <v>11</v>
      </c>
      <c r="M35" s="4">
        <v>22</v>
      </c>
      <c r="N35" s="4">
        <v>163</v>
      </c>
      <c r="O35" s="4">
        <v>196</v>
      </c>
      <c r="P35" s="4">
        <v>3</v>
      </c>
      <c r="Q35" s="4">
        <v>2</v>
      </c>
      <c r="R35" s="4">
        <v>14</v>
      </c>
      <c r="S35" s="4">
        <v>62</v>
      </c>
      <c r="T35" s="4">
        <v>81</v>
      </c>
      <c r="U35" s="4">
        <v>76</v>
      </c>
    </row>
    <row r="36" spans="1:21" ht="13.2" x14ac:dyDescent="0.25">
      <c r="A36" s="3">
        <v>43925</v>
      </c>
      <c r="B36" s="4">
        <v>191</v>
      </c>
      <c r="C36" s="4">
        <v>150</v>
      </c>
      <c r="D36" s="4">
        <v>1751</v>
      </c>
      <c r="E36" s="4">
        <v>2092</v>
      </c>
      <c r="F36" s="4">
        <v>99</v>
      </c>
      <c r="G36" s="4">
        <v>58</v>
      </c>
      <c r="H36" s="4">
        <v>223</v>
      </c>
      <c r="I36" s="4">
        <v>691</v>
      </c>
      <c r="J36" s="4">
        <v>1071</v>
      </c>
      <c r="K36" s="4">
        <v>914</v>
      </c>
      <c r="L36" s="4">
        <v>10</v>
      </c>
      <c r="M36" s="4">
        <v>16</v>
      </c>
      <c r="N36" s="4">
        <v>80</v>
      </c>
      <c r="O36" s="4">
        <v>106</v>
      </c>
      <c r="P36" s="4">
        <v>1</v>
      </c>
      <c r="Q36" s="4">
        <v>2</v>
      </c>
      <c r="R36" s="4">
        <v>14</v>
      </c>
      <c r="S36" s="4">
        <v>64</v>
      </c>
      <c r="T36" s="4">
        <v>81</v>
      </c>
      <c r="U36" s="4">
        <v>78</v>
      </c>
    </row>
    <row r="37" spans="1:21" ht="13.2" x14ac:dyDescent="0.25">
      <c r="A37" s="3">
        <v>43926</v>
      </c>
      <c r="B37" s="4">
        <v>198</v>
      </c>
      <c r="C37" s="4">
        <v>164</v>
      </c>
      <c r="D37" s="4">
        <v>1911</v>
      </c>
      <c r="E37" s="4">
        <v>2273</v>
      </c>
      <c r="F37" s="4">
        <v>123</v>
      </c>
      <c r="G37" s="4">
        <v>64</v>
      </c>
      <c r="H37" s="4">
        <v>279</v>
      </c>
      <c r="I37" s="4">
        <v>685</v>
      </c>
      <c r="J37" s="4">
        <v>1151</v>
      </c>
      <c r="K37" s="4">
        <v>964</v>
      </c>
      <c r="L37" s="4">
        <v>7</v>
      </c>
      <c r="M37" s="4">
        <v>14</v>
      </c>
      <c r="N37" s="4">
        <v>160</v>
      </c>
      <c r="O37" s="4">
        <v>181</v>
      </c>
      <c r="P37" s="4">
        <v>24</v>
      </c>
      <c r="Q37" s="4">
        <v>6</v>
      </c>
      <c r="R37" s="4">
        <v>56</v>
      </c>
      <c r="S37" s="4">
        <v>-6</v>
      </c>
      <c r="T37" s="4">
        <v>80</v>
      </c>
      <c r="U37" s="4">
        <v>50</v>
      </c>
    </row>
    <row r="38" spans="1:21" ht="13.2" x14ac:dyDescent="0.25">
      <c r="A38" s="3">
        <v>43927</v>
      </c>
      <c r="B38" s="4">
        <v>209</v>
      </c>
      <c r="C38" s="4">
        <v>192</v>
      </c>
      <c r="D38" s="4">
        <v>2090</v>
      </c>
      <c r="E38" s="4">
        <v>2491</v>
      </c>
      <c r="F38" s="4">
        <v>131</v>
      </c>
      <c r="G38" s="4">
        <v>68</v>
      </c>
      <c r="H38" s="4">
        <v>317</v>
      </c>
      <c r="I38" s="4">
        <v>783</v>
      </c>
      <c r="J38" s="4">
        <v>1299</v>
      </c>
      <c r="K38" s="4">
        <v>1100</v>
      </c>
      <c r="L38" s="4">
        <v>11</v>
      </c>
      <c r="M38" s="4">
        <v>28</v>
      </c>
      <c r="N38" s="4">
        <v>179</v>
      </c>
      <c r="O38" s="4">
        <v>218</v>
      </c>
      <c r="P38" s="4">
        <v>8</v>
      </c>
      <c r="Q38" s="4">
        <v>4</v>
      </c>
      <c r="R38" s="4">
        <v>38</v>
      </c>
      <c r="S38" s="4">
        <v>98</v>
      </c>
      <c r="T38" s="4">
        <v>148</v>
      </c>
      <c r="U38" s="4">
        <v>136</v>
      </c>
    </row>
    <row r="39" spans="1:21" ht="13.2" x14ac:dyDescent="0.25">
      <c r="A39" s="3">
        <v>43928</v>
      </c>
      <c r="B39" s="4">
        <v>221</v>
      </c>
      <c r="C39" s="4">
        <v>204</v>
      </c>
      <c r="D39" s="4">
        <v>2313</v>
      </c>
      <c r="E39" s="4">
        <v>2738</v>
      </c>
      <c r="F39" s="4">
        <v>141</v>
      </c>
      <c r="G39" s="4">
        <v>69</v>
      </c>
      <c r="H39" s="4">
        <v>338</v>
      </c>
      <c r="I39" s="4">
        <v>895</v>
      </c>
      <c r="J39" s="4">
        <v>1443</v>
      </c>
      <c r="K39" s="4">
        <v>1233</v>
      </c>
      <c r="L39" s="4">
        <v>12</v>
      </c>
      <c r="M39" s="4">
        <v>12</v>
      </c>
      <c r="N39" s="4">
        <v>223</v>
      </c>
      <c r="O39" s="4">
        <v>247</v>
      </c>
      <c r="P39" s="4">
        <v>10</v>
      </c>
      <c r="Q39" s="4">
        <v>1</v>
      </c>
      <c r="R39" s="4">
        <v>21</v>
      </c>
      <c r="S39" s="4">
        <v>112</v>
      </c>
      <c r="T39" s="4">
        <v>144</v>
      </c>
      <c r="U39" s="4">
        <v>133</v>
      </c>
    </row>
    <row r="40" spans="1:21" ht="13.2" x14ac:dyDescent="0.25">
      <c r="A40" s="3">
        <v>43929</v>
      </c>
      <c r="B40" s="4">
        <v>240</v>
      </c>
      <c r="C40" s="4">
        <v>222</v>
      </c>
      <c r="D40" s="4">
        <v>2494</v>
      </c>
      <c r="E40" s="4">
        <v>2956</v>
      </c>
      <c r="F40" s="4">
        <v>144</v>
      </c>
      <c r="G40" s="4">
        <v>75</v>
      </c>
      <c r="H40" s="4">
        <v>357</v>
      </c>
      <c r="I40" s="4">
        <v>976</v>
      </c>
      <c r="J40" s="4">
        <v>1552</v>
      </c>
      <c r="K40" s="4">
        <v>1333</v>
      </c>
      <c r="L40" s="4">
        <v>19</v>
      </c>
      <c r="M40" s="4">
        <v>18</v>
      </c>
      <c r="N40" s="4">
        <v>181</v>
      </c>
      <c r="O40" s="4">
        <v>218</v>
      </c>
      <c r="P40" s="4">
        <v>3</v>
      </c>
      <c r="Q40" s="4">
        <v>6</v>
      </c>
      <c r="R40" s="4">
        <v>19</v>
      </c>
      <c r="S40" s="4">
        <v>81</v>
      </c>
      <c r="T40" s="4">
        <v>109</v>
      </c>
      <c r="U40" s="4">
        <v>100</v>
      </c>
    </row>
    <row r="41" spans="1:21" ht="13.2" x14ac:dyDescent="0.25">
      <c r="A41" s="3">
        <v>43930</v>
      </c>
      <c r="B41" s="4">
        <v>280</v>
      </c>
      <c r="C41" s="4">
        <v>252</v>
      </c>
      <c r="D41" s="4">
        <v>2761</v>
      </c>
      <c r="E41" s="4">
        <v>3293</v>
      </c>
      <c r="F41" s="4">
        <v>155</v>
      </c>
      <c r="G41" s="4">
        <v>82</v>
      </c>
      <c r="H41" s="4">
        <v>405</v>
      </c>
      <c r="I41" s="4">
        <v>1077</v>
      </c>
      <c r="J41" s="4">
        <v>1719</v>
      </c>
      <c r="K41" s="4">
        <v>1482</v>
      </c>
      <c r="L41" s="4">
        <v>40</v>
      </c>
      <c r="M41" s="4">
        <v>30</v>
      </c>
      <c r="N41" s="4">
        <v>267</v>
      </c>
      <c r="O41" s="4">
        <v>337</v>
      </c>
      <c r="P41" s="4">
        <v>11</v>
      </c>
      <c r="Q41" s="4">
        <v>7</v>
      </c>
      <c r="R41" s="4">
        <v>48</v>
      </c>
      <c r="S41" s="4">
        <v>101</v>
      </c>
      <c r="T41" s="4">
        <v>167</v>
      </c>
      <c r="U41" s="4">
        <v>149</v>
      </c>
    </row>
    <row r="42" spans="1:21" ht="13.2" x14ac:dyDescent="0.25">
      <c r="A42" s="3">
        <v>43931</v>
      </c>
      <c r="B42" s="4">
        <v>306</v>
      </c>
      <c r="C42" s="4">
        <v>282</v>
      </c>
      <c r="D42" s="4">
        <v>2924</v>
      </c>
      <c r="E42" s="4">
        <v>3512</v>
      </c>
      <c r="F42" s="4">
        <v>156</v>
      </c>
      <c r="G42" s="4">
        <v>82</v>
      </c>
      <c r="H42" s="4">
        <v>433</v>
      </c>
      <c r="I42" s="4">
        <v>1139</v>
      </c>
      <c r="J42" s="4">
        <v>1810</v>
      </c>
      <c r="K42" s="4">
        <v>1572</v>
      </c>
      <c r="L42" s="4">
        <v>26</v>
      </c>
      <c r="M42" s="4">
        <v>30</v>
      </c>
      <c r="N42" s="4">
        <v>163</v>
      </c>
      <c r="O42" s="4">
        <v>219</v>
      </c>
      <c r="P42" s="4">
        <v>1</v>
      </c>
      <c r="Q42" s="4">
        <v>0</v>
      </c>
      <c r="R42" s="4">
        <v>28</v>
      </c>
      <c r="S42" s="4">
        <v>62</v>
      </c>
      <c r="T42" s="4">
        <v>91</v>
      </c>
      <c r="U42" s="4">
        <v>90</v>
      </c>
    </row>
    <row r="43" spans="1:21" ht="13.2" x14ac:dyDescent="0.25">
      <c r="A43" s="3">
        <v>43932</v>
      </c>
      <c r="B43" s="4">
        <v>327</v>
      </c>
      <c r="C43" s="4">
        <v>286</v>
      </c>
      <c r="D43" s="4">
        <v>3229</v>
      </c>
      <c r="E43" s="4">
        <v>3842</v>
      </c>
      <c r="F43" s="4">
        <v>168</v>
      </c>
      <c r="G43" s="4">
        <v>142</v>
      </c>
      <c r="H43" s="4">
        <v>441</v>
      </c>
      <c r="I43" s="4">
        <v>1152</v>
      </c>
      <c r="J43" s="4">
        <v>1903</v>
      </c>
      <c r="K43" s="4">
        <v>1593</v>
      </c>
      <c r="L43" s="4">
        <v>21</v>
      </c>
      <c r="M43" s="4">
        <v>4</v>
      </c>
      <c r="N43" s="4">
        <v>305</v>
      </c>
      <c r="O43" s="4">
        <v>330</v>
      </c>
      <c r="P43" s="4">
        <v>12</v>
      </c>
      <c r="Q43" s="4">
        <v>60</v>
      </c>
      <c r="R43" s="4">
        <v>8</v>
      </c>
      <c r="S43" s="4">
        <v>13</v>
      </c>
      <c r="T43" s="4">
        <v>93</v>
      </c>
      <c r="U43" s="4">
        <v>21</v>
      </c>
    </row>
    <row r="44" spans="1:21" ht="13.2" x14ac:dyDescent="0.25">
      <c r="A44" s="3">
        <v>43933</v>
      </c>
      <c r="B44" s="4">
        <v>373</v>
      </c>
      <c r="C44" s="4">
        <v>359</v>
      </c>
      <c r="D44" s="4">
        <v>3509</v>
      </c>
      <c r="E44" s="4">
        <v>4241</v>
      </c>
      <c r="F44" s="4">
        <v>195</v>
      </c>
      <c r="G44" s="4">
        <v>142</v>
      </c>
      <c r="H44" s="4">
        <v>468</v>
      </c>
      <c r="I44" s="4">
        <v>1277</v>
      </c>
      <c r="J44" s="4">
        <v>2082</v>
      </c>
      <c r="K44" s="4">
        <v>1745</v>
      </c>
      <c r="L44" s="4">
        <v>46</v>
      </c>
      <c r="M44" s="4">
        <v>73</v>
      </c>
      <c r="N44" s="4">
        <v>280</v>
      </c>
      <c r="O44" s="4">
        <v>399</v>
      </c>
      <c r="P44" s="4">
        <v>27</v>
      </c>
      <c r="Q44" s="4">
        <v>0</v>
      </c>
      <c r="R44" s="4">
        <v>27</v>
      </c>
      <c r="S44" s="4">
        <v>125</v>
      </c>
      <c r="T44" s="4">
        <v>179</v>
      </c>
      <c r="U44" s="4">
        <v>152</v>
      </c>
    </row>
    <row r="45" spans="1:21" ht="13.2" x14ac:dyDescent="0.25">
      <c r="A45" s="3">
        <v>43934</v>
      </c>
      <c r="B45" s="4">
        <v>399</v>
      </c>
      <c r="C45" s="4">
        <v>380</v>
      </c>
      <c r="D45" s="4">
        <v>3778</v>
      </c>
      <c r="E45" s="4">
        <v>4557</v>
      </c>
      <c r="F45" s="4">
        <v>209</v>
      </c>
      <c r="G45" s="4">
        <v>142</v>
      </c>
      <c r="H45" s="4">
        <v>521</v>
      </c>
      <c r="I45" s="4">
        <v>1370</v>
      </c>
      <c r="J45" s="4">
        <v>2242</v>
      </c>
      <c r="K45" s="4">
        <v>1891</v>
      </c>
      <c r="L45" s="4">
        <v>26</v>
      </c>
      <c r="M45" s="4">
        <v>21</v>
      </c>
      <c r="N45" s="4">
        <v>269</v>
      </c>
      <c r="O45" s="4">
        <v>316</v>
      </c>
      <c r="P45" s="4">
        <v>14</v>
      </c>
      <c r="Q45" s="4">
        <v>0</v>
      </c>
      <c r="R45" s="4">
        <v>53</v>
      </c>
      <c r="S45" s="4">
        <v>93</v>
      </c>
      <c r="T45" s="4">
        <v>160</v>
      </c>
      <c r="U45" s="4">
        <v>146</v>
      </c>
    </row>
    <row r="46" spans="1:21" ht="13.2" x14ac:dyDescent="0.25">
      <c r="A46" s="3">
        <v>43935</v>
      </c>
      <c r="B46" s="4">
        <v>459</v>
      </c>
      <c r="C46" s="4">
        <v>426</v>
      </c>
      <c r="D46" s="4">
        <v>3954</v>
      </c>
      <c r="E46" s="4">
        <v>4839</v>
      </c>
      <c r="F46" s="4">
        <v>243</v>
      </c>
      <c r="G46" s="4">
        <v>163</v>
      </c>
      <c r="H46" s="4">
        <v>558</v>
      </c>
      <c r="I46" s="4">
        <v>1385</v>
      </c>
      <c r="J46" s="4">
        <v>2349</v>
      </c>
      <c r="K46" s="4">
        <v>1943</v>
      </c>
      <c r="L46" s="4">
        <v>60</v>
      </c>
      <c r="M46" s="4">
        <v>46</v>
      </c>
      <c r="N46" s="4">
        <v>176</v>
      </c>
      <c r="O46" s="4">
        <v>282</v>
      </c>
      <c r="P46" s="4">
        <v>34</v>
      </c>
      <c r="Q46" s="4">
        <v>21</v>
      </c>
      <c r="R46" s="4">
        <v>37</v>
      </c>
      <c r="S46" s="4">
        <v>15</v>
      </c>
      <c r="T46" s="4">
        <v>107</v>
      </c>
      <c r="U46" s="4">
        <v>52</v>
      </c>
    </row>
    <row r="47" spans="1:21" ht="13.2" x14ac:dyDescent="0.25">
      <c r="A47" s="3">
        <v>43936</v>
      </c>
      <c r="B47" s="4">
        <v>469</v>
      </c>
      <c r="C47" s="4">
        <v>446</v>
      </c>
      <c r="D47" s="4">
        <v>4221</v>
      </c>
      <c r="E47" s="4">
        <v>5136</v>
      </c>
      <c r="F47" s="4">
        <v>246</v>
      </c>
      <c r="G47" s="4">
        <v>164</v>
      </c>
      <c r="H47" s="4">
        <v>613</v>
      </c>
      <c r="I47" s="4">
        <v>1424</v>
      </c>
      <c r="J47" s="4">
        <v>2447</v>
      </c>
      <c r="K47" s="4">
        <v>2037</v>
      </c>
      <c r="L47" s="4">
        <v>10</v>
      </c>
      <c r="M47" s="4">
        <v>20</v>
      </c>
      <c r="N47" s="4">
        <v>267</v>
      </c>
      <c r="O47" s="4">
        <v>297</v>
      </c>
      <c r="P47" s="4">
        <v>3</v>
      </c>
      <c r="Q47" s="4">
        <v>1</v>
      </c>
      <c r="R47" s="4">
        <v>55</v>
      </c>
      <c r="S47" s="4">
        <v>39</v>
      </c>
      <c r="T47" s="4">
        <v>98</v>
      </c>
      <c r="U47" s="4">
        <v>94</v>
      </c>
    </row>
    <row r="48" spans="1:21" ht="13.2" x14ac:dyDescent="0.25">
      <c r="A48" s="3">
        <v>43937</v>
      </c>
      <c r="B48" s="4">
        <v>496</v>
      </c>
      <c r="C48" s="4">
        <v>548</v>
      </c>
      <c r="D48" s="4">
        <v>4472</v>
      </c>
      <c r="E48" s="4">
        <v>5516</v>
      </c>
      <c r="F48" s="4">
        <v>248</v>
      </c>
      <c r="G48" s="4">
        <v>202</v>
      </c>
      <c r="H48" s="4">
        <v>619</v>
      </c>
      <c r="I48" s="4">
        <v>1601</v>
      </c>
      <c r="J48" s="4">
        <v>2670</v>
      </c>
      <c r="K48" s="4">
        <v>2220</v>
      </c>
      <c r="L48" s="4">
        <v>27</v>
      </c>
      <c r="M48" s="4">
        <v>102</v>
      </c>
      <c r="N48" s="4">
        <v>251</v>
      </c>
      <c r="O48" s="4">
        <v>380</v>
      </c>
      <c r="P48" s="4">
        <v>2</v>
      </c>
      <c r="Q48" s="4">
        <v>38</v>
      </c>
      <c r="R48" s="4">
        <v>6</v>
      </c>
      <c r="S48" s="4">
        <v>177</v>
      </c>
      <c r="T48" s="4">
        <v>223</v>
      </c>
      <c r="U48" s="4">
        <v>183</v>
      </c>
    </row>
    <row r="49" spans="1:21" ht="13.2" x14ac:dyDescent="0.25">
      <c r="A49" s="3">
        <v>43938</v>
      </c>
      <c r="B49" s="4">
        <v>520</v>
      </c>
      <c r="C49" s="4">
        <v>607</v>
      </c>
      <c r="D49" s="4">
        <v>4796</v>
      </c>
      <c r="E49" s="4">
        <v>5923</v>
      </c>
      <c r="F49" s="4">
        <v>250</v>
      </c>
      <c r="G49" s="4">
        <v>203</v>
      </c>
      <c r="H49" s="4">
        <v>643</v>
      </c>
      <c r="I49" s="4">
        <v>1727</v>
      </c>
      <c r="J49" s="4">
        <v>2823</v>
      </c>
      <c r="K49" s="4">
        <v>2370</v>
      </c>
      <c r="L49" s="4">
        <v>24</v>
      </c>
      <c r="M49" s="4">
        <v>59</v>
      </c>
      <c r="N49" s="4">
        <v>324</v>
      </c>
      <c r="O49" s="4">
        <v>407</v>
      </c>
      <c r="P49" s="4">
        <v>2</v>
      </c>
      <c r="Q49" s="4">
        <v>1</v>
      </c>
      <c r="R49" s="4">
        <v>24</v>
      </c>
      <c r="S49" s="4">
        <v>126</v>
      </c>
      <c r="T49" s="4">
        <v>153</v>
      </c>
      <c r="U49" s="4">
        <v>150</v>
      </c>
    </row>
    <row r="50" spans="1:21" ht="13.2" x14ac:dyDescent="0.25">
      <c r="A50" s="3">
        <v>43939</v>
      </c>
      <c r="B50" s="4">
        <v>535</v>
      </c>
      <c r="C50" s="4">
        <v>631</v>
      </c>
      <c r="D50" s="4">
        <v>5082</v>
      </c>
      <c r="E50" s="4">
        <v>6248</v>
      </c>
      <c r="F50" s="4">
        <v>257</v>
      </c>
      <c r="G50" s="4">
        <v>206</v>
      </c>
      <c r="H50" s="4">
        <v>670</v>
      </c>
      <c r="I50" s="4">
        <v>1769</v>
      </c>
      <c r="J50" s="4">
        <v>2902</v>
      </c>
      <c r="K50" s="4">
        <v>2439</v>
      </c>
      <c r="L50" s="4">
        <v>15</v>
      </c>
      <c r="M50" s="4">
        <v>24</v>
      </c>
      <c r="N50" s="4">
        <v>286</v>
      </c>
      <c r="O50" s="4">
        <v>325</v>
      </c>
      <c r="P50" s="4">
        <v>7</v>
      </c>
      <c r="Q50" s="4">
        <v>3</v>
      </c>
      <c r="R50" s="4">
        <v>27</v>
      </c>
      <c r="S50" s="4">
        <v>42</v>
      </c>
      <c r="T50" s="4">
        <v>79</v>
      </c>
      <c r="U50" s="4">
        <v>69</v>
      </c>
    </row>
    <row r="51" spans="1:21" ht="13.2" x14ac:dyDescent="0.25">
      <c r="A51" s="3">
        <v>43940</v>
      </c>
      <c r="B51" s="4">
        <v>582</v>
      </c>
      <c r="C51" s="4">
        <v>686</v>
      </c>
      <c r="D51" s="4">
        <v>5307</v>
      </c>
      <c r="E51" s="4">
        <v>6575</v>
      </c>
      <c r="F51" s="4">
        <v>292</v>
      </c>
      <c r="G51" s="4">
        <v>207</v>
      </c>
      <c r="H51" s="4">
        <v>695</v>
      </c>
      <c r="I51" s="4">
        <v>1839</v>
      </c>
      <c r="J51" s="4">
        <v>3033</v>
      </c>
      <c r="K51" s="4">
        <v>2534</v>
      </c>
      <c r="L51" s="4">
        <v>47</v>
      </c>
      <c r="M51" s="4">
        <v>55</v>
      </c>
      <c r="N51" s="4">
        <v>225</v>
      </c>
      <c r="O51" s="4">
        <v>327</v>
      </c>
      <c r="P51" s="4">
        <v>35</v>
      </c>
      <c r="Q51" s="4">
        <v>1</v>
      </c>
      <c r="R51" s="4">
        <v>25</v>
      </c>
      <c r="S51" s="4">
        <v>70</v>
      </c>
      <c r="T51" s="4">
        <v>131</v>
      </c>
      <c r="U51" s="4">
        <v>95</v>
      </c>
    </row>
    <row r="52" spans="1:21" ht="13.2" x14ac:dyDescent="0.25">
      <c r="A52" s="3">
        <v>43941</v>
      </c>
      <c r="B52" s="4">
        <v>590</v>
      </c>
      <c r="C52" s="4">
        <v>747</v>
      </c>
      <c r="D52" s="4">
        <v>5423</v>
      </c>
      <c r="E52" s="4">
        <v>6760</v>
      </c>
      <c r="F52" s="4">
        <v>297</v>
      </c>
      <c r="G52" s="4">
        <v>237</v>
      </c>
      <c r="H52" s="4">
        <v>752</v>
      </c>
      <c r="I52" s="4">
        <v>1826</v>
      </c>
      <c r="J52" s="4">
        <v>3112</v>
      </c>
      <c r="K52" s="4">
        <v>2578</v>
      </c>
      <c r="L52" s="4">
        <v>8</v>
      </c>
      <c r="M52" s="4">
        <v>61</v>
      </c>
      <c r="N52" s="4">
        <v>116</v>
      </c>
      <c r="O52" s="4">
        <v>185</v>
      </c>
      <c r="P52" s="4">
        <v>5</v>
      </c>
      <c r="Q52" s="4">
        <v>30</v>
      </c>
      <c r="R52" s="4">
        <v>57</v>
      </c>
      <c r="S52" s="4">
        <v>-13</v>
      </c>
      <c r="T52" s="4">
        <v>79</v>
      </c>
      <c r="U52" s="4">
        <v>44</v>
      </c>
    </row>
    <row r="53" spans="1:21" ht="13.2" x14ac:dyDescent="0.25">
      <c r="A53" s="3">
        <v>43942</v>
      </c>
      <c r="B53" s="4">
        <v>616</v>
      </c>
      <c r="C53" s="4">
        <v>842</v>
      </c>
      <c r="D53" s="4">
        <v>5677</v>
      </c>
      <c r="E53" s="4">
        <v>7135</v>
      </c>
      <c r="F53" s="4">
        <v>305</v>
      </c>
      <c r="G53" s="4">
        <v>286</v>
      </c>
      <c r="H53" s="4">
        <v>753</v>
      </c>
      <c r="I53" s="4">
        <v>1935</v>
      </c>
      <c r="J53" s="4">
        <v>3279</v>
      </c>
      <c r="K53" s="4">
        <v>2688</v>
      </c>
      <c r="L53" s="4">
        <v>26</v>
      </c>
      <c r="M53" s="4">
        <v>95</v>
      </c>
      <c r="N53" s="4">
        <v>254</v>
      </c>
      <c r="O53" s="4">
        <v>375</v>
      </c>
      <c r="P53" s="4">
        <v>8</v>
      </c>
      <c r="Q53" s="4">
        <v>49</v>
      </c>
      <c r="R53" s="4">
        <v>1</v>
      </c>
      <c r="S53" s="4">
        <v>109</v>
      </c>
      <c r="T53" s="4">
        <v>167</v>
      </c>
      <c r="U53" s="4">
        <v>110</v>
      </c>
    </row>
    <row r="54" spans="1:21" ht="13.2" x14ac:dyDescent="0.25">
      <c r="A54" s="3">
        <v>43943</v>
      </c>
      <c r="B54" s="4">
        <v>635</v>
      </c>
      <c r="C54" s="4">
        <v>913</v>
      </c>
      <c r="D54" s="4">
        <v>5870</v>
      </c>
      <c r="E54" s="4">
        <v>7418</v>
      </c>
      <c r="F54" s="4">
        <v>308</v>
      </c>
      <c r="G54" s="4">
        <v>291</v>
      </c>
      <c r="H54" s="4">
        <v>815</v>
      </c>
      <c r="I54" s="4">
        <v>1985</v>
      </c>
      <c r="J54" s="4">
        <v>3399</v>
      </c>
      <c r="K54" s="4">
        <v>2800</v>
      </c>
      <c r="L54" s="4">
        <v>19</v>
      </c>
      <c r="M54" s="4">
        <v>71</v>
      </c>
      <c r="N54" s="4">
        <v>193</v>
      </c>
      <c r="O54" s="4">
        <v>283</v>
      </c>
      <c r="P54" s="4">
        <v>3</v>
      </c>
      <c r="Q54" s="4">
        <v>5</v>
      </c>
      <c r="R54" s="4">
        <v>62</v>
      </c>
      <c r="S54" s="4">
        <v>50</v>
      </c>
      <c r="T54" s="4">
        <v>120</v>
      </c>
      <c r="U54" s="4">
        <v>112</v>
      </c>
    </row>
    <row r="55" spans="1:21" ht="13.2" x14ac:dyDescent="0.25">
      <c r="A55" s="3">
        <v>43944</v>
      </c>
      <c r="B55" s="4">
        <v>647</v>
      </c>
      <c r="C55" s="4">
        <v>960</v>
      </c>
      <c r="D55" s="4">
        <v>6168</v>
      </c>
      <c r="E55" s="4">
        <v>7775</v>
      </c>
      <c r="F55" s="4">
        <v>316</v>
      </c>
      <c r="G55" s="4">
        <v>292</v>
      </c>
      <c r="H55" s="4">
        <v>888</v>
      </c>
      <c r="I55" s="4">
        <v>2010</v>
      </c>
      <c r="J55" s="4">
        <v>3506</v>
      </c>
      <c r="K55" s="4">
        <v>2898</v>
      </c>
      <c r="L55" s="4">
        <v>12</v>
      </c>
      <c r="M55" s="4">
        <v>47</v>
      </c>
      <c r="N55" s="4">
        <v>298</v>
      </c>
      <c r="O55" s="4">
        <v>357</v>
      </c>
      <c r="P55" s="4">
        <v>8</v>
      </c>
      <c r="Q55" s="4">
        <v>1</v>
      </c>
      <c r="R55" s="4">
        <v>73</v>
      </c>
      <c r="S55" s="4">
        <v>25</v>
      </c>
      <c r="T55" s="4">
        <v>107</v>
      </c>
      <c r="U55" s="4">
        <v>98</v>
      </c>
    </row>
    <row r="56" spans="1:21" ht="13.2" x14ac:dyDescent="0.25">
      <c r="A56" s="3">
        <v>43945</v>
      </c>
      <c r="B56" s="4">
        <v>689</v>
      </c>
      <c r="C56" s="4">
        <v>1002</v>
      </c>
      <c r="D56" s="4">
        <v>6520</v>
      </c>
      <c r="E56" s="4">
        <v>8211</v>
      </c>
      <c r="F56" s="4">
        <v>331</v>
      </c>
      <c r="G56" s="4">
        <v>327</v>
      </c>
      <c r="H56" s="4">
        <v>959</v>
      </c>
      <c r="I56" s="4">
        <v>1988</v>
      </c>
      <c r="J56" s="4">
        <v>3605</v>
      </c>
      <c r="K56" s="4">
        <v>2947</v>
      </c>
      <c r="L56" s="4">
        <v>42</v>
      </c>
      <c r="M56" s="4">
        <v>42</v>
      </c>
      <c r="N56" s="4">
        <v>352</v>
      </c>
      <c r="O56" s="4">
        <v>436</v>
      </c>
      <c r="P56" s="4">
        <v>15</v>
      </c>
      <c r="Q56" s="4">
        <v>35</v>
      </c>
      <c r="R56" s="4">
        <v>71</v>
      </c>
      <c r="S56" s="4">
        <v>-22</v>
      </c>
      <c r="T56" s="4">
        <v>99</v>
      </c>
      <c r="U56" s="4">
        <v>49</v>
      </c>
    </row>
    <row r="57" spans="1:21" ht="13.2" x14ac:dyDescent="0.25">
      <c r="A57" s="3">
        <v>43946</v>
      </c>
      <c r="B57" s="4">
        <v>720</v>
      </c>
      <c r="C57" s="4">
        <v>1042</v>
      </c>
      <c r="D57" s="4">
        <v>6845</v>
      </c>
      <c r="E57" s="4">
        <v>8607</v>
      </c>
      <c r="F57" s="4">
        <v>350</v>
      </c>
      <c r="G57" s="4">
        <v>334</v>
      </c>
      <c r="H57" s="4">
        <v>1050</v>
      </c>
      <c r="I57" s="4">
        <v>1947</v>
      </c>
      <c r="J57" s="4">
        <v>3681</v>
      </c>
      <c r="K57" s="4">
        <v>2997</v>
      </c>
      <c r="L57" s="4">
        <v>31</v>
      </c>
      <c r="M57" s="4">
        <v>40</v>
      </c>
      <c r="N57" s="4">
        <v>325</v>
      </c>
      <c r="O57" s="4">
        <v>396</v>
      </c>
      <c r="P57" s="4">
        <v>19</v>
      </c>
      <c r="Q57" s="4">
        <v>7</v>
      </c>
      <c r="R57" s="4">
        <v>91</v>
      </c>
      <c r="S57" s="4">
        <v>-41</v>
      </c>
      <c r="T57" s="4">
        <v>76</v>
      </c>
      <c r="U57" s="4">
        <v>50</v>
      </c>
    </row>
    <row r="58" spans="1:21" ht="13.2" x14ac:dyDescent="0.25">
      <c r="A58" s="3">
        <v>43947</v>
      </c>
      <c r="B58" s="4">
        <v>743</v>
      </c>
      <c r="C58" s="4">
        <v>1107</v>
      </c>
      <c r="D58" s="4">
        <v>7032</v>
      </c>
      <c r="E58" s="4">
        <v>8882</v>
      </c>
      <c r="F58" s="4">
        <v>357</v>
      </c>
      <c r="G58" s="4">
        <v>338</v>
      </c>
      <c r="H58" s="4">
        <v>1099</v>
      </c>
      <c r="I58" s="4">
        <v>1952</v>
      </c>
      <c r="J58" s="4">
        <v>3746</v>
      </c>
      <c r="K58" s="4">
        <v>3051</v>
      </c>
      <c r="L58" s="4">
        <v>23</v>
      </c>
      <c r="M58" s="4">
        <v>65</v>
      </c>
      <c r="N58" s="4">
        <v>187</v>
      </c>
      <c r="O58" s="4">
        <v>275</v>
      </c>
      <c r="P58" s="4">
        <v>7</v>
      </c>
      <c r="Q58" s="4">
        <v>4</v>
      </c>
      <c r="R58" s="4">
        <v>49</v>
      </c>
      <c r="S58" s="4">
        <v>5</v>
      </c>
      <c r="T58" s="4">
        <v>65</v>
      </c>
      <c r="U58" s="4">
        <v>54</v>
      </c>
    </row>
    <row r="59" spans="1:21" ht="13.2" x14ac:dyDescent="0.25">
      <c r="A59" s="3">
        <v>43948</v>
      </c>
      <c r="B59" s="4">
        <v>765</v>
      </c>
      <c r="C59" s="4">
        <v>1151</v>
      </c>
      <c r="D59" s="4">
        <v>7180</v>
      </c>
      <c r="E59" s="4">
        <v>9096</v>
      </c>
      <c r="F59" s="4">
        <v>375</v>
      </c>
      <c r="G59" s="4">
        <v>338</v>
      </c>
      <c r="H59" s="4">
        <v>1169</v>
      </c>
      <c r="I59" s="4">
        <v>1950</v>
      </c>
      <c r="J59" s="4">
        <v>3832</v>
      </c>
      <c r="K59" s="4">
        <v>3119</v>
      </c>
      <c r="L59" s="4">
        <v>22</v>
      </c>
      <c r="M59" s="4">
        <v>44</v>
      </c>
      <c r="N59" s="4">
        <v>148</v>
      </c>
      <c r="O59" s="4">
        <v>214</v>
      </c>
      <c r="P59" s="4">
        <v>18</v>
      </c>
      <c r="Q59" s="4">
        <v>0</v>
      </c>
      <c r="R59" s="4">
        <v>70</v>
      </c>
      <c r="S59" s="4">
        <v>-2</v>
      </c>
      <c r="T59" s="4">
        <v>86</v>
      </c>
      <c r="U59" s="4">
        <v>68</v>
      </c>
    </row>
    <row r="60" spans="1:21" ht="13.2" x14ac:dyDescent="0.25">
      <c r="A60" s="3">
        <v>43949</v>
      </c>
      <c r="B60" s="4">
        <v>773</v>
      </c>
      <c r="C60" s="4">
        <v>1254</v>
      </c>
      <c r="D60" s="4">
        <v>7484</v>
      </c>
      <c r="E60" s="4">
        <v>9511</v>
      </c>
      <c r="F60" s="4">
        <v>379</v>
      </c>
      <c r="G60" s="4">
        <v>341</v>
      </c>
      <c r="H60" s="4">
        <v>1206</v>
      </c>
      <c r="I60" s="4">
        <v>2024</v>
      </c>
      <c r="J60" s="4">
        <v>3950</v>
      </c>
      <c r="K60" s="4">
        <v>3230</v>
      </c>
      <c r="L60" s="4">
        <v>8</v>
      </c>
      <c r="M60" s="4">
        <v>103</v>
      </c>
      <c r="N60" s="4">
        <v>304</v>
      </c>
      <c r="O60" s="4">
        <v>415</v>
      </c>
      <c r="P60" s="4">
        <v>4</v>
      </c>
      <c r="Q60" s="4">
        <v>3</v>
      </c>
      <c r="R60" s="4">
        <v>37</v>
      </c>
      <c r="S60" s="4">
        <v>74</v>
      </c>
      <c r="T60" s="4">
        <v>118</v>
      </c>
      <c r="U60" s="4">
        <v>111</v>
      </c>
    </row>
    <row r="61" spans="1:21" ht="13.2" x14ac:dyDescent="0.25">
      <c r="A61" s="3">
        <v>43950</v>
      </c>
      <c r="B61" s="4">
        <v>784</v>
      </c>
      <c r="C61" s="4">
        <v>1391</v>
      </c>
      <c r="D61" s="4">
        <v>7596</v>
      </c>
      <c r="E61" s="4">
        <v>9771</v>
      </c>
      <c r="F61" s="4">
        <v>381</v>
      </c>
      <c r="G61" s="4">
        <v>412</v>
      </c>
      <c r="H61" s="4">
        <v>1238</v>
      </c>
      <c r="I61" s="4">
        <v>2002</v>
      </c>
      <c r="J61" s="4">
        <v>4033</v>
      </c>
      <c r="K61" s="4">
        <v>3240</v>
      </c>
      <c r="L61" s="4">
        <v>11</v>
      </c>
      <c r="M61" s="4">
        <v>137</v>
      </c>
      <c r="N61" s="4">
        <v>112</v>
      </c>
      <c r="O61" s="4">
        <v>260</v>
      </c>
      <c r="P61" s="4">
        <v>2</v>
      </c>
      <c r="Q61" s="4">
        <v>71</v>
      </c>
      <c r="R61" s="4">
        <v>32</v>
      </c>
      <c r="S61" s="4">
        <v>-22</v>
      </c>
      <c r="T61" s="4">
        <v>83</v>
      </c>
      <c r="U61" s="4">
        <v>10</v>
      </c>
    </row>
    <row r="62" spans="1:21" ht="13.2" x14ac:dyDescent="0.25">
      <c r="A62" s="3">
        <v>43951</v>
      </c>
      <c r="B62" s="4">
        <v>792</v>
      </c>
      <c r="C62" s="4">
        <v>1522</v>
      </c>
      <c r="D62" s="4">
        <v>7804</v>
      </c>
      <c r="E62" s="4">
        <v>10118</v>
      </c>
      <c r="F62" s="4">
        <v>381</v>
      </c>
      <c r="G62" s="4">
        <v>412</v>
      </c>
      <c r="H62" s="4">
        <v>1272</v>
      </c>
      <c r="I62" s="4">
        <v>2073</v>
      </c>
      <c r="J62" s="4">
        <v>4138</v>
      </c>
      <c r="K62" s="4">
        <v>3345</v>
      </c>
      <c r="L62" s="4">
        <v>8</v>
      </c>
      <c r="M62" s="4">
        <v>131</v>
      </c>
      <c r="N62" s="4">
        <v>208</v>
      </c>
      <c r="O62" s="4">
        <v>347</v>
      </c>
      <c r="P62" s="4">
        <v>0</v>
      </c>
      <c r="Q62" s="4">
        <v>0</v>
      </c>
      <c r="R62" s="4">
        <v>34</v>
      </c>
      <c r="S62" s="4">
        <v>71</v>
      </c>
      <c r="T62" s="4">
        <v>105</v>
      </c>
      <c r="U62" s="4">
        <v>105</v>
      </c>
    </row>
    <row r="63" spans="1:21" ht="13.2" x14ac:dyDescent="0.25">
      <c r="A63" s="3">
        <v>43952</v>
      </c>
      <c r="B63" s="4">
        <v>800</v>
      </c>
      <c r="C63" s="4">
        <v>1591</v>
      </c>
      <c r="D63" s="4">
        <v>8160</v>
      </c>
      <c r="E63" s="4">
        <v>10551</v>
      </c>
      <c r="F63" s="4">
        <v>393</v>
      </c>
      <c r="G63" s="4">
        <v>427</v>
      </c>
      <c r="H63" s="4">
        <v>1312</v>
      </c>
      <c r="I63" s="4">
        <v>2151</v>
      </c>
      <c r="J63" s="4">
        <v>4283</v>
      </c>
      <c r="K63" s="4">
        <v>3463</v>
      </c>
      <c r="L63" s="4">
        <v>8</v>
      </c>
      <c r="M63" s="4">
        <v>69</v>
      </c>
      <c r="N63" s="4">
        <v>356</v>
      </c>
      <c r="O63" s="4">
        <v>433</v>
      </c>
      <c r="P63" s="4">
        <v>12</v>
      </c>
      <c r="Q63" s="4">
        <v>15</v>
      </c>
      <c r="R63" s="4">
        <v>40</v>
      </c>
      <c r="S63" s="4">
        <v>78</v>
      </c>
      <c r="T63" s="4">
        <v>145</v>
      </c>
      <c r="U63" s="4">
        <v>118</v>
      </c>
    </row>
    <row r="64" spans="1:21" ht="13.2" x14ac:dyDescent="0.25">
      <c r="A64" s="3">
        <v>43953</v>
      </c>
      <c r="B64" s="4">
        <v>831</v>
      </c>
      <c r="C64" s="4">
        <v>1665</v>
      </c>
      <c r="D64" s="4">
        <v>8347</v>
      </c>
      <c r="E64" s="4">
        <v>10843</v>
      </c>
      <c r="F64" s="4">
        <v>400</v>
      </c>
      <c r="G64" s="4">
        <v>562</v>
      </c>
      <c r="H64" s="4">
        <v>1304</v>
      </c>
      <c r="I64" s="4">
        <v>2089</v>
      </c>
      <c r="J64" s="4">
        <v>4355</v>
      </c>
      <c r="K64" s="4">
        <v>3393</v>
      </c>
      <c r="L64" s="4">
        <v>31</v>
      </c>
      <c r="M64" s="4">
        <v>74</v>
      </c>
      <c r="N64" s="4">
        <v>187</v>
      </c>
      <c r="O64" s="4">
        <v>292</v>
      </c>
      <c r="P64" s="4">
        <v>7</v>
      </c>
      <c r="Q64" s="4">
        <v>135</v>
      </c>
      <c r="R64" s="4">
        <v>-8</v>
      </c>
      <c r="S64" s="4">
        <v>-62</v>
      </c>
      <c r="T64" s="4">
        <v>72</v>
      </c>
      <c r="U64" s="4">
        <v>-70</v>
      </c>
    </row>
    <row r="65" spans="1:21" ht="13.2" x14ac:dyDescent="0.25">
      <c r="A65" s="3">
        <v>43954</v>
      </c>
      <c r="B65" s="4">
        <v>845</v>
      </c>
      <c r="C65" s="4">
        <v>1876</v>
      </c>
      <c r="D65" s="4">
        <v>8471</v>
      </c>
      <c r="E65" s="4">
        <v>11192</v>
      </c>
      <c r="F65" s="4">
        <v>410</v>
      </c>
      <c r="G65" s="4">
        <v>622</v>
      </c>
      <c r="H65" s="4">
        <v>1323</v>
      </c>
      <c r="I65" s="4">
        <v>2062</v>
      </c>
      <c r="J65" s="4">
        <v>4417</v>
      </c>
      <c r="K65" s="4">
        <v>3385</v>
      </c>
      <c r="L65" s="4">
        <v>14</v>
      </c>
      <c r="M65" s="4">
        <v>211</v>
      </c>
      <c r="N65" s="4">
        <v>124</v>
      </c>
      <c r="O65" s="4">
        <v>349</v>
      </c>
      <c r="P65" s="4">
        <v>10</v>
      </c>
      <c r="Q65" s="4">
        <v>60</v>
      </c>
      <c r="R65" s="4">
        <v>19</v>
      </c>
      <c r="S65" s="4">
        <v>-27</v>
      </c>
      <c r="T65" s="4">
        <v>62</v>
      </c>
      <c r="U65" s="4">
        <v>-8</v>
      </c>
    </row>
    <row r="66" spans="1:21" ht="13.2" x14ac:dyDescent="0.25">
      <c r="A66" s="3">
        <v>43955</v>
      </c>
      <c r="B66" s="4">
        <v>864</v>
      </c>
      <c r="C66" s="4">
        <v>1954</v>
      </c>
      <c r="D66" s="4">
        <v>8769</v>
      </c>
      <c r="E66" s="4">
        <v>11587</v>
      </c>
      <c r="F66" s="4">
        <v>412</v>
      </c>
      <c r="G66" s="4">
        <v>650</v>
      </c>
      <c r="H66" s="4">
        <v>1330</v>
      </c>
      <c r="I66" s="4">
        <v>2080</v>
      </c>
      <c r="J66" s="4">
        <v>4472</v>
      </c>
      <c r="K66" s="4">
        <v>3410</v>
      </c>
      <c r="L66" s="4">
        <v>19</v>
      </c>
      <c r="M66" s="4">
        <v>78</v>
      </c>
      <c r="N66" s="4">
        <v>298</v>
      </c>
      <c r="O66" s="4">
        <v>395</v>
      </c>
      <c r="P66" s="4">
        <v>2</v>
      </c>
      <c r="Q66" s="4">
        <v>28</v>
      </c>
      <c r="R66" s="4">
        <v>7</v>
      </c>
      <c r="S66" s="4">
        <v>18</v>
      </c>
      <c r="T66" s="4">
        <v>55</v>
      </c>
      <c r="U66" s="4">
        <v>25</v>
      </c>
    </row>
    <row r="67" spans="1:21" ht="13.2" x14ac:dyDescent="0.25">
      <c r="A67" s="3">
        <v>43956</v>
      </c>
      <c r="B67" s="4">
        <v>872</v>
      </c>
      <c r="C67" s="4">
        <v>2197</v>
      </c>
      <c r="D67" s="4">
        <v>9002</v>
      </c>
      <c r="E67" s="4">
        <v>12071</v>
      </c>
      <c r="F67" s="4">
        <v>414</v>
      </c>
      <c r="G67" s="4">
        <v>711</v>
      </c>
      <c r="H67" s="4">
        <v>1370</v>
      </c>
      <c r="I67" s="4">
        <v>2146</v>
      </c>
      <c r="J67" s="4">
        <v>4641</v>
      </c>
      <c r="K67" s="4">
        <v>3516</v>
      </c>
      <c r="L67" s="4">
        <v>8</v>
      </c>
      <c r="M67" s="4">
        <v>243</v>
      </c>
      <c r="N67" s="4">
        <v>233</v>
      </c>
      <c r="O67" s="4">
        <v>484</v>
      </c>
      <c r="P67" s="4">
        <v>2</v>
      </c>
      <c r="Q67" s="4">
        <v>61</v>
      </c>
      <c r="R67" s="4">
        <v>40</v>
      </c>
      <c r="S67" s="4">
        <v>66</v>
      </c>
      <c r="T67" s="4">
        <v>169</v>
      </c>
      <c r="U67" s="4">
        <v>106</v>
      </c>
    </row>
    <row r="68" spans="1:21" ht="13.2" x14ac:dyDescent="0.25">
      <c r="A68" s="3">
        <v>43957</v>
      </c>
      <c r="B68" s="4">
        <v>895</v>
      </c>
      <c r="C68" s="4">
        <v>2317</v>
      </c>
      <c r="D68" s="4">
        <v>9226</v>
      </c>
      <c r="E68" s="4">
        <v>12438</v>
      </c>
      <c r="F68" s="4">
        <v>420</v>
      </c>
      <c r="G68" s="4">
        <v>713</v>
      </c>
      <c r="H68" s="4">
        <v>1381</v>
      </c>
      <c r="I68" s="4">
        <v>2195</v>
      </c>
      <c r="J68" s="4">
        <v>4709</v>
      </c>
      <c r="K68" s="4">
        <v>3576</v>
      </c>
      <c r="L68" s="4">
        <v>23</v>
      </c>
      <c r="M68" s="4">
        <v>120</v>
      </c>
      <c r="N68" s="4">
        <v>224</v>
      </c>
      <c r="O68" s="4">
        <v>367</v>
      </c>
      <c r="P68" s="4">
        <v>6</v>
      </c>
      <c r="Q68" s="4">
        <v>2</v>
      </c>
      <c r="R68" s="4">
        <v>11</v>
      </c>
      <c r="S68" s="4">
        <v>49</v>
      </c>
      <c r="T68" s="4">
        <v>68</v>
      </c>
      <c r="U68" s="4">
        <v>60</v>
      </c>
    </row>
    <row r="69" spans="1:21" ht="13.2" x14ac:dyDescent="0.25">
      <c r="A69" s="3">
        <v>43958</v>
      </c>
      <c r="B69" s="4">
        <v>930</v>
      </c>
      <c r="C69" s="4">
        <v>2381</v>
      </c>
      <c r="D69" s="4">
        <v>9465</v>
      </c>
      <c r="E69" s="4">
        <v>12776</v>
      </c>
      <c r="F69" s="4">
        <v>430</v>
      </c>
      <c r="G69" s="4">
        <v>718</v>
      </c>
      <c r="H69" s="4">
        <v>1431</v>
      </c>
      <c r="I69" s="4">
        <v>2196</v>
      </c>
      <c r="J69" s="4">
        <v>4775</v>
      </c>
      <c r="K69" s="4">
        <v>3627</v>
      </c>
      <c r="L69" s="4">
        <v>35</v>
      </c>
      <c r="M69" s="4">
        <v>64</v>
      </c>
      <c r="N69" s="4">
        <v>239</v>
      </c>
      <c r="O69" s="4">
        <v>338</v>
      </c>
      <c r="P69" s="4">
        <v>10</v>
      </c>
      <c r="Q69" s="4">
        <v>5</v>
      </c>
      <c r="R69" s="4">
        <v>50</v>
      </c>
      <c r="S69" s="4">
        <v>1</v>
      </c>
      <c r="T69" s="4">
        <v>66</v>
      </c>
      <c r="U69" s="4">
        <v>51</v>
      </c>
    </row>
    <row r="70" spans="1:21" ht="13.2" x14ac:dyDescent="0.25">
      <c r="A70" s="3">
        <v>43959</v>
      </c>
      <c r="B70" s="4">
        <v>943</v>
      </c>
      <c r="C70" s="4">
        <v>2494</v>
      </c>
      <c r="D70" s="4">
        <v>9675</v>
      </c>
      <c r="E70" s="4">
        <v>13112</v>
      </c>
      <c r="F70" s="4">
        <v>431</v>
      </c>
      <c r="G70" s="4">
        <v>763</v>
      </c>
      <c r="H70" s="4">
        <v>1426</v>
      </c>
      <c r="I70" s="4">
        <v>2281</v>
      </c>
      <c r="J70" s="4">
        <v>4901</v>
      </c>
      <c r="K70" s="4">
        <v>3707</v>
      </c>
      <c r="L70" s="4">
        <v>13</v>
      </c>
      <c r="M70" s="4">
        <v>113</v>
      </c>
      <c r="N70" s="4">
        <v>210</v>
      </c>
      <c r="O70" s="4">
        <v>336</v>
      </c>
      <c r="P70" s="4">
        <v>1</v>
      </c>
      <c r="Q70" s="4">
        <v>45</v>
      </c>
      <c r="R70" s="4">
        <v>-5</v>
      </c>
      <c r="S70" s="4">
        <v>85</v>
      </c>
      <c r="T70" s="4">
        <v>126</v>
      </c>
      <c r="U70" s="4">
        <v>80</v>
      </c>
    </row>
    <row r="71" spans="1:21" ht="13.2" x14ac:dyDescent="0.25">
      <c r="A71" s="3">
        <v>43960</v>
      </c>
      <c r="B71" s="4">
        <v>959</v>
      </c>
      <c r="C71" s="4">
        <v>2607</v>
      </c>
      <c r="D71" s="4">
        <v>10079</v>
      </c>
      <c r="E71" s="4">
        <v>13645</v>
      </c>
      <c r="F71" s="4">
        <v>437</v>
      </c>
      <c r="G71" s="4">
        <v>767</v>
      </c>
      <c r="H71" s="4">
        <v>1442</v>
      </c>
      <c r="I71" s="4">
        <v>2312</v>
      </c>
      <c r="J71" s="4">
        <v>4958</v>
      </c>
      <c r="K71" s="4">
        <v>3754</v>
      </c>
      <c r="L71" s="4">
        <v>16</v>
      </c>
      <c r="M71" s="4">
        <v>113</v>
      </c>
      <c r="N71" s="4">
        <v>404</v>
      </c>
      <c r="O71" s="4">
        <v>533</v>
      </c>
      <c r="P71" s="4">
        <v>6</v>
      </c>
      <c r="Q71" s="4">
        <v>4</v>
      </c>
      <c r="R71" s="4">
        <v>16</v>
      </c>
      <c r="S71" s="4">
        <v>31</v>
      </c>
      <c r="T71" s="4">
        <v>57</v>
      </c>
      <c r="U71" s="4">
        <v>47</v>
      </c>
    </row>
    <row r="72" spans="1:21" ht="13.2" x14ac:dyDescent="0.25">
      <c r="A72" s="3">
        <v>43961</v>
      </c>
      <c r="B72" s="4">
        <v>973</v>
      </c>
      <c r="C72" s="4">
        <v>2698</v>
      </c>
      <c r="D72" s="4">
        <v>10361</v>
      </c>
      <c r="E72" s="4">
        <v>14032</v>
      </c>
      <c r="F72" s="4">
        <v>444</v>
      </c>
      <c r="G72" s="4">
        <v>803</v>
      </c>
      <c r="H72" s="4">
        <v>1533</v>
      </c>
      <c r="I72" s="4">
        <v>2360</v>
      </c>
      <c r="J72" s="4">
        <v>5140</v>
      </c>
      <c r="K72" s="4">
        <v>3893</v>
      </c>
      <c r="L72" s="4">
        <v>14</v>
      </c>
      <c r="M72" s="4">
        <v>91</v>
      </c>
      <c r="N72" s="4">
        <v>282</v>
      </c>
      <c r="O72" s="4">
        <v>387</v>
      </c>
      <c r="P72" s="4">
        <v>7</v>
      </c>
      <c r="Q72" s="4">
        <v>36</v>
      </c>
      <c r="R72" s="4">
        <v>91</v>
      </c>
      <c r="S72" s="4">
        <v>48</v>
      </c>
      <c r="T72" s="4">
        <v>182</v>
      </c>
      <c r="U72" s="4">
        <v>139</v>
      </c>
    </row>
    <row r="73" spans="1:21" ht="13.2" x14ac:dyDescent="0.25">
      <c r="A73" s="3">
        <v>43962</v>
      </c>
      <c r="B73" s="4">
        <v>991</v>
      </c>
      <c r="C73" s="4">
        <v>2881</v>
      </c>
      <c r="D73" s="4">
        <v>10393</v>
      </c>
      <c r="E73" s="4">
        <v>14265</v>
      </c>
      <c r="F73" s="4">
        <v>453</v>
      </c>
      <c r="G73" s="4">
        <v>836</v>
      </c>
      <c r="H73" s="4">
        <v>1648</v>
      </c>
      <c r="I73" s="4">
        <v>2258</v>
      </c>
      <c r="J73" s="4">
        <v>5195</v>
      </c>
      <c r="K73" s="4">
        <v>3906</v>
      </c>
      <c r="L73" s="4">
        <v>18</v>
      </c>
      <c r="M73" s="4">
        <v>183</v>
      </c>
      <c r="N73" s="4">
        <v>32</v>
      </c>
      <c r="O73" s="4">
        <v>233</v>
      </c>
      <c r="P73" s="4">
        <v>9</v>
      </c>
      <c r="Q73" s="4">
        <v>33</v>
      </c>
      <c r="R73" s="4">
        <v>115</v>
      </c>
      <c r="S73" s="4">
        <v>-102</v>
      </c>
      <c r="T73" s="4">
        <v>55</v>
      </c>
      <c r="U73" s="4">
        <v>13</v>
      </c>
    </row>
    <row r="74" spans="1:21" ht="13.2" x14ac:dyDescent="0.25">
      <c r="A74" s="3">
        <v>43963</v>
      </c>
      <c r="B74" s="4">
        <v>1007</v>
      </c>
      <c r="C74" s="4">
        <v>3063</v>
      </c>
      <c r="D74" s="4">
        <v>10679</v>
      </c>
      <c r="E74" s="4">
        <v>14749</v>
      </c>
      <c r="F74" s="4">
        <v>457</v>
      </c>
      <c r="G74" s="4">
        <v>1262</v>
      </c>
      <c r="H74" s="4">
        <v>1741</v>
      </c>
      <c r="I74" s="4">
        <v>1843</v>
      </c>
      <c r="J74" s="4">
        <v>5303</v>
      </c>
      <c r="K74" s="4">
        <v>3584</v>
      </c>
      <c r="L74" s="4">
        <v>16</v>
      </c>
      <c r="M74" s="4">
        <v>182</v>
      </c>
      <c r="N74" s="4">
        <v>286</v>
      </c>
      <c r="O74" s="4">
        <v>484</v>
      </c>
      <c r="P74" s="4">
        <v>4</v>
      </c>
      <c r="Q74" s="4">
        <v>426</v>
      </c>
      <c r="R74" s="4">
        <v>93</v>
      </c>
      <c r="S74" s="4">
        <v>-415</v>
      </c>
      <c r="T74" s="4">
        <v>108</v>
      </c>
      <c r="U74" s="4">
        <v>-322</v>
      </c>
    </row>
    <row r="75" spans="1:21" ht="13.2" x14ac:dyDescent="0.25">
      <c r="A75" s="3">
        <v>43964</v>
      </c>
      <c r="B75" s="4">
        <v>1028</v>
      </c>
      <c r="C75" s="4">
        <v>3287</v>
      </c>
      <c r="D75" s="4">
        <v>11123</v>
      </c>
      <c r="E75" s="4">
        <v>15438</v>
      </c>
      <c r="F75" s="4">
        <v>461</v>
      </c>
      <c r="G75" s="4">
        <v>1277</v>
      </c>
      <c r="H75" s="4">
        <v>1866</v>
      </c>
      <c r="I75" s="4">
        <v>1833</v>
      </c>
      <c r="J75" s="4">
        <v>5437</v>
      </c>
      <c r="K75" s="4">
        <v>3699</v>
      </c>
      <c r="L75" s="4">
        <v>21</v>
      </c>
      <c r="M75" s="4">
        <v>224</v>
      </c>
      <c r="N75" s="4">
        <v>444</v>
      </c>
      <c r="O75" s="4">
        <v>689</v>
      </c>
      <c r="P75" s="4">
        <v>4</v>
      </c>
      <c r="Q75" s="4">
        <v>15</v>
      </c>
      <c r="R75" s="4">
        <v>125</v>
      </c>
      <c r="S75" s="4">
        <v>-10</v>
      </c>
      <c r="T75" s="4">
        <v>134</v>
      </c>
      <c r="U75" s="4">
        <v>115</v>
      </c>
    </row>
    <row r="76" spans="1:21" ht="13.2" x14ac:dyDescent="0.25">
      <c r="A76" s="3">
        <v>43965</v>
      </c>
      <c r="B76" s="4">
        <v>1043</v>
      </c>
      <c r="C76" s="4">
        <v>3518</v>
      </c>
      <c r="D76" s="4">
        <v>11445</v>
      </c>
      <c r="E76" s="4">
        <v>16006</v>
      </c>
      <c r="F76" s="4">
        <v>466</v>
      </c>
      <c r="G76" s="4">
        <v>1279</v>
      </c>
      <c r="H76" s="4">
        <v>1995</v>
      </c>
      <c r="I76" s="4">
        <v>1877</v>
      </c>
      <c r="J76" s="4">
        <v>5617</v>
      </c>
      <c r="K76" s="4">
        <v>3872</v>
      </c>
      <c r="L76" s="4">
        <v>15</v>
      </c>
      <c r="M76" s="4">
        <v>231</v>
      </c>
      <c r="N76" s="4">
        <v>322</v>
      </c>
      <c r="O76" s="4">
        <v>568</v>
      </c>
      <c r="P76" s="4">
        <v>5</v>
      </c>
      <c r="Q76" s="4">
        <v>2</v>
      </c>
      <c r="R76" s="4">
        <v>129</v>
      </c>
      <c r="S76" s="4">
        <v>44</v>
      </c>
      <c r="T76" s="4">
        <v>180</v>
      </c>
      <c r="U76" s="4">
        <v>173</v>
      </c>
    </row>
    <row r="77" spans="1:21" ht="13.2" x14ac:dyDescent="0.25">
      <c r="A77" s="3">
        <v>43966</v>
      </c>
      <c r="B77" s="4">
        <v>1076</v>
      </c>
      <c r="C77" s="4">
        <v>3803</v>
      </c>
      <c r="D77" s="4">
        <v>11617</v>
      </c>
      <c r="E77" s="4">
        <v>16496</v>
      </c>
      <c r="F77" s="4">
        <v>474</v>
      </c>
      <c r="G77" s="4">
        <v>1286</v>
      </c>
      <c r="H77" s="4">
        <v>2019</v>
      </c>
      <c r="I77" s="4">
        <v>1900</v>
      </c>
      <c r="J77" s="4">
        <v>5679</v>
      </c>
      <c r="K77" s="4">
        <v>3919</v>
      </c>
      <c r="L77" s="4">
        <v>33</v>
      </c>
      <c r="M77" s="4">
        <v>285</v>
      </c>
      <c r="N77" s="4">
        <v>172</v>
      </c>
      <c r="O77" s="4">
        <v>490</v>
      </c>
      <c r="P77" s="4">
        <v>8</v>
      </c>
      <c r="Q77" s="4">
        <v>7</v>
      </c>
      <c r="R77" s="4">
        <v>24</v>
      </c>
      <c r="S77" s="4">
        <v>23</v>
      </c>
      <c r="T77" s="4">
        <v>62</v>
      </c>
      <c r="U77" s="4">
        <v>47</v>
      </c>
    </row>
    <row r="78" spans="1:21" ht="13.2" x14ac:dyDescent="0.25">
      <c r="A78" s="3">
        <v>43967</v>
      </c>
      <c r="B78" s="4">
        <v>1089</v>
      </c>
      <c r="C78" s="4">
        <v>3911</v>
      </c>
      <c r="D78" s="4">
        <v>12025</v>
      </c>
      <c r="E78" s="4">
        <v>17025</v>
      </c>
      <c r="F78" s="4">
        <v>475</v>
      </c>
      <c r="G78" s="4">
        <v>1292</v>
      </c>
      <c r="H78" s="4">
        <v>2120</v>
      </c>
      <c r="I78" s="4">
        <v>1908</v>
      </c>
      <c r="J78" s="4">
        <v>5795</v>
      </c>
      <c r="K78" s="4">
        <v>4028</v>
      </c>
      <c r="L78" s="4">
        <v>13</v>
      </c>
      <c r="M78" s="4">
        <v>108</v>
      </c>
      <c r="N78" s="4">
        <v>408</v>
      </c>
      <c r="O78" s="4">
        <v>529</v>
      </c>
      <c r="P78" s="4">
        <v>1</v>
      </c>
      <c r="Q78" s="4">
        <v>6</v>
      </c>
      <c r="R78" s="4">
        <v>101</v>
      </c>
      <c r="S78" s="4">
        <v>8</v>
      </c>
      <c r="T78" s="4">
        <v>116</v>
      </c>
      <c r="U78" s="4">
        <v>109</v>
      </c>
    </row>
    <row r="79" spans="1:21" ht="13.2" x14ac:dyDescent="0.25">
      <c r="A79" s="3">
        <v>43968</v>
      </c>
      <c r="B79" s="4">
        <v>1148</v>
      </c>
      <c r="C79" s="4">
        <v>4129</v>
      </c>
      <c r="D79" s="4">
        <v>12237</v>
      </c>
      <c r="E79" s="4">
        <v>17514</v>
      </c>
      <c r="F79" s="4">
        <v>478</v>
      </c>
      <c r="G79" s="4">
        <v>1295</v>
      </c>
      <c r="H79" s="4">
        <v>2217</v>
      </c>
      <c r="I79" s="4">
        <v>1932</v>
      </c>
      <c r="J79" s="4">
        <v>5922</v>
      </c>
      <c r="K79" s="4">
        <v>4149</v>
      </c>
      <c r="L79" s="4">
        <v>59</v>
      </c>
      <c r="M79" s="4">
        <v>218</v>
      </c>
      <c r="N79" s="4">
        <v>212</v>
      </c>
      <c r="O79" s="4">
        <v>489</v>
      </c>
      <c r="P79" s="4">
        <v>3</v>
      </c>
      <c r="Q79" s="4">
        <v>3</v>
      </c>
      <c r="R79" s="4">
        <v>97</v>
      </c>
      <c r="S79" s="4">
        <v>24</v>
      </c>
      <c r="T79" s="4">
        <v>127</v>
      </c>
      <c r="U79" s="4">
        <v>121</v>
      </c>
    </row>
    <row r="80" spans="1:21" ht="13.2" x14ac:dyDescent="0.25">
      <c r="A80" s="3">
        <v>43969</v>
      </c>
      <c r="B80" s="4">
        <v>1191</v>
      </c>
      <c r="C80" s="4">
        <v>4324</v>
      </c>
      <c r="D80" s="4">
        <v>12495</v>
      </c>
      <c r="E80" s="4">
        <v>18010</v>
      </c>
      <c r="F80" s="4">
        <v>483</v>
      </c>
      <c r="G80" s="4">
        <v>1301</v>
      </c>
      <c r="H80" s="4">
        <v>2266</v>
      </c>
      <c r="I80" s="4">
        <v>1946</v>
      </c>
      <c r="J80" s="4">
        <v>5996</v>
      </c>
      <c r="K80" s="4">
        <v>4212</v>
      </c>
      <c r="L80" s="4">
        <v>43</v>
      </c>
      <c r="M80" s="4">
        <v>195</v>
      </c>
      <c r="N80" s="4">
        <v>258</v>
      </c>
      <c r="O80" s="4">
        <v>496</v>
      </c>
      <c r="P80" s="4">
        <v>5</v>
      </c>
      <c r="Q80" s="4">
        <v>6</v>
      </c>
      <c r="R80" s="4">
        <v>49</v>
      </c>
      <c r="S80" s="4">
        <v>14</v>
      </c>
      <c r="T80" s="4">
        <v>74</v>
      </c>
      <c r="U80" s="4">
        <v>63</v>
      </c>
    </row>
    <row r="81" spans="1:21" ht="13.2" x14ac:dyDescent="0.25">
      <c r="A81" s="3">
        <v>43970</v>
      </c>
      <c r="B81" s="4">
        <v>1221</v>
      </c>
      <c r="C81" s="4">
        <v>4467</v>
      </c>
      <c r="D81" s="4">
        <v>12808</v>
      </c>
      <c r="E81" s="4">
        <v>18496</v>
      </c>
      <c r="F81" s="4">
        <v>487</v>
      </c>
      <c r="G81" s="4">
        <v>1417</v>
      </c>
      <c r="H81" s="4">
        <v>2213</v>
      </c>
      <c r="I81" s="4">
        <v>1936</v>
      </c>
      <c r="J81" s="4">
        <v>6053</v>
      </c>
      <c r="K81" s="4">
        <v>4149</v>
      </c>
      <c r="L81" s="4">
        <v>30</v>
      </c>
      <c r="M81" s="4">
        <v>143</v>
      </c>
      <c r="N81" s="4">
        <v>313</v>
      </c>
      <c r="O81" s="4">
        <v>486</v>
      </c>
      <c r="P81" s="4">
        <v>4</v>
      </c>
      <c r="Q81" s="4">
        <v>116</v>
      </c>
      <c r="R81" s="4">
        <v>-53</v>
      </c>
      <c r="S81" s="4">
        <v>-10</v>
      </c>
      <c r="T81" s="4">
        <v>57</v>
      </c>
      <c r="U81" s="4">
        <v>-63</v>
      </c>
    </row>
    <row r="82" spans="1:21" ht="13.2" x14ac:dyDescent="0.25">
      <c r="A82" s="3">
        <v>43971</v>
      </c>
      <c r="B82" s="4">
        <v>1242</v>
      </c>
      <c r="C82" s="4">
        <v>4575</v>
      </c>
      <c r="D82" s="4">
        <v>13372</v>
      </c>
      <c r="E82" s="4">
        <v>19189</v>
      </c>
      <c r="F82" s="4">
        <v>493</v>
      </c>
      <c r="G82" s="4">
        <v>1425</v>
      </c>
      <c r="H82" s="4">
        <v>2263</v>
      </c>
      <c r="I82" s="4">
        <v>1969</v>
      </c>
      <c r="J82" s="4">
        <v>6150</v>
      </c>
      <c r="K82" s="4">
        <v>4232</v>
      </c>
      <c r="L82" s="4">
        <v>21</v>
      </c>
      <c r="M82" s="4">
        <v>108</v>
      </c>
      <c r="N82" s="4">
        <v>564</v>
      </c>
      <c r="O82" s="4">
        <v>693</v>
      </c>
      <c r="P82" s="4">
        <v>6</v>
      </c>
      <c r="Q82" s="4">
        <v>8</v>
      </c>
      <c r="R82" s="4">
        <v>50</v>
      </c>
      <c r="S82" s="4">
        <v>33</v>
      </c>
      <c r="T82" s="4">
        <v>97</v>
      </c>
      <c r="U82" s="4">
        <v>83</v>
      </c>
    </row>
    <row r="83" spans="1:21" ht="13.2" x14ac:dyDescent="0.25">
      <c r="A83" s="3">
        <v>43972</v>
      </c>
      <c r="B83" s="4">
        <v>1278</v>
      </c>
      <c r="C83" s="4">
        <v>4838</v>
      </c>
      <c r="D83" s="4">
        <v>14046</v>
      </c>
      <c r="E83" s="4">
        <v>20162</v>
      </c>
      <c r="F83" s="4">
        <v>498</v>
      </c>
      <c r="G83" s="4">
        <v>1536</v>
      </c>
      <c r="H83" s="4">
        <v>2231</v>
      </c>
      <c r="I83" s="4">
        <v>1955</v>
      </c>
      <c r="J83" s="4">
        <v>6220</v>
      </c>
      <c r="K83" s="4">
        <v>4186</v>
      </c>
      <c r="L83" s="4">
        <v>36</v>
      </c>
      <c r="M83" s="4">
        <v>263</v>
      </c>
      <c r="N83" s="4">
        <v>674</v>
      </c>
      <c r="O83" s="4">
        <v>973</v>
      </c>
      <c r="P83" s="4">
        <v>5</v>
      </c>
      <c r="Q83" s="4">
        <v>111</v>
      </c>
      <c r="R83" s="4">
        <v>-32</v>
      </c>
      <c r="S83" s="4">
        <v>-14</v>
      </c>
      <c r="T83" s="4">
        <v>70</v>
      </c>
      <c r="U83" s="4">
        <v>-46</v>
      </c>
    </row>
    <row r="84" spans="1:21" ht="13.2" x14ac:dyDescent="0.25">
      <c r="A84" s="3">
        <v>43973</v>
      </c>
      <c r="B84" s="4">
        <v>1326</v>
      </c>
      <c r="C84" s="4">
        <v>5057</v>
      </c>
      <c r="D84" s="4">
        <v>14413</v>
      </c>
      <c r="E84" s="4">
        <v>20796</v>
      </c>
      <c r="F84" s="4">
        <v>501</v>
      </c>
      <c r="G84" s="4">
        <v>1558</v>
      </c>
      <c r="H84" s="4">
        <v>2282</v>
      </c>
      <c r="I84" s="4">
        <v>1975</v>
      </c>
      <c r="J84" s="4">
        <v>6316</v>
      </c>
      <c r="K84" s="4">
        <v>4257</v>
      </c>
      <c r="L84" s="4">
        <v>48</v>
      </c>
      <c r="M84" s="4">
        <v>219</v>
      </c>
      <c r="N84" s="4">
        <v>367</v>
      </c>
      <c r="O84" s="4">
        <v>634</v>
      </c>
      <c r="P84" s="4">
        <v>3</v>
      </c>
      <c r="Q84" s="4">
        <v>22</v>
      </c>
      <c r="R84" s="4">
        <v>51</v>
      </c>
      <c r="S84" s="4">
        <v>20</v>
      </c>
      <c r="T84" s="4">
        <v>96</v>
      </c>
      <c r="U84" s="4">
        <v>71</v>
      </c>
    </row>
    <row r="85" spans="1:21" ht="13.2" x14ac:dyDescent="0.25">
      <c r="A85" s="3">
        <v>43974</v>
      </c>
      <c r="B85" s="4">
        <v>1351</v>
      </c>
      <c r="C85" s="4">
        <v>5249</v>
      </c>
      <c r="D85" s="4">
        <v>15145</v>
      </c>
      <c r="E85" s="4">
        <v>21745</v>
      </c>
      <c r="F85" s="4">
        <v>504</v>
      </c>
      <c r="G85" s="4">
        <v>1587</v>
      </c>
      <c r="H85" s="4">
        <v>2346</v>
      </c>
      <c r="I85" s="4">
        <v>2006</v>
      </c>
      <c r="J85" s="4">
        <v>6443</v>
      </c>
      <c r="K85" s="4">
        <v>4352</v>
      </c>
      <c r="L85" s="4">
        <v>25</v>
      </c>
      <c r="M85" s="4">
        <v>192</v>
      </c>
      <c r="N85" s="4">
        <v>732</v>
      </c>
      <c r="O85" s="4">
        <v>949</v>
      </c>
      <c r="P85" s="4">
        <v>3</v>
      </c>
      <c r="Q85" s="4">
        <v>29</v>
      </c>
      <c r="R85" s="4">
        <v>64</v>
      </c>
      <c r="S85" s="4">
        <v>31</v>
      </c>
      <c r="T85" s="4">
        <v>127</v>
      </c>
      <c r="U85" s="4">
        <v>95</v>
      </c>
    </row>
    <row r="86" spans="1:21" ht="13.2" x14ac:dyDescent="0.25">
      <c r="A86" s="3">
        <v>43975</v>
      </c>
      <c r="B86" s="4">
        <v>1372</v>
      </c>
      <c r="C86" s="4">
        <v>5402</v>
      </c>
      <c r="D86" s="4">
        <v>15497</v>
      </c>
      <c r="E86" s="4">
        <v>22271</v>
      </c>
      <c r="F86" s="4">
        <v>505</v>
      </c>
      <c r="G86" s="4">
        <v>1594</v>
      </c>
      <c r="H86" s="4">
        <v>2431</v>
      </c>
      <c r="I86" s="4">
        <v>2031</v>
      </c>
      <c r="J86" s="4">
        <v>6561</v>
      </c>
      <c r="K86" s="4">
        <v>4462</v>
      </c>
      <c r="L86" s="4">
        <v>21</v>
      </c>
      <c r="M86" s="4">
        <v>153</v>
      </c>
      <c r="N86" s="4">
        <v>352</v>
      </c>
      <c r="O86" s="4">
        <v>526</v>
      </c>
      <c r="P86" s="4">
        <v>1</v>
      </c>
      <c r="Q86" s="4">
        <v>7</v>
      </c>
      <c r="R86" s="4">
        <v>85</v>
      </c>
      <c r="S86" s="4">
        <v>25</v>
      </c>
      <c r="T86" s="4">
        <v>118</v>
      </c>
      <c r="U86" s="4">
        <v>110</v>
      </c>
    </row>
    <row r="87" spans="1:21" ht="13.2" x14ac:dyDescent="0.25">
      <c r="A87" s="3">
        <v>43976</v>
      </c>
      <c r="B87" s="4">
        <v>1391</v>
      </c>
      <c r="C87" s="4">
        <v>5642</v>
      </c>
      <c r="D87" s="4">
        <v>15717</v>
      </c>
      <c r="E87" s="4">
        <v>22750</v>
      </c>
      <c r="F87" s="4">
        <v>506</v>
      </c>
      <c r="G87" s="4">
        <v>1648</v>
      </c>
      <c r="H87" s="4">
        <v>2430</v>
      </c>
      <c r="I87" s="4">
        <v>2044</v>
      </c>
      <c r="J87" s="4">
        <v>6628</v>
      </c>
      <c r="K87" s="4">
        <v>4474</v>
      </c>
      <c r="L87" s="4">
        <v>19</v>
      </c>
      <c r="M87" s="4">
        <v>240</v>
      </c>
      <c r="N87" s="4">
        <v>220</v>
      </c>
      <c r="O87" s="4">
        <v>479</v>
      </c>
      <c r="P87" s="4">
        <v>1</v>
      </c>
      <c r="Q87" s="4">
        <v>54</v>
      </c>
      <c r="R87" s="4">
        <v>-1</v>
      </c>
      <c r="S87" s="4">
        <v>13</v>
      </c>
      <c r="T87" s="4">
        <v>67</v>
      </c>
      <c r="U87" s="4">
        <v>12</v>
      </c>
    </row>
    <row r="88" spans="1:21" ht="13.2" x14ac:dyDescent="0.25">
      <c r="A88" s="3">
        <v>43977</v>
      </c>
      <c r="B88" s="4">
        <v>1418</v>
      </c>
      <c r="C88" s="4">
        <v>5877</v>
      </c>
      <c r="D88" s="4">
        <v>15870</v>
      </c>
      <c r="E88" s="4">
        <v>23165</v>
      </c>
      <c r="F88" s="4">
        <v>508</v>
      </c>
      <c r="G88" s="4">
        <v>1678</v>
      </c>
      <c r="H88" s="4">
        <v>2459</v>
      </c>
      <c r="I88" s="4">
        <v>2044</v>
      </c>
      <c r="J88" s="4">
        <v>6689</v>
      </c>
      <c r="K88" s="4">
        <v>4503</v>
      </c>
      <c r="L88" s="4">
        <v>27</v>
      </c>
      <c r="M88" s="4">
        <v>235</v>
      </c>
      <c r="N88" s="4">
        <v>153</v>
      </c>
      <c r="O88" s="4">
        <v>415</v>
      </c>
      <c r="P88" s="4">
        <v>2</v>
      </c>
      <c r="Q88" s="4">
        <v>30</v>
      </c>
      <c r="R88" s="4">
        <v>29</v>
      </c>
      <c r="S88" s="4">
        <v>0</v>
      </c>
      <c r="T88" s="4">
        <v>61</v>
      </c>
      <c r="U88" s="4">
        <v>29</v>
      </c>
    </row>
    <row r="89" spans="1:21" ht="13.2" x14ac:dyDescent="0.25">
      <c r="A89" s="3">
        <v>43978</v>
      </c>
      <c r="B89" s="4">
        <v>1473</v>
      </c>
      <c r="C89" s="4">
        <v>6057</v>
      </c>
      <c r="D89" s="4">
        <v>16321</v>
      </c>
      <c r="E89" s="4">
        <v>23851</v>
      </c>
      <c r="F89" s="4">
        <v>510</v>
      </c>
      <c r="G89" s="4">
        <v>1698</v>
      </c>
      <c r="H89" s="4">
        <v>2584</v>
      </c>
      <c r="I89" s="4">
        <v>2034</v>
      </c>
      <c r="J89" s="4">
        <v>6826</v>
      </c>
      <c r="K89" s="4">
        <v>4618</v>
      </c>
      <c r="L89" s="4">
        <v>55</v>
      </c>
      <c r="M89" s="4">
        <v>180</v>
      </c>
      <c r="N89" s="4">
        <v>451</v>
      </c>
      <c r="O89" s="4">
        <v>686</v>
      </c>
      <c r="P89" s="4">
        <v>2</v>
      </c>
      <c r="Q89" s="4">
        <v>20</v>
      </c>
      <c r="R89" s="4">
        <v>125</v>
      </c>
      <c r="S89" s="4">
        <v>-10</v>
      </c>
      <c r="T89" s="4">
        <v>137</v>
      </c>
      <c r="U89" s="4">
        <v>115</v>
      </c>
    </row>
    <row r="90" spans="1:21" ht="13.2" x14ac:dyDescent="0.25">
      <c r="A90" s="3">
        <v>43979</v>
      </c>
      <c r="B90" s="4">
        <v>1496</v>
      </c>
      <c r="C90" s="4">
        <v>6240</v>
      </c>
      <c r="D90" s="4">
        <v>16802</v>
      </c>
      <c r="E90" s="4">
        <v>24538</v>
      </c>
      <c r="F90" s="4">
        <v>514</v>
      </c>
      <c r="G90" s="4">
        <v>1719</v>
      </c>
      <c r="H90" s="4">
        <v>2641</v>
      </c>
      <c r="I90" s="4">
        <v>2055</v>
      </c>
      <c r="J90" s="4">
        <v>6929</v>
      </c>
      <c r="K90" s="4">
        <v>4696</v>
      </c>
      <c r="L90" s="4">
        <v>23</v>
      </c>
      <c r="M90" s="4">
        <v>183</v>
      </c>
      <c r="N90" s="4">
        <v>481</v>
      </c>
      <c r="O90" s="4">
        <v>687</v>
      </c>
      <c r="P90" s="4">
        <v>4</v>
      </c>
      <c r="Q90" s="4">
        <v>21</v>
      </c>
      <c r="R90" s="4">
        <v>57</v>
      </c>
      <c r="S90" s="4">
        <v>21</v>
      </c>
      <c r="T90" s="4">
        <v>103</v>
      </c>
      <c r="U90" s="4">
        <v>78</v>
      </c>
    </row>
    <row r="91" spans="1:21" ht="13.2" x14ac:dyDescent="0.25">
      <c r="A91" s="3">
        <v>43980</v>
      </c>
      <c r="B91" s="4">
        <v>1520</v>
      </c>
      <c r="C91" s="4">
        <v>6492</v>
      </c>
      <c r="D91" s="4">
        <v>17204</v>
      </c>
      <c r="E91" s="4">
        <v>25216</v>
      </c>
      <c r="F91" s="4">
        <v>517</v>
      </c>
      <c r="G91" s="4">
        <v>1807</v>
      </c>
      <c r="H91" s="4">
        <v>2722</v>
      </c>
      <c r="I91" s="4">
        <v>2007</v>
      </c>
      <c r="J91" s="4">
        <v>7053</v>
      </c>
      <c r="K91" s="4">
        <v>4729</v>
      </c>
      <c r="L91" s="4">
        <v>24</v>
      </c>
      <c r="M91" s="4">
        <v>252</v>
      </c>
      <c r="N91" s="4">
        <v>402</v>
      </c>
      <c r="O91" s="4">
        <v>678</v>
      </c>
      <c r="P91" s="4">
        <v>3</v>
      </c>
      <c r="Q91" s="4">
        <v>88</v>
      </c>
      <c r="R91" s="4">
        <v>81</v>
      </c>
      <c r="S91" s="4">
        <v>-48</v>
      </c>
      <c r="T91" s="4">
        <v>124</v>
      </c>
      <c r="U91" s="4">
        <v>33</v>
      </c>
    </row>
    <row r="92" spans="1:21" ht="13.2" x14ac:dyDescent="0.25">
      <c r="A92" s="3">
        <v>43981</v>
      </c>
      <c r="B92" s="4">
        <v>1573</v>
      </c>
      <c r="C92" s="4">
        <v>7015</v>
      </c>
      <c r="D92" s="4">
        <v>17185</v>
      </c>
      <c r="E92" s="4">
        <v>25773</v>
      </c>
      <c r="F92" s="4">
        <v>519</v>
      </c>
      <c r="G92" s="4">
        <v>2003</v>
      </c>
      <c r="H92" s="4">
        <v>2781</v>
      </c>
      <c r="I92" s="4">
        <v>1848</v>
      </c>
      <c r="J92" s="4">
        <v>7151</v>
      </c>
      <c r="K92" s="4">
        <v>4629</v>
      </c>
      <c r="L92" s="4">
        <v>53</v>
      </c>
      <c r="M92" s="4">
        <v>523</v>
      </c>
      <c r="N92" s="4">
        <v>-19</v>
      </c>
      <c r="O92" s="4">
        <v>557</v>
      </c>
      <c r="P92" s="4">
        <v>2</v>
      </c>
      <c r="Q92" s="4">
        <v>196</v>
      </c>
      <c r="R92" s="4">
        <v>59</v>
      </c>
      <c r="S92" s="4">
        <v>-159</v>
      </c>
      <c r="T92" s="4">
        <v>98</v>
      </c>
      <c r="U92" s="4">
        <v>-100</v>
      </c>
    </row>
    <row r="93" spans="1:21" ht="13.2" x14ac:dyDescent="0.25">
      <c r="A93" s="3">
        <v>43982</v>
      </c>
      <c r="B93" s="4">
        <v>1613</v>
      </c>
      <c r="C93" s="4">
        <v>7308</v>
      </c>
      <c r="D93" s="4">
        <v>17552</v>
      </c>
      <c r="E93" s="4">
        <v>26473</v>
      </c>
      <c r="F93" s="4">
        <v>520</v>
      </c>
      <c r="G93" s="4">
        <v>2102</v>
      </c>
      <c r="H93" s="4">
        <v>2827</v>
      </c>
      <c r="I93" s="4">
        <v>1823</v>
      </c>
      <c r="J93" s="4">
        <v>7272</v>
      </c>
      <c r="K93" s="4">
        <v>4650</v>
      </c>
      <c r="L93" s="4">
        <v>40</v>
      </c>
      <c r="M93" s="4">
        <v>293</v>
      </c>
      <c r="N93" s="4">
        <v>367</v>
      </c>
      <c r="O93" s="4">
        <v>700</v>
      </c>
      <c r="P93" s="4">
        <v>1</v>
      </c>
      <c r="Q93" s="4">
        <v>99</v>
      </c>
      <c r="R93" s="4">
        <v>46</v>
      </c>
      <c r="S93" s="4">
        <v>-25</v>
      </c>
      <c r="T93" s="4">
        <v>121</v>
      </c>
      <c r="U93" s="4">
        <v>21</v>
      </c>
    </row>
    <row r="94" spans="1:21" ht="13.2" x14ac:dyDescent="0.25">
      <c r="A94" s="3">
        <v>43983</v>
      </c>
      <c r="B94" s="4">
        <v>1641</v>
      </c>
      <c r="C94" s="4">
        <v>7637</v>
      </c>
      <c r="D94" s="4">
        <v>17662</v>
      </c>
      <c r="E94" s="4">
        <v>26940</v>
      </c>
      <c r="F94" s="4">
        <v>521</v>
      </c>
      <c r="G94" s="4">
        <v>2246</v>
      </c>
      <c r="H94" s="4">
        <v>2822</v>
      </c>
      <c r="I94" s="4">
        <v>1794</v>
      </c>
      <c r="J94" s="4">
        <v>7383</v>
      </c>
      <c r="K94" s="4">
        <v>4616</v>
      </c>
      <c r="L94" s="4">
        <v>28</v>
      </c>
      <c r="M94" s="4">
        <v>329</v>
      </c>
      <c r="N94" s="4">
        <v>110</v>
      </c>
      <c r="O94" s="4">
        <v>467</v>
      </c>
      <c r="P94" s="4">
        <v>1</v>
      </c>
      <c r="Q94" s="4">
        <v>144</v>
      </c>
      <c r="R94" s="4">
        <v>-5</v>
      </c>
      <c r="S94" s="4">
        <v>-29</v>
      </c>
      <c r="T94" s="4">
        <v>111</v>
      </c>
      <c r="U94" s="4">
        <v>-34</v>
      </c>
    </row>
    <row r="95" spans="1:21" ht="13.2" x14ac:dyDescent="0.25">
      <c r="A95" s="3">
        <v>43984</v>
      </c>
      <c r="B95" s="4">
        <v>1663</v>
      </c>
      <c r="C95" s="4">
        <v>7935</v>
      </c>
      <c r="D95" s="4">
        <v>17951</v>
      </c>
      <c r="E95" s="4">
        <v>27549</v>
      </c>
      <c r="F95" s="4">
        <v>525</v>
      </c>
      <c r="G95" s="4">
        <v>2405</v>
      </c>
      <c r="H95" s="4">
        <v>2786</v>
      </c>
      <c r="I95" s="4">
        <v>1743</v>
      </c>
      <c r="J95" s="4">
        <v>7459</v>
      </c>
      <c r="K95" s="4">
        <v>4529</v>
      </c>
      <c r="L95" s="4">
        <v>22</v>
      </c>
      <c r="M95" s="4">
        <v>298</v>
      </c>
      <c r="N95" s="4">
        <v>289</v>
      </c>
      <c r="O95" s="4">
        <v>609</v>
      </c>
      <c r="P95" s="4">
        <v>4</v>
      </c>
      <c r="Q95" s="4">
        <v>159</v>
      </c>
      <c r="R95" s="4">
        <v>-36</v>
      </c>
      <c r="S95" s="4">
        <v>-51</v>
      </c>
      <c r="T95" s="4">
        <v>76</v>
      </c>
      <c r="U95" s="4">
        <v>-87</v>
      </c>
    </row>
    <row r="96" spans="1:21" ht="13.2" x14ac:dyDescent="0.25">
      <c r="A96" s="3">
        <v>43985</v>
      </c>
      <c r="B96" s="4">
        <v>1698</v>
      </c>
      <c r="C96" s="4">
        <v>8406</v>
      </c>
      <c r="D96" s="4">
        <v>18129</v>
      </c>
      <c r="E96" s="4">
        <v>28233</v>
      </c>
      <c r="F96" s="4">
        <v>529</v>
      </c>
      <c r="G96" s="4">
        <v>2534</v>
      </c>
      <c r="H96" s="4">
        <v>2777</v>
      </c>
      <c r="I96" s="4">
        <v>1699</v>
      </c>
      <c r="J96" s="4">
        <v>7539</v>
      </c>
      <c r="K96" s="4">
        <v>4476</v>
      </c>
      <c r="L96" s="4">
        <v>35</v>
      </c>
      <c r="M96" s="4">
        <v>471</v>
      </c>
      <c r="N96" s="4">
        <v>178</v>
      </c>
      <c r="O96" s="4">
        <v>684</v>
      </c>
      <c r="P96" s="4">
        <v>4</v>
      </c>
      <c r="Q96" s="4">
        <v>129</v>
      </c>
      <c r="R96" s="4">
        <v>-9</v>
      </c>
      <c r="S96" s="4">
        <v>-44</v>
      </c>
      <c r="T96" s="4">
        <v>80</v>
      </c>
      <c r="U96" s="4">
        <v>-53</v>
      </c>
    </row>
    <row r="97" spans="1:21" ht="13.2" x14ac:dyDescent="0.25">
      <c r="A97" s="3">
        <v>43986</v>
      </c>
      <c r="B97" s="4">
        <v>1721</v>
      </c>
      <c r="C97" s="4">
        <v>8892</v>
      </c>
      <c r="D97" s="4">
        <v>18205</v>
      </c>
      <c r="E97" s="4">
        <v>28818</v>
      </c>
      <c r="F97" s="4">
        <v>530</v>
      </c>
      <c r="G97" s="4">
        <v>2607</v>
      </c>
      <c r="H97" s="4">
        <v>2793</v>
      </c>
      <c r="I97" s="4">
        <v>1670</v>
      </c>
      <c r="J97" s="4">
        <v>7600</v>
      </c>
      <c r="K97" s="4">
        <v>4463</v>
      </c>
      <c r="L97" s="4">
        <v>23</v>
      </c>
      <c r="M97" s="4">
        <v>486</v>
      </c>
      <c r="N97" s="4">
        <v>76</v>
      </c>
      <c r="O97" s="4">
        <v>585</v>
      </c>
      <c r="P97" s="4">
        <v>1</v>
      </c>
      <c r="Q97" s="4">
        <v>73</v>
      </c>
      <c r="R97" s="4">
        <v>16</v>
      </c>
      <c r="S97" s="4">
        <v>-29</v>
      </c>
      <c r="T97" s="4">
        <v>61</v>
      </c>
      <c r="U97" s="4">
        <v>-13</v>
      </c>
    </row>
    <row r="98" spans="1:21" ht="13.2" x14ac:dyDescent="0.25">
      <c r="A98" s="3">
        <v>43987</v>
      </c>
      <c r="B98" s="4">
        <v>1770</v>
      </c>
      <c r="C98" s="4">
        <v>9443</v>
      </c>
      <c r="D98" s="4">
        <v>18308</v>
      </c>
      <c r="E98" s="4">
        <v>29521</v>
      </c>
      <c r="F98" s="4">
        <v>532</v>
      </c>
      <c r="G98" s="4">
        <v>2751</v>
      </c>
      <c r="H98" s="4">
        <v>2768</v>
      </c>
      <c r="I98" s="4">
        <v>1633</v>
      </c>
      <c r="J98" s="4">
        <v>7684</v>
      </c>
      <c r="K98" s="4">
        <v>4401</v>
      </c>
      <c r="L98" s="4">
        <v>49</v>
      </c>
      <c r="M98" s="4">
        <v>551</v>
      </c>
      <c r="N98" s="4">
        <v>103</v>
      </c>
      <c r="O98" s="4">
        <v>703</v>
      </c>
      <c r="P98" s="4">
        <v>2</v>
      </c>
      <c r="Q98" s="4">
        <v>144</v>
      </c>
      <c r="R98" s="4">
        <v>-25</v>
      </c>
      <c r="S98" s="4">
        <v>-37</v>
      </c>
      <c r="T98" s="4">
        <v>84</v>
      </c>
      <c r="U98" s="4">
        <v>-62</v>
      </c>
    </row>
    <row r="99" spans="1:21" ht="13.2" x14ac:dyDescent="0.25">
      <c r="A99" s="3">
        <v>43988</v>
      </c>
      <c r="B99" s="4">
        <v>1801</v>
      </c>
      <c r="C99" s="4">
        <v>9907</v>
      </c>
      <c r="D99" s="4">
        <v>18806</v>
      </c>
      <c r="E99" s="4">
        <v>30514</v>
      </c>
      <c r="F99" s="4">
        <v>535</v>
      </c>
      <c r="G99" s="4">
        <v>2840</v>
      </c>
      <c r="H99" s="4">
        <v>2776</v>
      </c>
      <c r="I99" s="4">
        <v>1635</v>
      </c>
      <c r="J99" s="4">
        <v>7786</v>
      </c>
      <c r="K99" s="4">
        <v>4411</v>
      </c>
      <c r="L99" s="4">
        <v>31</v>
      </c>
      <c r="M99" s="4">
        <v>464</v>
      </c>
      <c r="N99" s="4">
        <v>498</v>
      </c>
      <c r="O99" s="4">
        <v>993</v>
      </c>
      <c r="P99" s="4">
        <v>3</v>
      </c>
      <c r="Q99" s="4">
        <v>89</v>
      </c>
      <c r="R99" s="4">
        <v>8</v>
      </c>
      <c r="S99" s="4">
        <v>2</v>
      </c>
      <c r="T99" s="4">
        <v>102</v>
      </c>
      <c r="U99" s="4">
        <v>10</v>
      </c>
    </row>
    <row r="100" spans="1:21" ht="13.2" x14ac:dyDescent="0.25">
      <c r="A100" s="3">
        <v>43989</v>
      </c>
      <c r="B100" s="4">
        <v>1851</v>
      </c>
      <c r="C100" s="4">
        <v>10498</v>
      </c>
      <c r="D100" s="4">
        <v>18837</v>
      </c>
      <c r="E100" s="4">
        <v>31186</v>
      </c>
      <c r="F100" s="4">
        <v>537</v>
      </c>
      <c r="G100" s="4">
        <v>3170</v>
      </c>
      <c r="H100" s="4">
        <v>2794</v>
      </c>
      <c r="I100" s="4">
        <v>1445</v>
      </c>
      <c r="J100" s="4">
        <v>7946</v>
      </c>
      <c r="K100" s="4">
        <v>4239</v>
      </c>
      <c r="L100" s="4">
        <v>50</v>
      </c>
      <c r="M100" s="4">
        <v>591</v>
      </c>
      <c r="N100" s="4">
        <v>31</v>
      </c>
      <c r="O100" s="4">
        <v>672</v>
      </c>
      <c r="P100" s="4">
        <v>2</v>
      </c>
      <c r="Q100" s="4">
        <v>330</v>
      </c>
      <c r="R100" s="4">
        <v>18</v>
      </c>
      <c r="S100" s="4">
        <v>-190</v>
      </c>
      <c r="T100" s="4">
        <v>160</v>
      </c>
      <c r="U100" s="4">
        <v>-172</v>
      </c>
    </row>
    <row r="101" spans="1:21" ht="13.2" x14ac:dyDescent="0.25">
      <c r="A101" s="3">
        <v>43990</v>
      </c>
      <c r="B101" s="4">
        <v>1883</v>
      </c>
      <c r="C101" s="4">
        <v>10904</v>
      </c>
      <c r="D101" s="4">
        <v>19246</v>
      </c>
      <c r="E101" s="4">
        <v>32033</v>
      </c>
      <c r="F101" s="4">
        <v>538</v>
      </c>
      <c r="G101" s="4">
        <v>3205</v>
      </c>
      <c r="H101" s="4">
        <v>2846</v>
      </c>
      <c r="I101" s="4">
        <v>1448</v>
      </c>
      <c r="J101" s="4">
        <v>8037</v>
      </c>
      <c r="K101" s="4">
        <v>4294</v>
      </c>
      <c r="L101" s="4">
        <v>32</v>
      </c>
      <c r="M101" s="4">
        <v>406</v>
      </c>
      <c r="N101" s="4">
        <v>409</v>
      </c>
      <c r="O101" s="4">
        <v>847</v>
      </c>
      <c r="P101" s="4">
        <v>1</v>
      </c>
      <c r="Q101" s="4">
        <v>35</v>
      </c>
      <c r="R101" s="4">
        <v>52</v>
      </c>
      <c r="S101" s="4">
        <v>3</v>
      </c>
      <c r="T101" s="4">
        <v>91</v>
      </c>
      <c r="U101" s="4">
        <v>55</v>
      </c>
    </row>
    <row r="102" spans="1:21" ht="13.2" x14ac:dyDescent="0.25">
      <c r="A102" s="3">
        <v>43991</v>
      </c>
      <c r="B102" s="4">
        <v>1923</v>
      </c>
      <c r="C102" s="4">
        <v>11414</v>
      </c>
      <c r="D102" s="4">
        <v>19739</v>
      </c>
      <c r="E102" s="4">
        <v>33076</v>
      </c>
      <c r="F102" s="4">
        <v>547</v>
      </c>
      <c r="G102" s="4">
        <v>3369</v>
      </c>
      <c r="H102" s="4">
        <v>2918</v>
      </c>
      <c r="I102" s="4">
        <v>1442</v>
      </c>
      <c r="J102" s="4">
        <v>8276</v>
      </c>
      <c r="K102" s="4">
        <v>4360</v>
      </c>
      <c r="L102" s="4">
        <v>40</v>
      </c>
      <c r="M102" s="4">
        <v>510</v>
      </c>
      <c r="N102" s="4">
        <v>493</v>
      </c>
      <c r="O102" s="4">
        <v>1043</v>
      </c>
      <c r="P102" s="4">
        <v>9</v>
      </c>
      <c r="Q102" s="4">
        <v>164</v>
      </c>
      <c r="R102" s="4">
        <v>72</v>
      </c>
      <c r="S102" s="4">
        <v>-6</v>
      </c>
      <c r="T102" s="4">
        <v>239</v>
      </c>
      <c r="U102" s="4">
        <v>66</v>
      </c>
    </row>
    <row r="103" spans="1:21" ht="13.2" x14ac:dyDescent="0.25">
      <c r="A103" s="3">
        <v>43992</v>
      </c>
      <c r="B103" s="4">
        <v>1959</v>
      </c>
      <c r="C103" s="4">
        <v>12129</v>
      </c>
      <c r="D103" s="4">
        <v>20228</v>
      </c>
      <c r="E103" s="4">
        <v>34316</v>
      </c>
      <c r="F103" s="4">
        <v>551</v>
      </c>
      <c r="G103" s="4">
        <v>3517</v>
      </c>
      <c r="H103" s="4">
        <v>2928</v>
      </c>
      <c r="I103" s="4">
        <v>1427</v>
      </c>
      <c r="J103" s="4">
        <v>8423</v>
      </c>
      <c r="K103" s="4">
        <v>4355</v>
      </c>
      <c r="L103" s="4">
        <v>36</v>
      </c>
      <c r="M103" s="4">
        <v>715</v>
      </c>
      <c r="N103" s="4">
        <v>489</v>
      </c>
      <c r="O103" s="4">
        <v>1240</v>
      </c>
      <c r="P103" s="4">
        <v>4</v>
      </c>
      <c r="Q103" s="4">
        <v>148</v>
      </c>
      <c r="R103" s="4">
        <v>10</v>
      </c>
      <c r="S103" s="4">
        <v>-15</v>
      </c>
      <c r="T103" s="4">
        <v>147</v>
      </c>
      <c r="U103" s="4">
        <v>-5</v>
      </c>
    </row>
    <row r="104" spans="1:21" ht="13.2" x14ac:dyDescent="0.25">
      <c r="A104" s="3">
        <v>43993</v>
      </c>
      <c r="B104" s="4">
        <v>2000</v>
      </c>
      <c r="C104" s="4">
        <v>12636</v>
      </c>
      <c r="D104" s="4">
        <v>20659</v>
      </c>
      <c r="E104" s="4">
        <v>35295</v>
      </c>
      <c r="F104" s="4">
        <v>555</v>
      </c>
      <c r="G104" s="4">
        <v>3664</v>
      </c>
      <c r="H104" s="4">
        <v>2887</v>
      </c>
      <c r="I104" s="4">
        <v>1446</v>
      </c>
      <c r="J104" s="4">
        <v>8552</v>
      </c>
      <c r="K104" s="4">
        <v>4333</v>
      </c>
      <c r="L104" s="4">
        <v>41</v>
      </c>
      <c r="M104" s="4">
        <v>507</v>
      </c>
      <c r="N104" s="4">
        <v>431</v>
      </c>
      <c r="O104" s="4">
        <v>979</v>
      </c>
      <c r="P104" s="4">
        <v>4</v>
      </c>
      <c r="Q104" s="4">
        <v>147</v>
      </c>
      <c r="R104" s="4">
        <v>-41</v>
      </c>
      <c r="S104" s="4">
        <v>19</v>
      </c>
      <c r="T104" s="4">
        <v>129</v>
      </c>
      <c r="U104" s="4">
        <v>-22</v>
      </c>
    </row>
    <row r="105" spans="1:21" ht="13.2" x14ac:dyDescent="0.25">
      <c r="A105" s="3">
        <v>43994</v>
      </c>
      <c r="B105" s="4">
        <v>2048</v>
      </c>
      <c r="C105" s="4">
        <v>13213</v>
      </c>
      <c r="D105" s="4">
        <v>21145</v>
      </c>
      <c r="E105" s="4">
        <v>36406</v>
      </c>
      <c r="F105" s="4">
        <v>561</v>
      </c>
      <c r="G105" s="4">
        <v>3780</v>
      </c>
      <c r="H105" s="4">
        <v>2863</v>
      </c>
      <c r="I105" s="4">
        <v>1424</v>
      </c>
      <c r="J105" s="4">
        <v>8628</v>
      </c>
      <c r="K105" s="4">
        <v>4287</v>
      </c>
      <c r="L105" s="4">
        <v>48</v>
      </c>
      <c r="M105" s="4">
        <v>577</v>
      </c>
      <c r="N105" s="4">
        <v>486</v>
      </c>
      <c r="O105" s="4">
        <v>1111</v>
      </c>
      <c r="P105" s="4">
        <v>6</v>
      </c>
      <c r="Q105" s="4">
        <v>116</v>
      </c>
      <c r="R105" s="4">
        <v>-24</v>
      </c>
      <c r="S105" s="4">
        <v>-22</v>
      </c>
      <c r="T105" s="4">
        <v>76</v>
      </c>
      <c r="U105" s="4">
        <v>-46</v>
      </c>
    </row>
    <row r="106" spans="1:21" ht="13.2" x14ac:dyDescent="0.25">
      <c r="A106" s="3">
        <v>43995</v>
      </c>
      <c r="B106" s="4">
        <v>2091</v>
      </c>
      <c r="C106" s="4">
        <v>13776</v>
      </c>
      <c r="D106" s="4">
        <v>21553</v>
      </c>
      <c r="E106" s="4">
        <v>37420</v>
      </c>
      <c r="F106" s="4">
        <v>564</v>
      </c>
      <c r="G106" s="4">
        <v>3840</v>
      </c>
      <c r="H106" s="4">
        <v>2925</v>
      </c>
      <c r="I106" s="4">
        <v>1419</v>
      </c>
      <c r="J106" s="4">
        <v>8748</v>
      </c>
      <c r="K106" s="4">
        <v>4344</v>
      </c>
      <c r="L106" s="4">
        <v>43</v>
      </c>
      <c r="M106" s="4">
        <v>563</v>
      </c>
      <c r="N106" s="4">
        <v>408</v>
      </c>
      <c r="O106" s="4">
        <v>1014</v>
      </c>
      <c r="P106" s="4">
        <v>3</v>
      </c>
      <c r="Q106" s="4">
        <v>60</v>
      </c>
      <c r="R106" s="4">
        <v>62</v>
      </c>
      <c r="S106" s="4">
        <v>-5</v>
      </c>
      <c r="T106" s="4">
        <v>120</v>
      </c>
      <c r="U106" s="4">
        <v>57</v>
      </c>
    </row>
    <row r="107" spans="1:21" ht="13.2" x14ac:dyDescent="0.25">
      <c r="A107" s="3">
        <v>43996</v>
      </c>
      <c r="B107" s="4">
        <v>2134</v>
      </c>
      <c r="C107" s="4">
        <v>14531</v>
      </c>
      <c r="D107" s="4">
        <v>21612</v>
      </c>
      <c r="E107" s="4">
        <v>38277</v>
      </c>
      <c r="F107" s="4">
        <v>571</v>
      </c>
      <c r="G107" s="4">
        <v>4091</v>
      </c>
      <c r="H107" s="4">
        <v>2833</v>
      </c>
      <c r="I107" s="4">
        <v>1368</v>
      </c>
      <c r="J107" s="4">
        <v>8863</v>
      </c>
      <c r="K107" s="4">
        <v>4201</v>
      </c>
      <c r="L107" s="4">
        <v>43</v>
      </c>
      <c r="M107" s="4">
        <v>755</v>
      </c>
      <c r="N107" s="4">
        <v>59</v>
      </c>
      <c r="O107" s="4">
        <v>857</v>
      </c>
      <c r="P107" s="4">
        <v>7</v>
      </c>
      <c r="Q107" s="4">
        <v>251</v>
      </c>
      <c r="R107" s="4">
        <v>-92</v>
      </c>
      <c r="S107" s="4">
        <v>-51</v>
      </c>
      <c r="T107" s="4">
        <v>115</v>
      </c>
      <c r="U107" s="4">
        <v>-143</v>
      </c>
    </row>
    <row r="108" spans="1:21" ht="13.2" x14ac:dyDescent="0.25">
      <c r="A108" s="3">
        <v>43997</v>
      </c>
      <c r="B108" s="4">
        <v>2198</v>
      </c>
      <c r="C108" s="4">
        <v>15123</v>
      </c>
      <c r="D108" s="4">
        <v>21973</v>
      </c>
      <c r="E108" s="4">
        <v>39294</v>
      </c>
      <c r="F108" s="4">
        <v>580</v>
      </c>
      <c r="G108" s="4">
        <v>4198</v>
      </c>
      <c r="H108" s="4">
        <v>2800</v>
      </c>
      <c r="I108" s="4">
        <v>1390</v>
      </c>
      <c r="J108" s="4">
        <v>8968</v>
      </c>
      <c r="K108" s="4">
        <v>4190</v>
      </c>
      <c r="L108" s="4">
        <v>64</v>
      </c>
      <c r="M108" s="4">
        <v>592</v>
      </c>
      <c r="N108" s="4">
        <v>361</v>
      </c>
      <c r="O108" s="4">
        <v>1017</v>
      </c>
      <c r="P108" s="4">
        <v>9</v>
      </c>
      <c r="Q108" s="4">
        <v>107</v>
      </c>
      <c r="R108" s="4">
        <v>-33</v>
      </c>
      <c r="S108" s="4">
        <v>22</v>
      </c>
      <c r="T108" s="4">
        <v>105</v>
      </c>
      <c r="U108" s="4">
        <v>-11</v>
      </c>
    </row>
    <row r="109" spans="1:21" ht="13.2" x14ac:dyDescent="0.25">
      <c r="A109" s="3">
        <v>43998</v>
      </c>
      <c r="B109" s="4">
        <v>2231</v>
      </c>
      <c r="C109" s="4">
        <v>15703</v>
      </c>
      <c r="D109" s="4">
        <v>22466</v>
      </c>
      <c r="E109" s="4">
        <v>40400</v>
      </c>
      <c r="F109" s="4">
        <v>583</v>
      </c>
      <c r="G109" s="4">
        <v>4329</v>
      </c>
      <c r="H109" s="4">
        <v>2764</v>
      </c>
      <c r="I109" s="4">
        <v>1416</v>
      </c>
      <c r="J109" s="4">
        <v>9092</v>
      </c>
      <c r="K109" s="4">
        <v>4180</v>
      </c>
      <c r="L109" s="4">
        <v>33</v>
      </c>
      <c r="M109" s="4">
        <v>580</v>
      </c>
      <c r="N109" s="4">
        <v>493</v>
      </c>
      <c r="O109" s="4">
        <v>1106</v>
      </c>
      <c r="P109" s="4">
        <v>3</v>
      </c>
      <c r="Q109" s="4">
        <v>131</v>
      </c>
      <c r="R109" s="4">
        <v>-36</v>
      </c>
      <c r="S109" s="4">
        <v>26</v>
      </c>
      <c r="T109" s="4">
        <v>124</v>
      </c>
      <c r="U109" s="4">
        <v>-10</v>
      </c>
    </row>
    <row r="110" spans="1:21" ht="13.2" x14ac:dyDescent="0.25">
      <c r="A110" s="3">
        <v>43999</v>
      </c>
      <c r="B110" s="4">
        <v>2276</v>
      </c>
      <c r="C110" s="4">
        <v>16243</v>
      </c>
      <c r="D110" s="4">
        <v>22912</v>
      </c>
      <c r="E110" s="4">
        <v>41431</v>
      </c>
      <c r="F110" s="4">
        <v>588</v>
      </c>
      <c r="G110" s="4">
        <v>4444</v>
      </c>
      <c r="H110" s="4">
        <v>2775</v>
      </c>
      <c r="I110" s="4">
        <v>1402</v>
      </c>
      <c r="J110" s="4">
        <v>9209</v>
      </c>
      <c r="K110" s="4">
        <v>4177</v>
      </c>
      <c r="L110" s="4">
        <v>45</v>
      </c>
      <c r="M110" s="4">
        <v>540</v>
      </c>
      <c r="N110" s="4">
        <v>446</v>
      </c>
      <c r="O110" s="4">
        <v>1031</v>
      </c>
      <c r="P110" s="4">
        <v>5</v>
      </c>
      <c r="Q110" s="4">
        <v>115</v>
      </c>
      <c r="R110" s="4">
        <v>11</v>
      </c>
      <c r="S110" s="4">
        <v>-14</v>
      </c>
      <c r="T110" s="4">
        <v>117</v>
      </c>
      <c r="U110" s="4">
        <v>-3</v>
      </c>
    </row>
    <row r="111" spans="1:21" ht="13.2" x14ac:dyDescent="0.25">
      <c r="A111" s="3">
        <v>44000</v>
      </c>
      <c r="B111" s="4">
        <v>2339</v>
      </c>
      <c r="C111" s="4">
        <v>16798</v>
      </c>
      <c r="D111" s="4">
        <v>23625</v>
      </c>
      <c r="E111" s="4">
        <v>42762</v>
      </c>
      <c r="F111" s="4">
        <v>594</v>
      </c>
      <c r="G111" s="4">
        <v>4592</v>
      </c>
      <c r="H111" s="4">
        <v>2822</v>
      </c>
      <c r="I111" s="4">
        <v>1377</v>
      </c>
      <c r="J111" s="4">
        <v>9385</v>
      </c>
      <c r="K111" s="4">
        <v>4199</v>
      </c>
      <c r="L111" s="4">
        <v>63</v>
      </c>
      <c r="M111" s="4">
        <v>555</v>
      </c>
      <c r="N111" s="4">
        <v>713</v>
      </c>
      <c r="O111" s="4">
        <v>1331</v>
      </c>
      <c r="P111" s="4">
        <v>6</v>
      </c>
      <c r="Q111" s="4">
        <v>148</v>
      </c>
      <c r="R111" s="4">
        <v>47</v>
      </c>
      <c r="S111" s="4">
        <v>-25</v>
      </c>
      <c r="T111" s="4">
        <v>176</v>
      </c>
      <c r="U111" s="4">
        <v>22</v>
      </c>
    </row>
    <row r="112" spans="1:21" ht="13.2" x14ac:dyDescent="0.25">
      <c r="A112" s="3">
        <v>44001</v>
      </c>
      <c r="B112" s="4">
        <v>2373</v>
      </c>
      <c r="C112" s="4">
        <v>17349</v>
      </c>
      <c r="D112" s="4">
        <v>24081</v>
      </c>
      <c r="E112" s="4">
        <v>43803</v>
      </c>
      <c r="F112" s="4">
        <v>599</v>
      </c>
      <c r="G112" s="4">
        <v>4682</v>
      </c>
      <c r="H112" s="4">
        <v>2862</v>
      </c>
      <c r="I112" s="4">
        <v>1382</v>
      </c>
      <c r="J112" s="4">
        <v>9525</v>
      </c>
      <c r="K112" s="4">
        <v>4244</v>
      </c>
      <c r="L112" s="4">
        <v>34</v>
      </c>
      <c r="M112" s="4">
        <v>551</v>
      </c>
      <c r="N112" s="4">
        <v>456</v>
      </c>
      <c r="O112" s="4">
        <v>1041</v>
      </c>
      <c r="P112" s="4">
        <v>5</v>
      </c>
      <c r="Q112" s="4">
        <v>90</v>
      </c>
      <c r="R112" s="4">
        <v>40</v>
      </c>
      <c r="S112" s="4">
        <v>5</v>
      </c>
      <c r="T112" s="4">
        <v>140</v>
      </c>
      <c r="U112" s="4">
        <v>45</v>
      </c>
    </row>
    <row r="113" spans="1:21" ht="13.2" x14ac:dyDescent="0.25">
      <c r="A113" s="3">
        <v>44002</v>
      </c>
      <c r="B113" s="4">
        <v>2429</v>
      </c>
      <c r="C113" s="4">
        <v>17883</v>
      </c>
      <c r="D113" s="4">
        <v>24717</v>
      </c>
      <c r="E113" s="4">
        <v>45029</v>
      </c>
      <c r="F113" s="4">
        <v>603</v>
      </c>
      <c r="G113" s="4">
        <v>4821</v>
      </c>
      <c r="H113" s="4">
        <v>2939</v>
      </c>
      <c r="I113" s="4">
        <v>1340</v>
      </c>
      <c r="J113" s="4">
        <v>9703</v>
      </c>
      <c r="K113" s="4">
        <v>4279</v>
      </c>
      <c r="L113" s="4">
        <v>56</v>
      </c>
      <c r="M113" s="4">
        <v>534</v>
      </c>
      <c r="N113" s="4">
        <v>636</v>
      </c>
      <c r="O113" s="4">
        <v>1226</v>
      </c>
      <c r="P113" s="4">
        <v>4</v>
      </c>
      <c r="Q113" s="4">
        <v>139</v>
      </c>
      <c r="R113" s="4">
        <v>77</v>
      </c>
      <c r="S113" s="4">
        <v>-42</v>
      </c>
      <c r="T113" s="4">
        <v>178</v>
      </c>
      <c r="U113" s="4">
        <v>35</v>
      </c>
    </row>
    <row r="114" spans="1:21" ht="13.2" x14ac:dyDescent="0.25">
      <c r="A114" s="3">
        <v>44003</v>
      </c>
      <c r="B114" s="4">
        <v>2465</v>
      </c>
      <c r="C114" s="4">
        <v>18404</v>
      </c>
      <c r="D114" s="4">
        <v>25022</v>
      </c>
      <c r="E114" s="4">
        <v>45891</v>
      </c>
      <c r="F114" s="4">
        <v>615</v>
      </c>
      <c r="G114" s="4">
        <v>5054</v>
      </c>
      <c r="H114" s="4">
        <v>2874</v>
      </c>
      <c r="I114" s="4">
        <v>1287</v>
      </c>
      <c r="J114" s="4">
        <v>9830</v>
      </c>
      <c r="K114" s="4">
        <v>4161</v>
      </c>
      <c r="L114" s="4">
        <v>36</v>
      </c>
      <c r="M114" s="4">
        <v>521</v>
      </c>
      <c r="N114" s="4">
        <v>305</v>
      </c>
      <c r="O114" s="4">
        <v>862</v>
      </c>
      <c r="P114" s="4">
        <v>12</v>
      </c>
      <c r="Q114" s="4">
        <v>233</v>
      </c>
      <c r="R114" s="4">
        <v>-65</v>
      </c>
      <c r="S114" s="4">
        <v>-53</v>
      </c>
      <c r="T114" s="4">
        <v>127</v>
      </c>
      <c r="U114" s="4">
        <v>-118</v>
      </c>
    </row>
    <row r="115" spans="1:21" ht="13.2" x14ac:dyDescent="0.25">
      <c r="A115" s="3">
        <v>44004</v>
      </c>
      <c r="B115" s="4">
        <v>2500</v>
      </c>
      <c r="C115" s="4">
        <v>18735</v>
      </c>
      <c r="D115" s="4">
        <v>25610</v>
      </c>
      <c r="E115" s="4">
        <v>46845</v>
      </c>
      <c r="F115" s="4">
        <v>618</v>
      </c>
      <c r="G115" s="4">
        <v>5128</v>
      </c>
      <c r="H115" s="4">
        <v>2901</v>
      </c>
      <c r="I115" s="4">
        <v>1310</v>
      </c>
      <c r="J115" s="4">
        <v>9957</v>
      </c>
      <c r="K115" s="4">
        <v>4211</v>
      </c>
      <c r="L115" s="4">
        <v>35</v>
      </c>
      <c r="M115" s="4">
        <v>331</v>
      </c>
      <c r="N115" s="4">
        <v>588</v>
      </c>
      <c r="O115" s="4">
        <v>954</v>
      </c>
      <c r="P115" s="4">
        <v>3</v>
      </c>
      <c r="Q115" s="4">
        <v>74</v>
      </c>
      <c r="R115" s="4">
        <v>27</v>
      </c>
      <c r="S115" s="4">
        <v>23</v>
      </c>
      <c r="T115" s="4">
        <v>127</v>
      </c>
      <c r="U115" s="4">
        <v>50</v>
      </c>
    </row>
    <row r="116" spans="1:21" ht="13.2" x14ac:dyDescent="0.25">
      <c r="A116" s="3">
        <v>44005</v>
      </c>
      <c r="B116" s="4">
        <v>2535</v>
      </c>
      <c r="C116" s="4">
        <v>19241</v>
      </c>
      <c r="D116" s="4">
        <v>26120</v>
      </c>
      <c r="E116" s="4">
        <v>47896</v>
      </c>
      <c r="F116" s="4">
        <v>619</v>
      </c>
      <c r="G116" s="4">
        <v>5228</v>
      </c>
      <c r="H116" s="4">
        <v>2957</v>
      </c>
      <c r="I116" s="4">
        <v>1319</v>
      </c>
      <c r="J116" s="4">
        <v>10123</v>
      </c>
      <c r="K116" s="4">
        <v>4276</v>
      </c>
      <c r="L116" s="4">
        <v>35</v>
      </c>
      <c r="M116" s="4">
        <v>506</v>
      </c>
      <c r="N116" s="4">
        <v>510</v>
      </c>
      <c r="O116" s="4">
        <v>1051</v>
      </c>
      <c r="P116" s="4">
        <v>1</v>
      </c>
      <c r="Q116" s="4">
        <v>100</v>
      </c>
      <c r="R116" s="4">
        <v>56</v>
      </c>
      <c r="S116" s="4">
        <v>9</v>
      </c>
      <c r="T116" s="4">
        <v>166</v>
      </c>
      <c r="U116" s="4">
        <v>65</v>
      </c>
    </row>
    <row r="117" spans="1:21" ht="13.2" x14ac:dyDescent="0.25">
      <c r="A117" s="3">
        <v>44006</v>
      </c>
      <c r="B117" s="4">
        <v>2573</v>
      </c>
      <c r="C117" s="4">
        <v>19658</v>
      </c>
      <c r="D117" s="4">
        <v>26778</v>
      </c>
      <c r="E117" s="4">
        <v>49009</v>
      </c>
      <c r="F117" s="4">
        <v>628</v>
      </c>
      <c r="G117" s="4">
        <v>5322</v>
      </c>
      <c r="H117" s="4">
        <v>2978</v>
      </c>
      <c r="I117" s="4">
        <v>1349</v>
      </c>
      <c r="J117" s="4">
        <v>10277</v>
      </c>
      <c r="K117" s="4">
        <v>4327</v>
      </c>
      <c r="L117" s="4">
        <v>38</v>
      </c>
      <c r="M117" s="4">
        <v>417</v>
      </c>
      <c r="N117" s="4">
        <v>658</v>
      </c>
      <c r="O117" s="4">
        <v>1113</v>
      </c>
      <c r="P117" s="4">
        <v>9</v>
      </c>
      <c r="Q117" s="4">
        <v>94</v>
      </c>
      <c r="R117" s="4">
        <v>21</v>
      </c>
      <c r="S117" s="4">
        <v>30</v>
      </c>
      <c r="T117" s="4">
        <v>154</v>
      </c>
      <c r="U117" s="4">
        <v>51</v>
      </c>
    </row>
    <row r="118" spans="1:21" ht="13.2" x14ac:dyDescent="0.25">
      <c r="A118" s="3">
        <v>44007</v>
      </c>
      <c r="B118" s="4">
        <v>2620</v>
      </c>
      <c r="C118" s="4">
        <v>20449</v>
      </c>
      <c r="D118" s="4">
        <v>27118</v>
      </c>
      <c r="E118" s="4">
        <v>50187</v>
      </c>
      <c r="F118" s="4">
        <v>631</v>
      </c>
      <c r="G118" s="4">
        <v>5435</v>
      </c>
      <c r="H118" s="4">
        <v>3068</v>
      </c>
      <c r="I118" s="4">
        <v>1338</v>
      </c>
      <c r="J118" s="4">
        <v>10472</v>
      </c>
      <c r="K118" s="4">
        <v>4406</v>
      </c>
      <c r="L118" s="4">
        <v>47</v>
      </c>
      <c r="M118" s="4">
        <v>791</v>
      </c>
      <c r="N118" s="4">
        <v>340</v>
      </c>
      <c r="O118" s="4">
        <v>1178</v>
      </c>
      <c r="P118" s="4">
        <v>3</v>
      </c>
      <c r="Q118" s="4">
        <v>113</v>
      </c>
      <c r="R118" s="4">
        <v>90</v>
      </c>
      <c r="S118" s="4">
        <v>-11</v>
      </c>
      <c r="T118" s="4">
        <v>195</v>
      </c>
      <c r="U118" s="4">
        <v>79</v>
      </c>
    </row>
    <row r="119" spans="1:21" ht="13.2" x14ac:dyDescent="0.25">
      <c r="A119" s="3">
        <v>44008</v>
      </c>
      <c r="B119" s="4">
        <v>2683</v>
      </c>
      <c r="C119" s="4">
        <v>21333</v>
      </c>
      <c r="D119" s="4">
        <v>27411</v>
      </c>
      <c r="E119" s="4">
        <v>51427</v>
      </c>
      <c r="F119" s="4">
        <v>632</v>
      </c>
      <c r="G119" s="4">
        <v>5542</v>
      </c>
      <c r="H119" s="4">
        <v>3136</v>
      </c>
      <c r="I119" s="4">
        <v>1330</v>
      </c>
      <c r="J119" s="4">
        <v>10640</v>
      </c>
      <c r="K119" s="4">
        <v>4466</v>
      </c>
      <c r="L119" s="4">
        <v>63</v>
      </c>
      <c r="M119" s="4">
        <v>884</v>
      </c>
      <c r="N119" s="4">
        <v>293</v>
      </c>
      <c r="O119" s="4">
        <v>1240</v>
      </c>
      <c r="P119" s="4">
        <v>1</v>
      </c>
      <c r="Q119" s="4">
        <v>107</v>
      </c>
      <c r="R119" s="4">
        <v>68</v>
      </c>
      <c r="S119" s="4">
        <v>-8</v>
      </c>
      <c r="T119" s="4">
        <v>168</v>
      </c>
      <c r="U119" s="4">
        <v>60</v>
      </c>
    </row>
    <row r="120" spans="1:21" ht="13.2" x14ac:dyDescent="0.25">
      <c r="A120" s="3">
        <v>44009</v>
      </c>
      <c r="B120" s="4">
        <v>2720</v>
      </c>
      <c r="C120" s="4">
        <v>21909</v>
      </c>
      <c r="D120" s="4">
        <v>28183</v>
      </c>
      <c r="E120" s="4">
        <v>52812</v>
      </c>
      <c r="F120" s="4">
        <v>632</v>
      </c>
      <c r="G120" s="4">
        <v>5610</v>
      </c>
      <c r="H120" s="4">
        <v>3256</v>
      </c>
      <c r="I120" s="4">
        <v>1355</v>
      </c>
      <c r="J120" s="4">
        <v>10853</v>
      </c>
      <c r="K120" s="4">
        <v>4611</v>
      </c>
      <c r="L120" s="4">
        <v>37</v>
      </c>
      <c r="M120" s="4">
        <v>576</v>
      </c>
      <c r="N120" s="4">
        <v>772</v>
      </c>
      <c r="O120" s="4">
        <v>1385</v>
      </c>
      <c r="P120" s="4">
        <v>0</v>
      </c>
      <c r="Q120" s="4">
        <v>68</v>
      </c>
      <c r="R120" s="4">
        <v>120</v>
      </c>
      <c r="S120" s="4">
        <v>25</v>
      </c>
      <c r="T120" s="4">
        <v>213</v>
      </c>
      <c r="U120" s="4">
        <v>145</v>
      </c>
    </row>
    <row r="121" spans="1:21" ht="13.2" x14ac:dyDescent="0.25">
      <c r="A121" s="3">
        <v>44010</v>
      </c>
      <c r="B121" s="4">
        <v>2754</v>
      </c>
      <c r="C121" s="4">
        <v>22936</v>
      </c>
      <c r="D121" s="4">
        <v>28320</v>
      </c>
      <c r="E121" s="4">
        <v>54010</v>
      </c>
      <c r="F121" s="4">
        <v>635</v>
      </c>
      <c r="G121" s="4">
        <v>5865</v>
      </c>
      <c r="H121" s="4">
        <v>3163</v>
      </c>
      <c r="I121" s="4">
        <v>1322</v>
      </c>
      <c r="J121" s="4">
        <v>10985</v>
      </c>
      <c r="K121" s="4">
        <v>4485</v>
      </c>
      <c r="L121" s="4">
        <v>34</v>
      </c>
      <c r="M121" s="4">
        <v>1027</v>
      </c>
      <c r="N121" s="4">
        <v>137</v>
      </c>
      <c r="O121" s="4">
        <v>1198</v>
      </c>
      <c r="P121" s="4">
        <v>3</v>
      </c>
      <c r="Q121" s="4">
        <v>255</v>
      </c>
      <c r="R121" s="4">
        <v>-93</v>
      </c>
      <c r="S121" s="4">
        <v>-33</v>
      </c>
      <c r="T121" s="4">
        <v>132</v>
      </c>
      <c r="U121" s="4">
        <v>-126</v>
      </c>
    </row>
    <row r="122" spans="1:21" ht="13.2" x14ac:dyDescent="0.25">
      <c r="A122" s="3">
        <v>44011</v>
      </c>
      <c r="B122" s="4">
        <v>2805</v>
      </c>
      <c r="C122" s="4">
        <v>23800</v>
      </c>
      <c r="D122" s="4">
        <v>28487</v>
      </c>
      <c r="E122" s="4">
        <v>55092</v>
      </c>
      <c r="F122" s="4">
        <v>636</v>
      </c>
      <c r="G122" s="4">
        <v>6118</v>
      </c>
      <c r="H122" s="4">
        <v>3299</v>
      </c>
      <c r="I122" s="4">
        <v>1027</v>
      </c>
      <c r="J122" s="4">
        <v>11080</v>
      </c>
      <c r="K122" s="4">
        <v>4326</v>
      </c>
      <c r="L122" s="4">
        <v>51</v>
      </c>
      <c r="M122" s="4">
        <v>864</v>
      </c>
      <c r="N122" s="4">
        <v>167</v>
      </c>
      <c r="O122" s="4">
        <v>1082</v>
      </c>
      <c r="P122" s="4">
        <v>1</v>
      </c>
      <c r="Q122" s="4">
        <v>253</v>
      </c>
      <c r="R122" s="4">
        <v>136</v>
      </c>
      <c r="S122" s="4">
        <v>-295</v>
      </c>
      <c r="T122" s="4">
        <v>95</v>
      </c>
      <c r="U122" s="4">
        <v>-159</v>
      </c>
    </row>
    <row r="123" spans="1:21" ht="13.2" x14ac:dyDescent="0.25">
      <c r="A123" s="3">
        <v>44012</v>
      </c>
      <c r="B123" s="4">
        <v>2876</v>
      </c>
      <c r="C123" s="4">
        <v>24806</v>
      </c>
      <c r="D123" s="4">
        <v>28703</v>
      </c>
      <c r="E123" s="4">
        <v>56385</v>
      </c>
      <c r="F123" s="4">
        <v>641</v>
      </c>
      <c r="G123" s="4">
        <v>6512</v>
      </c>
      <c r="H123" s="4">
        <v>3172</v>
      </c>
      <c r="I123" s="4">
        <v>951</v>
      </c>
      <c r="J123" s="4">
        <v>11276</v>
      </c>
      <c r="K123" s="4">
        <v>4123</v>
      </c>
      <c r="L123" s="4">
        <v>71</v>
      </c>
      <c r="M123" s="4">
        <v>1006</v>
      </c>
      <c r="N123" s="4">
        <v>216</v>
      </c>
      <c r="O123" s="4">
        <v>1293</v>
      </c>
      <c r="P123" s="4">
        <v>5</v>
      </c>
      <c r="Q123" s="4">
        <v>394</v>
      </c>
      <c r="R123" s="4">
        <v>-127</v>
      </c>
      <c r="S123" s="4">
        <v>-76</v>
      </c>
      <c r="T123" s="4">
        <v>196</v>
      </c>
      <c r="U123" s="4">
        <v>-203</v>
      </c>
    </row>
    <row r="124" spans="1:21" ht="13.2" x14ac:dyDescent="0.25">
      <c r="A124" s="3">
        <v>44013</v>
      </c>
      <c r="B124" s="4">
        <v>2934</v>
      </c>
      <c r="C124" s="4">
        <v>25595</v>
      </c>
      <c r="D124" s="4">
        <v>29241</v>
      </c>
      <c r="E124" s="4">
        <v>57770</v>
      </c>
      <c r="F124" s="4">
        <v>644</v>
      </c>
      <c r="G124" s="4">
        <v>6680</v>
      </c>
      <c r="H124" s="4">
        <v>3269</v>
      </c>
      <c r="I124" s="4">
        <v>889</v>
      </c>
      <c r="J124" s="4">
        <v>11482</v>
      </c>
      <c r="K124" s="4">
        <v>4158</v>
      </c>
      <c r="L124" s="4">
        <v>58</v>
      </c>
      <c r="M124" s="4">
        <v>789</v>
      </c>
      <c r="N124" s="4">
        <v>538</v>
      </c>
      <c r="O124" s="4">
        <v>1385</v>
      </c>
      <c r="P124" s="4">
        <v>3</v>
      </c>
      <c r="Q124" s="4">
        <v>168</v>
      </c>
      <c r="R124" s="4">
        <v>97</v>
      </c>
      <c r="S124" s="4">
        <v>-62</v>
      </c>
      <c r="T124" s="4">
        <v>206</v>
      </c>
      <c r="U124" s="4">
        <v>35</v>
      </c>
    </row>
    <row r="125" spans="1:21" ht="13.2" x14ac:dyDescent="0.25">
      <c r="A125" s="3">
        <v>44014</v>
      </c>
      <c r="B125" s="4">
        <v>2987</v>
      </c>
      <c r="C125" s="4">
        <v>26667</v>
      </c>
      <c r="D125" s="4">
        <v>29740</v>
      </c>
      <c r="E125" s="4">
        <v>59394</v>
      </c>
      <c r="F125" s="4">
        <v>646</v>
      </c>
      <c r="G125" s="4">
        <v>6871</v>
      </c>
      <c r="H125" s="4">
        <v>3356</v>
      </c>
      <c r="I125" s="4">
        <v>804</v>
      </c>
      <c r="J125" s="4">
        <v>11677</v>
      </c>
      <c r="K125" s="4">
        <v>4160</v>
      </c>
      <c r="L125" s="4">
        <v>53</v>
      </c>
      <c r="M125" s="4">
        <v>1072</v>
      </c>
      <c r="N125" s="4">
        <v>499</v>
      </c>
      <c r="O125" s="4">
        <v>1624</v>
      </c>
      <c r="P125" s="4">
        <v>2</v>
      </c>
      <c r="Q125" s="4">
        <v>191</v>
      </c>
      <c r="R125" s="4">
        <v>87</v>
      </c>
      <c r="S125" s="4">
        <v>-85</v>
      </c>
      <c r="T125" s="4">
        <v>195</v>
      </c>
      <c r="U125" s="4">
        <v>2</v>
      </c>
    </row>
    <row r="126" spans="1:21" ht="13.2" x14ac:dyDescent="0.25">
      <c r="A126" s="3">
        <v>44015</v>
      </c>
      <c r="B126" s="4">
        <v>3036</v>
      </c>
      <c r="C126" s="4">
        <v>27568</v>
      </c>
      <c r="D126" s="4">
        <v>30091</v>
      </c>
      <c r="E126" s="4">
        <v>60695</v>
      </c>
      <c r="F126" s="4">
        <v>648</v>
      </c>
      <c r="G126" s="4">
        <v>7109</v>
      </c>
      <c r="H126" s="4">
        <v>3331</v>
      </c>
      <c r="I126" s="4">
        <v>736</v>
      </c>
      <c r="J126" s="4">
        <v>11824</v>
      </c>
      <c r="K126" s="4">
        <v>4067</v>
      </c>
      <c r="L126" s="4">
        <v>49</v>
      </c>
      <c r="M126" s="4">
        <v>901</v>
      </c>
      <c r="N126" s="4">
        <v>351</v>
      </c>
      <c r="O126" s="4">
        <v>1301</v>
      </c>
      <c r="P126" s="4">
        <v>2</v>
      </c>
      <c r="Q126" s="4">
        <v>238</v>
      </c>
      <c r="R126" s="4">
        <v>-25</v>
      </c>
      <c r="S126" s="4">
        <v>-68</v>
      </c>
      <c r="T126" s="4">
        <v>147</v>
      </c>
      <c r="U126" s="4">
        <v>-93</v>
      </c>
    </row>
    <row r="127" spans="1:21" ht="13.2" x14ac:dyDescent="0.25">
      <c r="A127" s="3">
        <v>44016</v>
      </c>
      <c r="B127" s="4">
        <v>3089</v>
      </c>
      <c r="C127" s="4">
        <v>28219</v>
      </c>
      <c r="D127" s="4">
        <v>30834</v>
      </c>
      <c r="E127" s="4">
        <v>62142</v>
      </c>
      <c r="F127" s="4">
        <v>650</v>
      </c>
      <c r="G127" s="4">
        <v>7377</v>
      </c>
      <c r="H127" s="4">
        <v>3366</v>
      </c>
      <c r="I127" s="4">
        <v>646</v>
      </c>
      <c r="J127" s="4">
        <v>12039</v>
      </c>
      <c r="K127" s="4">
        <v>4012</v>
      </c>
      <c r="L127" s="4">
        <v>53</v>
      </c>
      <c r="M127" s="4">
        <v>651</v>
      </c>
      <c r="N127" s="4">
        <v>743</v>
      </c>
      <c r="O127" s="4">
        <v>1447</v>
      </c>
      <c r="P127" s="4">
        <v>2</v>
      </c>
      <c r="Q127" s="4">
        <v>268</v>
      </c>
      <c r="R127" s="4">
        <v>35</v>
      </c>
      <c r="S127" s="4">
        <v>-90</v>
      </c>
      <c r="T127" s="4">
        <v>215</v>
      </c>
      <c r="U127" s="4">
        <v>-55</v>
      </c>
    </row>
    <row r="128" spans="1:21" ht="13.2" x14ac:dyDescent="0.25">
      <c r="A128" s="3">
        <v>44017</v>
      </c>
      <c r="B128" s="4">
        <v>3171</v>
      </c>
      <c r="C128" s="4">
        <v>29105</v>
      </c>
      <c r="D128" s="4">
        <v>31473</v>
      </c>
      <c r="E128" s="4">
        <v>63749</v>
      </c>
      <c r="F128" s="4">
        <v>658</v>
      </c>
      <c r="G128" s="4">
        <v>7663</v>
      </c>
      <c r="H128" s="4">
        <v>3390</v>
      </c>
      <c r="I128" s="4">
        <v>584</v>
      </c>
      <c r="J128" s="4">
        <v>12295</v>
      </c>
      <c r="K128" s="4">
        <v>3974</v>
      </c>
      <c r="L128" s="4">
        <v>82</v>
      </c>
      <c r="M128" s="4">
        <v>886</v>
      </c>
      <c r="N128" s="4">
        <v>639</v>
      </c>
      <c r="O128" s="4">
        <v>1607</v>
      </c>
      <c r="P128" s="4">
        <v>8</v>
      </c>
      <c r="Q128" s="4">
        <v>286</v>
      </c>
      <c r="R128" s="4">
        <v>24</v>
      </c>
      <c r="S128" s="4">
        <v>-62</v>
      </c>
      <c r="T128" s="4">
        <v>256</v>
      </c>
      <c r="U128" s="4">
        <v>-38</v>
      </c>
    </row>
    <row r="129" spans="1:21" ht="13.2" x14ac:dyDescent="0.25">
      <c r="A129" s="3">
        <v>44018</v>
      </c>
      <c r="B129" s="4">
        <v>3241</v>
      </c>
      <c r="C129" s="4">
        <v>29919</v>
      </c>
      <c r="D129" s="4">
        <v>31798</v>
      </c>
      <c r="E129" s="4">
        <v>64958</v>
      </c>
      <c r="F129" s="4">
        <v>658</v>
      </c>
      <c r="G129" s="4">
        <v>8033</v>
      </c>
      <c r="H129" s="4">
        <v>3340</v>
      </c>
      <c r="I129" s="4">
        <v>495</v>
      </c>
      <c r="J129" s="4">
        <v>12526</v>
      </c>
      <c r="K129" s="4">
        <v>3835</v>
      </c>
      <c r="L129" s="4">
        <v>70</v>
      </c>
      <c r="M129" s="4">
        <v>814</v>
      </c>
      <c r="N129" s="4">
        <v>325</v>
      </c>
      <c r="O129" s="4">
        <v>1209</v>
      </c>
      <c r="P129" s="4">
        <v>0</v>
      </c>
      <c r="Q129" s="4">
        <v>370</v>
      </c>
      <c r="R129" s="4">
        <v>-50</v>
      </c>
      <c r="S129" s="4">
        <v>-89</v>
      </c>
      <c r="T129" s="4">
        <v>231</v>
      </c>
      <c r="U129" s="4">
        <v>-139</v>
      </c>
    </row>
    <row r="130" spans="1:21" ht="13.2" x14ac:dyDescent="0.25">
      <c r="A130" s="3">
        <v>44019</v>
      </c>
      <c r="B130" s="4">
        <v>3309</v>
      </c>
      <c r="C130" s="4">
        <v>30785</v>
      </c>
      <c r="D130" s="4">
        <v>32132</v>
      </c>
      <c r="E130" s="4">
        <v>66226</v>
      </c>
      <c r="F130" s="4">
        <v>664</v>
      </c>
      <c r="G130" s="4">
        <v>8277</v>
      </c>
      <c r="H130" s="4">
        <v>3379</v>
      </c>
      <c r="I130" s="4">
        <v>405</v>
      </c>
      <c r="J130" s="4">
        <v>12725</v>
      </c>
      <c r="K130" s="4">
        <v>3784</v>
      </c>
      <c r="L130" s="4">
        <v>68</v>
      </c>
      <c r="M130" s="4">
        <v>866</v>
      </c>
      <c r="N130" s="4">
        <v>334</v>
      </c>
      <c r="O130" s="4">
        <v>1268</v>
      </c>
      <c r="P130" s="4">
        <v>6</v>
      </c>
      <c r="Q130" s="4">
        <v>244</v>
      </c>
      <c r="R130" s="4">
        <v>39</v>
      </c>
      <c r="S130" s="4">
        <v>-90</v>
      </c>
      <c r="T130" s="4">
        <v>199</v>
      </c>
      <c r="U130" s="4">
        <v>-51</v>
      </c>
    </row>
    <row r="131" spans="1:21" ht="13.2" x14ac:dyDescent="0.25">
      <c r="A131" s="3">
        <v>44020</v>
      </c>
      <c r="B131" s="4">
        <v>3359</v>
      </c>
      <c r="C131" s="4">
        <v>31585</v>
      </c>
      <c r="D131" s="4">
        <v>33135</v>
      </c>
      <c r="E131" s="4">
        <v>68079</v>
      </c>
      <c r="F131" s="4">
        <v>667</v>
      </c>
      <c r="G131" s="4">
        <v>8429</v>
      </c>
      <c r="H131" s="4">
        <v>3556</v>
      </c>
      <c r="I131" s="4">
        <v>417</v>
      </c>
      <c r="J131" s="4">
        <v>13069</v>
      </c>
      <c r="K131" s="4">
        <v>3973</v>
      </c>
      <c r="L131" s="4">
        <v>50</v>
      </c>
      <c r="M131" s="4">
        <v>800</v>
      </c>
      <c r="N131" s="4">
        <v>1003</v>
      </c>
      <c r="O131" s="4">
        <v>1853</v>
      </c>
      <c r="P131" s="4">
        <v>3</v>
      </c>
      <c r="Q131" s="4">
        <v>152</v>
      </c>
      <c r="R131" s="4">
        <v>177</v>
      </c>
      <c r="S131" s="4">
        <v>12</v>
      </c>
      <c r="T131" s="4">
        <v>344</v>
      </c>
      <c r="U131" s="4">
        <v>189</v>
      </c>
    </row>
    <row r="132" spans="1:21" ht="13.2" x14ac:dyDescent="0.25">
      <c r="A132" s="3">
        <v>44021</v>
      </c>
      <c r="B132" s="4">
        <v>3417</v>
      </c>
      <c r="C132" s="4">
        <v>32651</v>
      </c>
      <c r="D132" s="4">
        <v>34668</v>
      </c>
      <c r="E132" s="4">
        <v>70736</v>
      </c>
      <c r="F132" s="4">
        <v>677</v>
      </c>
      <c r="G132" s="4">
        <v>8647</v>
      </c>
      <c r="H132" s="4">
        <v>3584</v>
      </c>
      <c r="I132" s="4">
        <v>451</v>
      </c>
      <c r="J132" s="4">
        <v>13359</v>
      </c>
      <c r="K132" s="4">
        <v>4035</v>
      </c>
      <c r="L132" s="4">
        <v>58</v>
      </c>
      <c r="M132" s="4">
        <v>1066</v>
      </c>
      <c r="N132" s="4">
        <v>1533</v>
      </c>
      <c r="O132" s="4">
        <v>2657</v>
      </c>
      <c r="P132" s="4">
        <v>10</v>
      </c>
      <c r="Q132" s="4">
        <v>218</v>
      </c>
      <c r="R132" s="4">
        <v>28</v>
      </c>
      <c r="S132" s="4">
        <v>34</v>
      </c>
      <c r="T132" s="4">
        <v>290</v>
      </c>
      <c r="U132" s="4">
        <v>62</v>
      </c>
    </row>
    <row r="133" spans="1:21" ht="13.2" x14ac:dyDescent="0.25">
      <c r="A133" s="3">
        <v>44022</v>
      </c>
      <c r="B133" s="4">
        <v>3469</v>
      </c>
      <c r="C133" s="4">
        <v>33529</v>
      </c>
      <c r="D133" s="4">
        <v>35349</v>
      </c>
      <c r="E133" s="4">
        <v>72347</v>
      </c>
      <c r="F133" s="4">
        <v>684</v>
      </c>
      <c r="G133" s="4">
        <v>8825</v>
      </c>
      <c r="H133" s="4">
        <v>3613</v>
      </c>
      <c r="I133" s="4">
        <v>476</v>
      </c>
      <c r="J133" s="4">
        <v>13598</v>
      </c>
      <c r="K133" s="4">
        <v>4089</v>
      </c>
      <c r="L133" s="4">
        <v>52</v>
      </c>
      <c r="M133" s="4">
        <v>878</v>
      </c>
      <c r="N133" s="4">
        <v>681</v>
      </c>
      <c r="O133" s="4">
        <v>1611</v>
      </c>
      <c r="P133" s="4">
        <v>7</v>
      </c>
      <c r="Q133" s="4">
        <v>178</v>
      </c>
      <c r="R133" s="4">
        <v>29</v>
      </c>
      <c r="S133" s="4">
        <v>25</v>
      </c>
      <c r="T133" s="4">
        <v>239</v>
      </c>
      <c r="U133" s="4">
        <v>54</v>
      </c>
    </row>
    <row r="134" spans="1:21" ht="13.2" x14ac:dyDescent="0.25">
      <c r="A134" s="3">
        <v>44023</v>
      </c>
      <c r="B134" s="4">
        <v>3535</v>
      </c>
      <c r="C134" s="4">
        <v>34719</v>
      </c>
      <c r="D134" s="4">
        <v>35764</v>
      </c>
      <c r="E134" s="4">
        <v>74018</v>
      </c>
      <c r="F134" s="4">
        <v>690</v>
      </c>
      <c r="G134" s="4">
        <v>9040</v>
      </c>
      <c r="H134" s="4">
        <v>3732</v>
      </c>
      <c r="I134" s="4">
        <v>495</v>
      </c>
      <c r="J134" s="4">
        <v>13957</v>
      </c>
      <c r="K134" s="4">
        <v>4227</v>
      </c>
      <c r="L134" s="4">
        <v>66</v>
      </c>
      <c r="M134" s="4">
        <v>1190</v>
      </c>
      <c r="N134" s="4">
        <v>415</v>
      </c>
      <c r="O134" s="4">
        <v>1671</v>
      </c>
      <c r="P134" s="4">
        <v>6</v>
      </c>
      <c r="Q134" s="4">
        <v>215</v>
      </c>
      <c r="R134" s="4">
        <v>119</v>
      </c>
      <c r="S134" s="4">
        <v>19</v>
      </c>
      <c r="T134" s="4">
        <v>359</v>
      </c>
      <c r="U134" s="4">
        <v>138</v>
      </c>
    </row>
    <row r="135" spans="1:21" ht="13.2" x14ac:dyDescent="0.25">
      <c r="A135" s="3">
        <v>44024</v>
      </c>
      <c r="B135" s="4">
        <v>3606</v>
      </c>
      <c r="C135" s="4">
        <v>35638</v>
      </c>
      <c r="D135" s="4">
        <v>36455</v>
      </c>
      <c r="E135" s="4">
        <v>75699</v>
      </c>
      <c r="F135" s="4">
        <v>702</v>
      </c>
      <c r="G135" s="4">
        <v>9200</v>
      </c>
      <c r="H135" s="4">
        <v>3905</v>
      </c>
      <c r="I135" s="4">
        <v>554</v>
      </c>
      <c r="J135" s="4">
        <v>14361</v>
      </c>
      <c r="K135" s="4">
        <v>4459</v>
      </c>
      <c r="L135" s="4">
        <v>71</v>
      </c>
      <c r="M135" s="4">
        <v>919</v>
      </c>
      <c r="N135" s="4">
        <v>691</v>
      </c>
      <c r="O135" s="4">
        <v>1681</v>
      </c>
      <c r="P135" s="4">
        <v>12</v>
      </c>
      <c r="Q135" s="4">
        <v>160</v>
      </c>
      <c r="R135" s="4">
        <v>173</v>
      </c>
      <c r="S135" s="4">
        <v>59</v>
      </c>
      <c r="T135" s="4">
        <v>404</v>
      </c>
      <c r="U135" s="4">
        <v>232</v>
      </c>
    </row>
    <row r="136" spans="1:21" ht="13.2" x14ac:dyDescent="0.25">
      <c r="A136" s="3">
        <v>44025</v>
      </c>
      <c r="B136" s="4">
        <v>3656</v>
      </c>
      <c r="C136" s="4">
        <v>36689</v>
      </c>
      <c r="D136" s="4">
        <v>36636</v>
      </c>
      <c r="E136" s="4">
        <v>76981</v>
      </c>
      <c r="F136" s="4">
        <v>710</v>
      </c>
      <c r="G136" s="4">
        <v>9408</v>
      </c>
      <c r="H136" s="4">
        <v>3924</v>
      </c>
      <c r="I136" s="4">
        <v>597</v>
      </c>
      <c r="J136" s="4">
        <v>14639</v>
      </c>
      <c r="K136" s="4">
        <v>4521</v>
      </c>
      <c r="L136" s="4">
        <v>50</v>
      </c>
      <c r="M136" s="4">
        <v>1051</v>
      </c>
      <c r="N136" s="4">
        <v>181</v>
      </c>
      <c r="O136" s="4">
        <v>1282</v>
      </c>
      <c r="P136" s="4">
        <v>8</v>
      </c>
      <c r="Q136" s="4">
        <v>208</v>
      </c>
      <c r="R136" s="4">
        <v>19</v>
      </c>
      <c r="S136" s="4">
        <v>43</v>
      </c>
      <c r="T136" s="4">
        <v>278</v>
      </c>
      <c r="U136" s="4">
        <v>62</v>
      </c>
    </row>
    <row r="137" spans="1:21" ht="13.2" x14ac:dyDescent="0.25">
      <c r="A137" s="3">
        <v>44026</v>
      </c>
      <c r="B137" s="4">
        <v>3710</v>
      </c>
      <c r="C137" s="4">
        <v>37636</v>
      </c>
      <c r="D137" s="4">
        <v>37226</v>
      </c>
      <c r="E137" s="4">
        <v>78572</v>
      </c>
      <c r="F137" s="4">
        <v>714</v>
      </c>
      <c r="G137" s="4">
        <v>9528</v>
      </c>
      <c r="H137" s="4">
        <v>4053</v>
      </c>
      <c r="I137" s="4">
        <v>619</v>
      </c>
      <c r="J137" s="4">
        <v>14914</v>
      </c>
      <c r="K137" s="4">
        <v>4672</v>
      </c>
      <c r="L137" s="4">
        <v>54</v>
      </c>
      <c r="M137" s="4">
        <v>947</v>
      </c>
      <c r="N137" s="4">
        <v>590</v>
      </c>
      <c r="O137" s="4">
        <v>1591</v>
      </c>
      <c r="P137" s="4">
        <v>4</v>
      </c>
      <c r="Q137" s="4">
        <v>120</v>
      </c>
      <c r="R137" s="4">
        <v>129</v>
      </c>
      <c r="S137" s="4">
        <v>22</v>
      </c>
      <c r="T137" s="4">
        <v>275</v>
      </c>
      <c r="U137" s="4">
        <v>151</v>
      </c>
    </row>
    <row r="138" spans="1:21" ht="13.2" x14ac:dyDescent="0.25">
      <c r="A138" s="3">
        <v>44027</v>
      </c>
      <c r="B138" s="4">
        <v>3797</v>
      </c>
      <c r="C138" s="4">
        <v>39050</v>
      </c>
      <c r="D138" s="4">
        <v>37247</v>
      </c>
      <c r="E138" s="4">
        <v>80094</v>
      </c>
      <c r="F138" s="4">
        <v>720</v>
      </c>
      <c r="G138" s="4">
        <v>9721</v>
      </c>
      <c r="H138" s="4">
        <v>4041</v>
      </c>
      <c r="I138" s="4">
        <v>691</v>
      </c>
      <c r="J138" s="4">
        <v>15173</v>
      </c>
      <c r="K138" s="4">
        <v>4732</v>
      </c>
      <c r="L138" s="4">
        <v>87</v>
      </c>
      <c r="M138" s="4">
        <v>1414</v>
      </c>
      <c r="N138" s="4">
        <v>21</v>
      </c>
      <c r="O138" s="4">
        <v>1522</v>
      </c>
      <c r="P138" s="4">
        <v>6</v>
      </c>
      <c r="Q138" s="4">
        <v>193</v>
      </c>
      <c r="R138" s="4">
        <v>-12</v>
      </c>
      <c r="S138" s="4">
        <v>72</v>
      </c>
      <c r="T138" s="4">
        <v>259</v>
      </c>
      <c r="U138" s="4">
        <v>60</v>
      </c>
    </row>
    <row r="139" spans="1:21" ht="13.2" x14ac:dyDescent="0.25">
      <c r="A139" s="3">
        <v>44028</v>
      </c>
      <c r="B139" s="4">
        <v>3873</v>
      </c>
      <c r="C139" s="4">
        <v>40345</v>
      </c>
      <c r="D139" s="4">
        <v>37450</v>
      </c>
      <c r="E139" s="4">
        <v>81668</v>
      </c>
      <c r="F139" s="4">
        <v>722</v>
      </c>
      <c r="G139" s="4">
        <v>9857</v>
      </c>
      <c r="H139" s="4">
        <v>4110</v>
      </c>
      <c r="I139" s="4">
        <v>777</v>
      </c>
      <c r="J139" s="4">
        <v>15466</v>
      </c>
      <c r="K139" s="4">
        <v>4887</v>
      </c>
      <c r="L139" s="4">
        <v>76</v>
      </c>
      <c r="M139" s="4">
        <v>1295</v>
      </c>
      <c r="N139" s="4">
        <v>203</v>
      </c>
      <c r="O139" s="4">
        <v>1574</v>
      </c>
      <c r="P139" s="4">
        <v>2</v>
      </c>
      <c r="Q139" s="4">
        <v>136</v>
      </c>
      <c r="R139" s="4">
        <v>69</v>
      </c>
      <c r="S139" s="4">
        <v>86</v>
      </c>
      <c r="T139" s="4">
        <v>293</v>
      </c>
      <c r="U139" s="4">
        <v>155</v>
      </c>
    </row>
    <row r="140" spans="1:21" ht="13.2" x14ac:dyDescent="0.25">
      <c r="A140" s="3">
        <v>44029</v>
      </c>
      <c r="B140" s="4">
        <v>3957</v>
      </c>
      <c r="C140" s="4">
        <v>41834</v>
      </c>
      <c r="D140" s="4">
        <v>37339</v>
      </c>
      <c r="E140" s="4">
        <v>83130</v>
      </c>
      <c r="F140" s="4">
        <v>731</v>
      </c>
      <c r="G140" s="4">
        <v>9994</v>
      </c>
      <c r="H140" s="4">
        <v>4156</v>
      </c>
      <c r="I140" s="4">
        <v>826</v>
      </c>
      <c r="J140" s="4">
        <v>15707</v>
      </c>
      <c r="K140" s="4">
        <v>4982</v>
      </c>
      <c r="L140" s="4">
        <v>84</v>
      </c>
      <c r="M140" s="4">
        <v>1489</v>
      </c>
      <c r="N140" s="4">
        <v>-111</v>
      </c>
      <c r="O140" s="4">
        <v>1462</v>
      </c>
      <c r="P140" s="4">
        <v>9</v>
      </c>
      <c r="Q140" s="4">
        <v>137</v>
      </c>
      <c r="R140" s="4">
        <v>46</v>
      </c>
      <c r="S140" s="4">
        <v>49</v>
      </c>
      <c r="T140" s="4">
        <v>241</v>
      </c>
      <c r="U140" s="4">
        <v>95</v>
      </c>
    </row>
    <row r="141" spans="1:21" ht="13.2" x14ac:dyDescent="0.25">
      <c r="A141" s="3">
        <v>44030</v>
      </c>
      <c r="B141" s="4">
        <v>4016</v>
      </c>
      <c r="C141" s="4">
        <v>43268</v>
      </c>
      <c r="D141" s="4">
        <v>37598</v>
      </c>
      <c r="E141" s="4">
        <v>84882</v>
      </c>
      <c r="F141" s="4">
        <v>740</v>
      </c>
      <c r="G141" s="4">
        <v>10117</v>
      </c>
      <c r="H141" s="4">
        <v>4289</v>
      </c>
      <c r="I141" s="4">
        <v>892</v>
      </c>
      <c r="J141" s="4">
        <v>16038</v>
      </c>
      <c r="K141" s="4">
        <v>5181</v>
      </c>
      <c r="L141" s="4">
        <v>59</v>
      </c>
      <c r="M141" s="4">
        <v>1434</v>
      </c>
      <c r="N141" s="4">
        <v>259</v>
      </c>
      <c r="O141" s="4">
        <v>1752</v>
      </c>
      <c r="P141" s="4">
        <v>9</v>
      </c>
      <c r="Q141" s="4">
        <v>123</v>
      </c>
      <c r="R141" s="4">
        <v>133</v>
      </c>
      <c r="S141" s="4">
        <v>66</v>
      </c>
      <c r="T141" s="4">
        <v>331</v>
      </c>
      <c r="U141" s="4">
        <v>199</v>
      </c>
    </row>
    <row r="142" spans="1:21" ht="13.2" x14ac:dyDescent="0.25">
      <c r="A142" s="3">
        <v>44031</v>
      </c>
      <c r="B142" s="4">
        <v>4143</v>
      </c>
      <c r="C142" s="4">
        <v>45401</v>
      </c>
      <c r="D142" s="4">
        <v>36977</v>
      </c>
      <c r="E142" s="4">
        <v>86521</v>
      </c>
      <c r="F142" s="4">
        <v>748</v>
      </c>
      <c r="G142" s="4">
        <v>10444</v>
      </c>
      <c r="H142" s="4">
        <v>4236</v>
      </c>
      <c r="I142" s="4">
        <v>923</v>
      </c>
      <c r="J142" s="4">
        <v>16351</v>
      </c>
      <c r="K142" s="4">
        <v>5159</v>
      </c>
      <c r="L142" s="4">
        <v>127</v>
      </c>
      <c r="M142" s="4">
        <v>2133</v>
      </c>
      <c r="N142" s="4">
        <v>-621</v>
      </c>
      <c r="O142" s="4">
        <v>1639</v>
      </c>
      <c r="P142" s="4">
        <v>8</v>
      </c>
      <c r="Q142" s="4">
        <v>327</v>
      </c>
      <c r="R142" s="4">
        <v>-53</v>
      </c>
      <c r="S142" s="4">
        <v>31</v>
      </c>
      <c r="T142" s="4">
        <v>313</v>
      </c>
      <c r="U142" s="4">
        <v>-22</v>
      </c>
    </row>
    <row r="143" spans="1:21" ht="13.2" x14ac:dyDescent="0.25">
      <c r="A143" s="3">
        <v>44032</v>
      </c>
      <c r="B143" s="4">
        <v>4239</v>
      </c>
      <c r="C143" s="4">
        <v>46977</v>
      </c>
      <c r="D143" s="4">
        <v>36998</v>
      </c>
      <c r="E143" s="4">
        <v>88214</v>
      </c>
      <c r="F143" s="4">
        <v>749</v>
      </c>
      <c r="G143" s="4">
        <v>10602</v>
      </c>
      <c r="H143" s="4">
        <v>4335</v>
      </c>
      <c r="I143" s="4">
        <v>1026</v>
      </c>
      <c r="J143" s="4">
        <v>16712</v>
      </c>
      <c r="K143" s="4">
        <v>5361</v>
      </c>
      <c r="L143" s="4">
        <v>96</v>
      </c>
      <c r="M143" s="4">
        <v>1576</v>
      </c>
      <c r="N143" s="4">
        <v>21</v>
      </c>
      <c r="O143" s="4">
        <v>1693</v>
      </c>
      <c r="P143" s="4">
        <v>1</v>
      </c>
      <c r="Q143" s="4">
        <v>158</v>
      </c>
      <c r="R143" s="4">
        <v>99</v>
      </c>
      <c r="S143" s="4">
        <v>103</v>
      </c>
      <c r="T143" s="4">
        <v>361</v>
      </c>
      <c r="U143" s="4">
        <v>202</v>
      </c>
    </row>
    <row r="144" spans="1:21" ht="13.2" x14ac:dyDescent="0.25">
      <c r="A144" s="3">
        <v>44033</v>
      </c>
      <c r="B144" s="4">
        <v>4320</v>
      </c>
      <c r="C144" s="4">
        <v>48466</v>
      </c>
      <c r="D144" s="4">
        <v>37083</v>
      </c>
      <c r="E144" s="4">
        <v>89869</v>
      </c>
      <c r="F144" s="4">
        <v>758</v>
      </c>
      <c r="G144" s="4">
        <v>10864</v>
      </c>
      <c r="H144" s="4">
        <v>4458</v>
      </c>
      <c r="I144" s="4">
        <v>1073</v>
      </c>
      <c r="J144" s="4">
        <v>17153</v>
      </c>
      <c r="K144" s="4">
        <v>5531</v>
      </c>
      <c r="L144" s="4">
        <v>81</v>
      </c>
      <c r="M144" s="4">
        <v>1489</v>
      </c>
      <c r="N144" s="4">
        <v>85</v>
      </c>
      <c r="O144" s="4">
        <v>1655</v>
      </c>
      <c r="P144" s="4">
        <v>9</v>
      </c>
      <c r="Q144" s="4">
        <v>262</v>
      </c>
      <c r="R144" s="4">
        <v>123</v>
      </c>
      <c r="S144" s="4">
        <v>47</v>
      </c>
      <c r="T144" s="4">
        <v>441</v>
      </c>
      <c r="U144" s="4">
        <v>170</v>
      </c>
    </row>
    <row r="145" spans="1:21" ht="13.2" x14ac:dyDescent="0.25">
      <c r="A145" s="3">
        <v>44034</v>
      </c>
      <c r="B145" s="4">
        <v>4459</v>
      </c>
      <c r="C145" s="4">
        <v>50255</v>
      </c>
      <c r="D145" s="4">
        <v>37037</v>
      </c>
      <c r="E145" s="4">
        <v>91751</v>
      </c>
      <c r="F145" s="4">
        <v>766</v>
      </c>
      <c r="G145" s="4">
        <v>11187</v>
      </c>
      <c r="H145" s="4">
        <v>4383</v>
      </c>
      <c r="I145" s="4">
        <v>1193</v>
      </c>
      <c r="J145" s="4">
        <v>17529</v>
      </c>
      <c r="K145" s="4">
        <v>5576</v>
      </c>
      <c r="L145" s="4">
        <v>139</v>
      </c>
      <c r="M145" s="4">
        <v>1789</v>
      </c>
      <c r="N145" s="4">
        <v>-46</v>
      </c>
      <c r="O145" s="4">
        <v>1882</v>
      </c>
      <c r="P145" s="4">
        <v>8</v>
      </c>
      <c r="Q145" s="4">
        <v>323</v>
      </c>
      <c r="R145" s="4">
        <v>-75</v>
      </c>
      <c r="S145" s="4">
        <v>120</v>
      </c>
      <c r="T145" s="4">
        <v>376</v>
      </c>
      <c r="U145" s="4">
        <v>45</v>
      </c>
    </row>
    <row r="146" spans="1:21" ht="13.2" x14ac:dyDescent="0.25">
      <c r="A146" s="3">
        <v>44035</v>
      </c>
      <c r="B146" s="4">
        <v>4576</v>
      </c>
      <c r="C146" s="4">
        <v>52164</v>
      </c>
      <c r="D146" s="4">
        <v>36917</v>
      </c>
      <c r="E146" s="4">
        <v>93657</v>
      </c>
      <c r="F146" s="4">
        <v>767</v>
      </c>
      <c r="G146" s="4">
        <v>11302</v>
      </c>
      <c r="H146" s="4">
        <v>4675</v>
      </c>
      <c r="I146" s="4">
        <v>1201</v>
      </c>
      <c r="J146" s="4">
        <v>17945</v>
      </c>
      <c r="K146" s="4">
        <v>5876</v>
      </c>
      <c r="L146" s="4">
        <v>117</v>
      </c>
      <c r="M146" s="4">
        <v>1909</v>
      </c>
      <c r="N146" s="4">
        <v>-120</v>
      </c>
      <c r="O146" s="4">
        <v>1906</v>
      </c>
      <c r="P146" s="4">
        <v>1</v>
      </c>
      <c r="Q146" s="4">
        <v>115</v>
      </c>
      <c r="R146" s="4">
        <v>292</v>
      </c>
      <c r="S146" s="4">
        <v>8</v>
      </c>
      <c r="T146" s="4">
        <v>416</v>
      </c>
      <c r="U146" s="4">
        <v>300</v>
      </c>
    </row>
    <row r="147" spans="1:21" ht="13.2" x14ac:dyDescent="0.25">
      <c r="A147" s="3">
        <v>44036</v>
      </c>
      <c r="B147" s="4">
        <v>4665</v>
      </c>
      <c r="C147" s="4">
        <v>53945</v>
      </c>
      <c r="D147" s="4">
        <v>36808</v>
      </c>
      <c r="E147" s="4">
        <v>95418</v>
      </c>
      <c r="F147" s="4">
        <v>768</v>
      </c>
      <c r="G147" s="4">
        <v>11585</v>
      </c>
      <c r="H147" s="4">
        <v>4577</v>
      </c>
      <c r="I147" s="4">
        <v>1300</v>
      </c>
      <c r="J147" s="4">
        <v>18230</v>
      </c>
      <c r="K147" s="4">
        <v>5877</v>
      </c>
      <c r="L147" s="4">
        <v>89</v>
      </c>
      <c r="M147" s="4">
        <v>1781</v>
      </c>
      <c r="N147" s="4">
        <v>-109</v>
      </c>
      <c r="O147" s="4">
        <v>1761</v>
      </c>
      <c r="P147" s="4">
        <v>1</v>
      </c>
      <c r="Q147" s="4">
        <v>283</v>
      </c>
      <c r="R147" s="4">
        <v>-98</v>
      </c>
      <c r="S147" s="4">
        <v>99</v>
      </c>
      <c r="T147" s="4">
        <v>285</v>
      </c>
      <c r="U147" s="4">
        <v>1</v>
      </c>
    </row>
    <row r="148" spans="1:21" ht="13.2" x14ac:dyDescent="0.25">
      <c r="A148" s="3">
        <v>44037</v>
      </c>
      <c r="B148" s="4">
        <v>4714</v>
      </c>
      <c r="C148" s="4">
        <v>55354</v>
      </c>
      <c r="D148" s="4">
        <v>37218</v>
      </c>
      <c r="E148" s="4">
        <v>97286</v>
      </c>
      <c r="F148" s="4">
        <v>769</v>
      </c>
      <c r="G148" s="4">
        <v>11715</v>
      </c>
      <c r="H148" s="4">
        <v>4729</v>
      </c>
      <c r="I148" s="4">
        <v>1410</v>
      </c>
      <c r="J148" s="4">
        <v>18623</v>
      </c>
      <c r="K148" s="4">
        <v>6139</v>
      </c>
      <c r="L148" s="4">
        <v>49</v>
      </c>
      <c r="M148" s="4">
        <v>1409</v>
      </c>
      <c r="N148" s="4">
        <v>410</v>
      </c>
      <c r="O148" s="4">
        <v>1868</v>
      </c>
      <c r="P148" s="4">
        <v>1</v>
      </c>
      <c r="Q148" s="4">
        <v>130</v>
      </c>
      <c r="R148" s="4">
        <v>152</v>
      </c>
      <c r="S148" s="4">
        <v>110</v>
      </c>
      <c r="T148" s="4">
        <v>393</v>
      </c>
      <c r="U148" s="4">
        <v>262</v>
      </c>
    </row>
    <row r="149" spans="1:21" ht="13.2" x14ac:dyDescent="0.25">
      <c r="A149" s="3">
        <v>44038</v>
      </c>
      <c r="B149" s="4">
        <v>4781</v>
      </c>
      <c r="C149" s="4">
        <v>56655</v>
      </c>
      <c r="D149" s="4">
        <v>37342</v>
      </c>
      <c r="E149" s="4">
        <v>98778</v>
      </c>
      <c r="F149" s="4">
        <v>779</v>
      </c>
      <c r="G149" s="4">
        <v>11889</v>
      </c>
      <c r="H149" s="4">
        <v>4842</v>
      </c>
      <c r="I149" s="4">
        <v>1491</v>
      </c>
      <c r="J149" s="4">
        <v>19001</v>
      </c>
      <c r="K149" s="4">
        <v>6333</v>
      </c>
      <c r="L149" s="4">
        <v>67</v>
      </c>
      <c r="M149" s="4">
        <v>1301</v>
      </c>
      <c r="N149" s="4">
        <v>124</v>
      </c>
      <c r="O149" s="4">
        <v>1492</v>
      </c>
      <c r="P149" s="4">
        <v>10</v>
      </c>
      <c r="Q149" s="4">
        <v>174</v>
      </c>
      <c r="R149" s="4">
        <v>113</v>
      </c>
      <c r="S149" s="4">
        <v>81</v>
      </c>
      <c r="T149" s="4">
        <v>378</v>
      </c>
      <c r="U149" s="4">
        <v>194</v>
      </c>
    </row>
    <row r="150" spans="1:21" ht="13.2" x14ac:dyDescent="0.25">
      <c r="A150" s="3">
        <v>44039</v>
      </c>
      <c r="B150" s="4">
        <v>4838</v>
      </c>
      <c r="C150" s="4">
        <v>58173</v>
      </c>
      <c r="D150" s="4">
        <v>37292</v>
      </c>
      <c r="E150" s="4">
        <v>100303</v>
      </c>
      <c r="F150" s="4">
        <v>782</v>
      </c>
      <c r="G150" s="4">
        <v>11996</v>
      </c>
      <c r="H150" s="4">
        <v>4993</v>
      </c>
      <c r="I150" s="4">
        <v>1702</v>
      </c>
      <c r="J150" s="4">
        <v>19473</v>
      </c>
      <c r="K150" s="4">
        <v>6695</v>
      </c>
      <c r="L150" s="4">
        <v>57</v>
      </c>
      <c r="M150" s="4">
        <v>1518</v>
      </c>
      <c r="N150" s="4">
        <v>-50</v>
      </c>
      <c r="O150" s="4">
        <v>1525</v>
      </c>
      <c r="P150" s="4">
        <v>3</v>
      </c>
      <c r="Q150" s="4">
        <v>107</v>
      </c>
      <c r="R150" s="4">
        <v>151</v>
      </c>
      <c r="S150" s="4">
        <v>211</v>
      </c>
      <c r="T150" s="4">
        <v>472</v>
      </c>
      <c r="U150" s="4">
        <v>362</v>
      </c>
    </row>
    <row r="151" spans="1:21" ht="13.2" x14ac:dyDescent="0.25">
      <c r="A151" s="3">
        <v>44040</v>
      </c>
      <c r="B151" s="4">
        <v>4901</v>
      </c>
      <c r="C151" s="4">
        <v>60539</v>
      </c>
      <c r="D151" s="4">
        <v>36611</v>
      </c>
      <c r="E151" s="4">
        <v>102051</v>
      </c>
      <c r="F151" s="4">
        <v>795</v>
      </c>
      <c r="G151" s="4">
        <v>12373</v>
      </c>
      <c r="H151" s="4">
        <v>4869</v>
      </c>
      <c r="I151" s="4">
        <v>1848</v>
      </c>
      <c r="J151" s="4">
        <v>19885</v>
      </c>
      <c r="K151" s="4">
        <v>6717</v>
      </c>
      <c r="L151" s="4">
        <v>63</v>
      </c>
      <c r="M151" s="4">
        <v>2366</v>
      </c>
      <c r="N151" s="4">
        <v>-681</v>
      </c>
      <c r="O151" s="4">
        <v>1748</v>
      </c>
      <c r="P151" s="4">
        <v>13</v>
      </c>
      <c r="Q151" s="4">
        <v>377</v>
      </c>
      <c r="R151" s="4">
        <v>-124</v>
      </c>
      <c r="S151" s="4">
        <v>146</v>
      </c>
      <c r="T151" s="4">
        <v>412</v>
      </c>
      <c r="U151" s="4">
        <v>22</v>
      </c>
    </row>
    <row r="152" spans="1:21" ht="13.2" x14ac:dyDescent="0.25">
      <c r="A152" s="3">
        <v>44041</v>
      </c>
      <c r="B152" s="4">
        <v>4975</v>
      </c>
      <c r="C152" s="4">
        <v>62138</v>
      </c>
      <c r="D152" s="4">
        <v>37319</v>
      </c>
      <c r="E152" s="4">
        <v>104432</v>
      </c>
      <c r="F152" s="4">
        <v>820</v>
      </c>
      <c r="G152" s="4">
        <v>12613</v>
      </c>
      <c r="H152" s="4">
        <v>5093</v>
      </c>
      <c r="I152" s="4">
        <v>1944</v>
      </c>
      <c r="J152" s="4">
        <v>20470</v>
      </c>
      <c r="K152" s="4">
        <v>7037</v>
      </c>
      <c r="L152" s="4">
        <v>74</v>
      </c>
      <c r="M152" s="4">
        <v>1599</v>
      </c>
      <c r="N152" s="4">
        <v>708</v>
      </c>
      <c r="O152" s="4">
        <v>2381</v>
      </c>
      <c r="P152" s="4">
        <v>25</v>
      </c>
      <c r="Q152" s="4">
        <v>240</v>
      </c>
      <c r="R152" s="4">
        <v>224</v>
      </c>
      <c r="S152" s="4">
        <v>96</v>
      </c>
      <c r="T152" s="4">
        <v>585</v>
      </c>
      <c r="U152" s="4">
        <v>320</v>
      </c>
    </row>
    <row r="153" spans="1:21" ht="13.2" x14ac:dyDescent="0.25">
      <c r="A153" s="3">
        <v>44042</v>
      </c>
      <c r="B153" s="4">
        <v>5058</v>
      </c>
      <c r="C153" s="4">
        <v>64292</v>
      </c>
      <c r="D153" s="4">
        <v>36986</v>
      </c>
      <c r="E153" s="4">
        <v>106336</v>
      </c>
      <c r="F153" s="4">
        <v>821</v>
      </c>
      <c r="G153" s="4">
        <v>12801</v>
      </c>
      <c r="H153" s="4">
        <v>5098</v>
      </c>
      <c r="I153" s="4">
        <v>2049</v>
      </c>
      <c r="J153" s="4">
        <v>20769</v>
      </c>
      <c r="K153" s="4">
        <v>7147</v>
      </c>
      <c r="L153" s="4">
        <v>83</v>
      </c>
      <c r="M153" s="4">
        <v>2154</v>
      </c>
      <c r="N153" s="4">
        <v>-333</v>
      </c>
      <c r="O153" s="4">
        <v>1904</v>
      </c>
      <c r="P153" s="4">
        <v>1</v>
      </c>
      <c r="Q153" s="4">
        <v>188</v>
      </c>
      <c r="R153" s="4">
        <v>5</v>
      </c>
      <c r="S153" s="4">
        <v>105</v>
      </c>
      <c r="T153" s="4">
        <v>299</v>
      </c>
      <c r="U153" s="4">
        <v>110</v>
      </c>
    </row>
    <row r="154" spans="1:21" ht="13.2" x14ac:dyDescent="0.25">
      <c r="A154" s="3">
        <v>44043</v>
      </c>
      <c r="B154" s="4">
        <v>5131</v>
      </c>
      <c r="C154" s="4">
        <v>65907</v>
      </c>
      <c r="D154" s="4">
        <v>37338</v>
      </c>
      <c r="E154" s="4">
        <v>108376</v>
      </c>
      <c r="F154" s="4">
        <v>836</v>
      </c>
      <c r="G154" s="4">
        <v>13208</v>
      </c>
      <c r="H154" s="4">
        <v>4974</v>
      </c>
      <c r="I154" s="4">
        <v>2183</v>
      </c>
      <c r="J154" s="4">
        <v>21201</v>
      </c>
      <c r="K154" s="4">
        <v>7157</v>
      </c>
      <c r="L154" s="4">
        <v>73</v>
      </c>
      <c r="M154" s="4">
        <v>1615</v>
      </c>
      <c r="N154" s="4">
        <v>352</v>
      </c>
      <c r="O154" s="4">
        <v>2040</v>
      </c>
      <c r="P154" s="4">
        <v>15</v>
      </c>
      <c r="Q154" s="4">
        <v>407</v>
      </c>
      <c r="R154" s="4">
        <v>-124</v>
      </c>
      <c r="S154" s="4">
        <v>134</v>
      </c>
      <c r="T154" s="4">
        <v>432</v>
      </c>
      <c r="U154" s="4">
        <v>10</v>
      </c>
    </row>
    <row r="155" spans="1:21" ht="13.2" x14ac:dyDescent="0.25">
      <c r="A155" s="3">
        <v>44044</v>
      </c>
      <c r="B155" s="4">
        <v>5193</v>
      </c>
      <c r="C155" s="4">
        <v>67919</v>
      </c>
      <c r="D155" s="4">
        <v>36824</v>
      </c>
      <c r="E155" s="4">
        <v>109936</v>
      </c>
      <c r="F155" s="4">
        <v>852</v>
      </c>
      <c r="G155" s="4">
        <v>13887</v>
      </c>
      <c r="H155" s="4">
        <v>4683</v>
      </c>
      <c r="I155" s="4">
        <v>2153</v>
      </c>
      <c r="J155" s="4">
        <v>21575</v>
      </c>
      <c r="K155" s="4">
        <v>6836</v>
      </c>
      <c r="L155" s="4">
        <v>62</v>
      </c>
      <c r="M155" s="4">
        <v>2012</v>
      </c>
      <c r="N155" s="4">
        <v>-514</v>
      </c>
      <c r="O155" s="4">
        <v>1560</v>
      </c>
      <c r="P155" s="4">
        <v>16</v>
      </c>
      <c r="Q155" s="4">
        <v>679</v>
      </c>
      <c r="R155" s="4">
        <v>-291</v>
      </c>
      <c r="S155" s="4">
        <v>-30</v>
      </c>
      <c r="T155" s="4">
        <v>374</v>
      </c>
      <c r="U155" s="4">
        <v>-321</v>
      </c>
    </row>
    <row r="156" spans="1:21" ht="13.2" x14ac:dyDescent="0.25">
      <c r="A156" s="3">
        <v>44045</v>
      </c>
      <c r="B156" s="4">
        <v>5236</v>
      </c>
      <c r="C156" s="4">
        <v>68975</v>
      </c>
      <c r="D156" s="4">
        <v>37244</v>
      </c>
      <c r="E156" s="4">
        <v>111455</v>
      </c>
      <c r="F156" s="4">
        <v>852</v>
      </c>
      <c r="G156" s="4">
        <v>14027</v>
      </c>
      <c r="H156" s="4">
        <v>4916</v>
      </c>
      <c r="I156" s="4">
        <v>2159</v>
      </c>
      <c r="J156" s="4">
        <v>21954</v>
      </c>
      <c r="K156" s="4">
        <v>7075</v>
      </c>
      <c r="L156" s="4">
        <v>43</v>
      </c>
      <c r="M156" s="4">
        <v>1056</v>
      </c>
      <c r="N156" s="4">
        <v>420</v>
      </c>
      <c r="O156" s="4">
        <v>1519</v>
      </c>
      <c r="P156" s="4">
        <v>0</v>
      </c>
      <c r="Q156" s="4">
        <v>140</v>
      </c>
      <c r="R156" s="4">
        <v>233</v>
      </c>
      <c r="S156" s="4">
        <v>6</v>
      </c>
      <c r="T156" s="4">
        <v>379</v>
      </c>
      <c r="U156" s="4">
        <v>239</v>
      </c>
    </row>
    <row r="157" spans="1:21" ht="13.2" x14ac:dyDescent="0.25">
      <c r="A157" s="3">
        <v>44046</v>
      </c>
      <c r="B157" s="4">
        <v>5302</v>
      </c>
      <c r="C157" s="4">
        <v>70237</v>
      </c>
      <c r="D157" s="4">
        <v>37595</v>
      </c>
      <c r="E157" s="4">
        <v>113134</v>
      </c>
      <c r="F157" s="4">
        <v>867</v>
      </c>
      <c r="G157" s="4">
        <v>14165</v>
      </c>
      <c r="H157" s="4">
        <v>5084</v>
      </c>
      <c r="I157" s="4">
        <v>2327</v>
      </c>
      <c r="J157" s="4">
        <v>22443</v>
      </c>
      <c r="K157" s="4">
        <v>7411</v>
      </c>
      <c r="L157" s="4">
        <v>66</v>
      </c>
      <c r="M157" s="4">
        <v>1262</v>
      </c>
      <c r="N157" s="4">
        <v>351</v>
      </c>
      <c r="O157" s="4">
        <v>1679</v>
      </c>
      <c r="P157" s="4">
        <v>15</v>
      </c>
      <c r="Q157" s="4">
        <v>138</v>
      </c>
      <c r="R157" s="4">
        <v>168</v>
      </c>
      <c r="S157" s="4">
        <v>168</v>
      </c>
      <c r="T157" s="4">
        <v>489</v>
      </c>
      <c r="U157" s="4">
        <v>336</v>
      </c>
    </row>
    <row r="158" spans="1:21" ht="13.2" x14ac:dyDescent="0.25">
      <c r="A158" s="3">
        <v>44047</v>
      </c>
      <c r="B158" s="4">
        <v>5388</v>
      </c>
      <c r="C158" s="4">
        <v>72050</v>
      </c>
      <c r="D158" s="4">
        <v>37618</v>
      </c>
      <c r="E158" s="4">
        <v>115056</v>
      </c>
      <c r="F158" s="4">
        <v>880</v>
      </c>
      <c r="G158" s="4">
        <v>14381</v>
      </c>
      <c r="H158" s="4">
        <v>5216</v>
      </c>
      <c r="I158" s="4">
        <v>2432</v>
      </c>
      <c r="J158" s="4">
        <v>22909</v>
      </c>
      <c r="K158" s="4">
        <v>7648</v>
      </c>
      <c r="L158" s="4">
        <v>86</v>
      </c>
      <c r="M158" s="4">
        <v>1813</v>
      </c>
      <c r="N158" s="4">
        <v>23</v>
      </c>
      <c r="O158" s="4">
        <v>1922</v>
      </c>
      <c r="P158" s="4">
        <v>13</v>
      </c>
      <c r="Q158" s="4">
        <v>216</v>
      </c>
      <c r="R158" s="4">
        <v>132</v>
      </c>
      <c r="S158" s="4">
        <v>105</v>
      </c>
      <c r="T158" s="4">
        <v>466</v>
      </c>
      <c r="U158" s="4">
        <v>237</v>
      </c>
    </row>
    <row r="159" spans="1:21" ht="13.2" x14ac:dyDescent="0.25">
      <c r="A159" s="3">
        <v>44048</v>
      </c>
      <c r="B159" s="4">
        <v>5452</v>
      </c>
      <c r="C159" s="4">
        <v>73889</v>
      </c>
      <c r="D159" s="4">
        <v>37530</v>
      </c>
      <c r="E159" s="4">
        <v>116871</v>
      </c>
      <c r="F159" s="4">
        <v>895</v>
      </c>
      <c r="G159" s="4">
        <v>14760</v>
      </c>
      <c r="H159" s="4">
        <v>5128</v>
      </c>
      <c r="I159" s="4">
        <v>2483</v>
      </c>
      <c r="J159" s="4">
        <v>23266</v>
      </c>
      <c r="K159" s="4">
        <v>7611</v>
      </c>
      <c r="L159" s="4">
        <v>64</v>
      </c>
      <c r="M159" s="4">
        <v>1839</v>
      </c>
      <c r="N159" s="4">
        <v>-88</v>
      </c>
      <c r="O159" s="4">
        <v>1815</v>
      </c>
      <c r="P159" s="4">
        <v>15</v>
      </c>
      <c r="Q159" s="4">
        <v>379</v>
      </c>
      <c r="R159" s="4">
        <v>-88</v>
      </c>
      <c r="S159" s="4">
        <v>51</v>
      </c>
      <c r="T159" s="4">
        <v>357</v>
      </c>
      <c r="U159" s="4">
        <v>-37</v>
      </c>
    </row>
    <row r="160" spans="1:21" ht="13.2" x14ac:dyDescent="0.25">
      <c r="A160" s="3">
        <v>44049</v>
      </c>
      <c r="B160" s="4">
        <v>5521</v>
      </c>
      <c r="C160" s="4">
        <v>75645</v>
      </c>
      <c r="D160" s="4">
        <v>37587</v>
      </c>
      <c r="E160" s="4">
        <v>118753</v>
      </c>
      <c r="F160" s="4">
        <v>908</v>
      </c>
      <c r="G160" s="4">
        <v>15006</v>
      </c>
      <c r="H160" s="4">
        <v>5397</v>
      </c>
      <c r="I160" s="4">
        <v>2552</v>
      </c>
      <c r="J160" s="4">
        <v>23863</v>
      </c>
      <c r="K160" s="4">
        <v>7949</v>
      </c>
      <c r="L160" s="4">
        <v>69</v>
      </c>
      <c r="M160" s="4">
        <v>1756</v>
      </c>
      <c r="N160" s="4">
        <v>57</v>
      </c>
      <c r="O160" s="4">
        <v>1882</v>
      </c>
      <c r="P160" s="4">
        <v>13</v>
      </c>
      <c r="Q160" s="4">
        <v>246</v>
      </c>
      <c r="R160" s="4">
        <v>269</v>
      </c>
      <c r="S160" s="4">
        <v>69</v>
      </c>
      <c r="T160" s="4">
        <v>597</v>
      </c>
      <c r="U160" s="4">
        <v>338</v>
      </c>
    </row>
    <row r="161" spans="1:21" ht="13.2" x14ac:dyDescent="0.25">
      <c r="A161" s="3">
        <v>44050</v>
      </c>
      <c r="B161" s="4">
        <v>5593</v>
      </c>
      <c r="C161" s="4">
        <v>77557</v>
      </c>
      <c r="D161" s="4">
        <v>38076</v>
      </c>
      <c r="E161" s="4">
        <v>121226</v>
      </c>
      <c r="F161" s="4">
        <v>922</v>
      </c>
      <c r="G161" s="4">
        <v>15201</v>
      </c>
      <c r="H161" s="4">
        <v>5803</v>
      </c>
      <c r="I161" s="4">
        <v>2595</v>
      </c>
      <c r="J161" s="4">
        <v>24521</v>
      </c>
      <c r="K161" s="4">
        <v>8398</v>
      </c>
      <c r="L161" s="4">
        <v>72</v>
      </c>
      <c r="M161" s="4">
        <v>1912</v>
      </c>
      <c r="N161" s="4">
        <v>489</v>
      </c>
      <c r="O161" s="4">
        <v>2473</v>
      </c>
      <c r="P161" s="4">
        <v>14</v>
      </c>
      <c r="Q161" s="4">
        <v>195</v>
      </c>
      <c r="R161" s="4">
        <v>406</v>
      </c>
      <c r="S161" s="4">
        <v>43</v>
      </c>
      <c r="T161" s="4">
        <v>658</v>
      </c>
      <c r="U161" s="4">
        <v>449</v>
      </c>
    </row>
    <row r="162" spans="1:21" ht="13.2" x14ac:dyDescent="0.25">
      <c r="A162" s="3">
        <v>44051</v>
      </c>
      <c r="B162" s="4">
        <v>5658</v>
      </c>
      <c r="C162" s="4">
        <v>79306</v>
      </c>
      <c r="D162" s="4">
        <v>38539</v>
      </c>
      <c r="E162" s="4">
        <v>123503</v>
      </c>
      <c r="F162" s="4">
        <v>934</v>
      </c>
      <c r="G162" s="4">
        <v>15710</v>
      </c>
      <c r="H162" s="4">
        <v>6110</v>
      </c>
      <c r="I162" s="4">
        <v>2488</v>
      </c>
      <c r="J162" s="4">
        <v>25242</v>
      </c>
      <c r="K162" s="4">
        <v>8598</v>
      </c>
      <c r="L162" s="4">
        <v>65</v>
      </c>
      <c r="M162" s="4">
        <v>1749</v>
      </c>
      <c r="N162" s="4">
        <v>463</v>
      </c>
      <c r="O162" s="4">
        <v>2277</v>
      </c>
      <c r="P162" s="4">
        <v>12</v>
      </c>
      <c r="Q162" s="4">
        <v>509</v>
      </c>
      <c r="R162" s="4">
        <v>307</v>
      </c>
      <c r="S162" s="4">
        <v>-107</v>
      </c>
      <c r="T162" s="4">
        <v>721</v>
      </c>
      <c r="U162" s="4">
        <v>200</v>
      </c>
    </row>
    <row r="163" spans="1:21" ht="13.2" x14ac:dyDescent="0.25">
      <c r="A163" s="3">
        <v>44052</v>
      </c>
      <c r="B163" s="4">
        <v>5723</v>
      </c>
      <c r="C163" s="4">
        <v>80952</v>
      </c>
      <c r="D163" s="4">
        <v>38721</v>
      </c>
      <c r="E163" s="4">
        <v>125396</v>
      </c>
      <c r="F163" s="4">
        <v>939</v>
      </c>
      <c r="G163" s="4">
        <v>16268</v>
      </c>
      <c r="H163" s="4">
        <v>6091</v>
      </c>
      <c r="I163" s="4">
        <v>2416</v>
      </c>
      <c r="J163" s="4">
        <v>25714</v>
      </c>
      <c r="K163" s="4">
        <v>8507</v>
      </c>
      <c r="L163" s="4">
        <v>65</v>
      </c>
      <c r="M163" s="4">
        <v>1646</v>
      </c>
      <c r="N163" s="4">
        <v>182</v>
      </c>
      <c r="O163" s="4">
        <v>1893</v>
      </c>
      <c r="P163" s="4">
        <v>5</v>
      </c>
      <c r="Q163" s="4">
        <v>558</v>
      </c>
      <c r="R163" s="4">
        <v>-19</v>
      </c>
      <c r="S163" s="4">
        <v>-72</v>
      </c>
      <c r="T163" s="4">
        <v>472</v>
      </c>
      <c r="U163" s="4">
        <v>-91</v>
      </c>
    </row>
    <row r="164" spans="1:21" ht="13.2" x14ac:dyDescent="0.25">
      <c r="A164" s="3">
        <v>44053</v>
      </c>
      <c r="B164" s="4">
        <v>5765</v>
      </c>
      <c r="C164" s="4">
        <v>82236</v>
      </c>
      <c r="D164" s="4">
        <v>39082</v>
      </c>
      <c r="E164" s="4">
        <v>127083</v>
      </c>
      <c r="F164" s="4">
        <v>940</v>
      </c>
      <c r="G164" s="4">
        <v>16446</v>
      </c>
      <c r="H164" s="4">
        <v>6252</v>
      </c>
      <c r="I164" s="4">
        <v>2555</v>
      </c>
      <c r="J164" s="4">
        <v>26193</v>
      </c>
      <c r="K164" s="4">
        <v>8807</v>
      </c>
      <c r="L164" s="4">
        <v>42</v>
      </c>
      <c r="M164" s="4">
        <v>1284</v>
      </c>
      <c r="N164" s="4">
        <v>361</v>
      </c>
      <c r="O164" s="4">
        <v>1687</v>
      </c>
      <c r="P164" s="4">
        <v>1</v>
      </c>
      <c r="Q164" s="4">
        <v>178</v>
      </c>
      <c r="R164" s="4">
        <v>161</v>
      </c>
      <c r="S164" s="4">
        <v>139</v>
      </c>
      <c r="T164" s="4">
        <v>479</v>
      </c>
      <c r="U164" s="4">
        <v>300</v>
      </c>
    </row>
    <row r="165" spans="1:21" ht="13.2" x14ac:dyDescent="0.25">
      <c r="A165" s="3">
        <v>44054</v>
      </c>
      <c r="B165" s="4">
        <v>5824</v>
      </c>
      <c r="C165" s="4">
        <v>83710</v>
      </c>
      <c r="D165" s="4">
        <v>39242</v>
      </c>
      <c r="E165" s="4">
        <v>128776</v>
      </c>
      <c r="F165" s="4">
        <v>953</v>
      </c>
      <c r="G165" s="4">
        <v>16927</v>
      </c>
      <c r="H165" s="4">
        <v>6236</v>
      </c>
      <c r="I165" s="4">
        <v>2548</v>
      </c>
      <c r="J165" s="4">
        <v>26664</v>
      </c>
      <c r="K165" s="4">
        <v>8784</v>
      </c>
      <c r="L165" s="4">
        <v>59</v>
      </c>
      <c r="M165" s="4">
        <v>1474</v>
      </c>
      <c r="N165" s="4">
        <v>160</v>
      </c>
      <c r="O165" s="4">
        <v>1693</v>
      </c>
      <c r="P165" s="4">
        <v>13</v>
      </c>
      <c r="Q165" s="4">
        <v>481</v>
      </c>
      <c r="R165" s="4">
        <v>-16</v>
      </c>
      <c r="S165" s="4">
        <v>-7</v>
      </c>
      <c r="T165" s="4">
        <v>471</v>
      </c>
      <c r="U165" s="4">
        <v>-23</v>
      </c>
    </row>
    <row r="166" spans="1:21" ht="13.2" x14ac:dyDescent="0.25">
      <c r="A166" s="3">
        <v>44055</v>
      </c>
      <c r="B166" s="4">
        <v>5903</v>
      </c>
      <c r="C166" s="4">
        <v>85798</v>
      </c>
      <c r="D166" s="4">
        <v>39017</v>
      </c>
      <c r="E166" s="4">
        <v>130718</v>
      </c>
      <c r="F166" s="4">
        <v>968</v>
      </c>
      <c r="G166" s="4">
        <v>17349</v>
      </c>
      <c r="H166" s="4">
        <v>6208</v>
      </c>
      <c r="I166" s="4">
        <v>2717</v>
      </c>
      <c r="J166" s="4">
        <v>27242</v>
      </c>
      <c r="K166" s="4">
        <v>8925</v>
      </c>
      <c r="L166" s="4">
        <v>79</v>
      </c>
      <c r="M166" s="4">
        <v>2088</v>
      </c>
      <c r="N166" s="4">
        <v>-225</v>
      </c>
      <c r="O166" s="4">
        <v>1942</v>
      </c>
      <c r="P166" s="4">
        <v>15</v>
      </c>
      <c r="Q166" s="4">
        <v>422</v>
      </c>
      <c r="R166" s="4">
        <v>-28</v>
      </c>
      <c r="S166" s="4">
        <v>169</v>
      </c>
      <c r="T166" s="4">
        <v>578</v>
      </c>
      <c r="U166" s="4">
        <v>141</v>
      </c>
    </row>
    <row r="167" spans="1:21" ht="13.2" x14ac:dyDescent="0.25">
      <c r="A167" s="3">
        <v>44056</v>
      </c>
      <c r="B167" s="4">
        <v>5968</v>
      </c>
      <c r="C167" s="4">
        <v>87558</v>
      </c>
      <c r="D167" s="4">
        <v>39290</v>
      </c>
      <c r="E167" s="4">
        <v>132816</v>
      </c>
      <c r="F167" s="4">
        <v>981</v>
      </c>
      <c r="G167" s="4">
        <v>17838</v>
      </c>
      <c r="H167" s="4">
        <v>6330</v>
      </c>
      <c r="I167" s="4">
        <v>2714</v>
      </c>
      <c r="J167" s="4">
        <v>27863</v>
      </c>
      <c r="K167" s="4">
        <v>9044</v>
      </c>
      <c r="L167" s="4">
        <v>65</v>
      </c>
      <c r="M167" s="4">
        <v>1760</v>
      </c>
      <c r="N167" s="4">
        <v>273</v>
      </c>
      <c r="O167" s="4">
        <v>2098</v>
      </c>
      <c r="P167" s="4">
        <v>13</v>
      </c>
      <c r="Q167" s="4">
        <v>489</v>
      </c>
      <c r="R167" s="4">
        <v>122</v>
      </c>
      <c r="S167" s="4">
        <v>-3</v>
      </c>
      <c r="T167" s="4">
        <v>621</v>
      </c>
      <c r="U167" s="4">
        <v>119</v>
      </c>
    </row>
    <row r="168" spans="1:21" ht="13.2" x14ac:dyDescent="0.25">
      <c r="A168" s="3">
        <v>44057</v>
      </c>
      <c r="B168" s="4">
        <v>6021</v>
      </c>
      <c r="C168" s="4">
        <v>89618</v>
      </c>
      <c r="D168" s="4">
        <v>39484</v>
      </c>
      <c r="E168" s="4">
        <v>135123</v>
      </c>
      <c r="F168" s="4">
        <v>985</v>
      </c>
      <c r="G168" s="4">
        <v>18528</v>
      </c>
      <c r="H168" s="4">
        <v>6331</v>
      </c>
      <c r="I168" s="4">
        <v>2594</v>
      </c>
      <c r="J168" s="4">
        <v>28438</v>
      </c>
      <c r="K168" s="4">
        <v>8925</v>
      </c>
      <c r="L168" s="4">
        <v>53</v>
      </c>
      <c r="M168" s="4">
        <v>2060</v>
      </c>
      <c r="N168" s="4">
        <v>194</v>
      </c>
      <c r="O168" s="4">
        <v>2307</v>
      </c>
      <c r="P168" s="4">
        <v>4</v>
      </c>
      <c r="Q168" s="4">
        <v>690</v>
      </c>
      <c r="R168" s="4">
        <v>1</v>
      </c>
      <c r="S168" s="4">
        <v>-120</v>
      </c>
      <c r="T168" s="4">
        <v>575</v>
      </c>
      <c r="U168" s="4">
        <v>-119</v>
      </c>
    </row>
    <row r="169" spans="1:21" ht="13.2" x14ac:dyDescent="0.25">
      <c r="A169" s="3">
        <v>44058</v>
      </c>
      <c r="B169" s="4">
        <v>6071</v>
      </c>
      <c r="C169" s="4">
        <v>91321</v>
      </c>
      <c r="D169" s="4">
        <v>40076</v>
      </c>
      <c r="E169" s="4">
        <v>137468</v>
      </c>
      <c r="F169" s="4">
        <v>991</v>
      </c>
      <c r="G169" s="4">
        <v>18974</v>
      </c>
      <c r="H169" s="4">
        <v>6457</v>
      </c>
      <c r="I169" s="4">
        <v>2614</v>
      </c>
      <c r="J169" s="4">
        <v>29036</v>
      </c>
      <c r="K169" s="4">
        <v>9071</v>
      </c>
      <c r="L169" s="4">
        <v>50</v>
      </c>
      <c r="M169" s="4">
        <v>1703</v>
      </c>
      <c r="N169" s="4">
        <v>592</v>
      </c>
      <c r="O169" s="4">
        <v>2345</v>
      </c>
      <c r="P169" s="4">
        <v>6</v>
      </c>
      <c r="Q169" s="4">
        <v>446</v>
      </c>
      <c r="R169" s="4">
        <v>126</v>
      </c>
      <c r="S169" s="4">
        <v>20</v>
      </c>
      <c r="T169" s="4">
        <v>598</v>
      </c>
      <c r="U169" s="4">
        <v>146</v>
      </c>
    </row>
    <row r="170" spans="1:21" ht="13.2" x14ac:dyDescent="0.25">
      <c r="A170" s="3">
        <v>44059</v>
      </c>
      <c r="B170" s="4">
        <v>6150</v>
      </c>
      <c r="C170" s="4">
        <v>93103</v>
      </c>
      <c r="D170" s="4">
        <v>40296</v>
      </c>
      <c r="E170" s="4">
        <v>139549</v>
      </c>
      <c r="F170" s="4">
        <v>995</v>
      </c>
      <c r="G170" s="4">
        <v>19708</v>
      </c>
      <c r="H170" s="4">
        <v>6284</v>
      </c>
      <c r="I170" s="4">
        <v>2567</v>
      </c>
      <c r="J170" s="4">
        <v>29554</v>
      </c>
      <c r="K170" s="4">
        <v>8851</v>
      </c>
      <c r="L170" s="4">
        <v>79</v>
      </c>
      <c r="M170" s="4">
        <v>1782</v>
      </c>
      <c r="N170" s="4">
        <v>220</v>
      </c>
      <c r="O170" s="4">
        <v>2081</v>
      </c>
      <c r="P170" s="4">
        <v>4</v>
      </c>
      <c r="Q170" s="4">
        <v>734</v>
      </c>
      <c r="R170" s="4">
        <v>-173</v>
      </c>
      <c r="S170" s="4">
        <v>-47</v>
      </c>
      <c r="T170" s="4">
        <v>518</v>
      </c>
      <c r="U170" s="4">
        <v>-220</v>
      </c>
    </row>
    <row r="171" spans="1:21" ht="13.2" x14ac:dyDescent="0.25">
      <c r="A171" s="3">
        <v>44060</v>
      </c>
      <c r="B171" s="4">
        <v>6207</v>
      </c>
      <c r="C171" s="4">
        <v>94458</v>
      </c>
      <c r="D171" s="4">
        <v>40705</v>
      </c>
      <c r="E171" s="4">
        <v>141370</v>
      </c>
      <c r="F171" s="4">
        <v>1011</v>
      </c>
      <c r="G171" s="4">
        <v>19916</v>
      </c>
      <c r="H171" s="4">
        <v>6514</v>
      </c>
      <c r="I171" s="4">
        <v>2651</v>
      </c>
      <c r="J171" s="4">
        <v>30092</v>
      </c>
      <c r="K171" s="4">
        <v>9165</v>
      </c>
      <c r="L171" s="4">
        <v>57</v>
      </c>
      <c r="M171" s="4">
        <v>1355</v>
      </c>
      <c r="N171" s="4">
        <v>409</v>
      </c>
      <c r="O171" s="4">
        <v>1821</v>
      </c>
      <c r="P171" s="4">
        <v>16</v>
      </c>
      <c r="Q171" s="4">
        <v>208</v>
      </c>
      <c r="R171" s="4">
        <v>230</v>
      </c>
      <c r="S171" s="4">
        <v>84</v>
      </c>
      <c r="T171" s="4">
        <v>538</v>
      </c>
      <c r="U171" s="4">
        <v>314</v>
      </c>
    </row>
    <row r="172" spans="1:21" ht="13.2" x14ac:dyDescent="0.25">
      <c r="A172" s="3">
        <v>44061</v>
      </c>
      <c r="B172" s="4">
        <v>6277</v>
      </c>
      <c r="C172" s="4">
        <v>96306</v>
      </c>
      <c r="D172" s="4">
        <v>40460</v>
      </c>
      <c r="E172" s="4">
        <v>143043</v>
      </c>
      <c r="F172" s="4">
        <v>1028</v>
      </c>
      <c r="G172" s="4">
        <v>20505</v>
      </c>
      <c r="H172" s="4">
        <v>6602</v>
      </c>
      <c r="I172" s="4">
        <v>2462</v>
      </c>
      <c r="J172" s="4">
        <v>30597</v>
      </c>
      <c r="K172" s="4">
        <v>9064</v>
      </c>
      <c r="L172" s="4">
        <v>70</v>
      </c>
      <c r="M172" s="4">
        <v>1848</v>
      </c>
      <c r="N172" s="4">
        <v>-245</v>
      </c>
      <c r="O172" s="4">
        <v>1673</v>
      </c>
      <c r="P172" s="4">
        <v>17</v>
      </c>
      <c r="Q172" s="4">
        <v>589</v>
      </c>
      <c r="R172" s="4">
        <v>88</v>
      </c>
      <c r="S172" s="4">
        <v>-189</v>
      </c>
      <c r="T172" s="4">
        <v>505</v>
      </c>
      <c r="U172" s="4">
        <v>-101</v>
      </c>
    </row>
    <row r="173" spans="1:21" ht="13.2" x14ac:dyDescent="0.25">
      <c r="A173" s="3">
        <v>44062</v>
      </c>
      <c r="B173" s="4">
        <v>6346</v>
      </c>
      <c r="C173" s="4">
        <v>98657</v>
      </c>
      <c r="D173" s="4">
        <v>39942</v>
      </c>
      <c r="E173" s="4">
        <v>144945</v>
      </c>
      <c r="F173" s="4">
        <v>1046</v>
      </c>
      <c r="G173" s="4">
        <v>21069</v>
      </c>
      <c r="H173" s="4">
        <v>6488</v>
      </c>
      <c r="I173" s="4">
        <v>2559</v>
      </c>
      <c r="J173" s="4">
        <v>31162</v>
      </c>
      <c r="K173" s="4">
        <v>9047</v>
      </c>
      <c r="L173" s="4">
        <v>69</v>
      </c>
      <c r="M173" s="4">
        <v>2351</v>
      </c>
      <c r="N173" s="4">
        <v>-518</v>
      </c>
      <c r="O173" s="4">
        <v>1902</v>
      </c>
      <c r="P173" s="4">
        <v>18</v>
      </c>
      <c r="Q173" s="4">
        <v>564</v>
      </c>
      <c r="R173" s="4">
        <v>-114</v>
      </c>
      <c r="S173" s="4">
        <v>97</v>
      </c>
      <c r="T173" s="4">
        <v>565</v>
      </c>
      <c r="U173" s="4">
        <v>-17</v>
      </c>
    </row>
    <row r="174" spans="1:21" ht="13.2" x14ac:dyDescent="0.25">
      <c r="A174" s="3">
        <v>44063</v>
      </c>
      <c r="B174" s="4">
        <v>6418</v>
      </c>
      <c r="C174" s="4">
        <v>100674</v>
      </c>
      <c r="D174" s="4">
        <v>40119</v>
      </c>
      <c r="E174" s="4">
        <v>147211</v>
      </c>
      <c r="F174" s="4">
        <v>1061</v>
      </c>
      <c r="G174" s="4">
        <v>21795</v>
      </c>
      <c r="H174" s="4">
        <v>6357</v>
      </c>
      <c r="I174" s="4">
        <v>2544</v>
      </c>
      <c r="J174" s="4">
        <v>31757</v>
      </c>
      <c r="K174" s="4">
        <v>8901</v>
      </c>
      <c r="L174" s="4">
        <v>72</v>
      </c>
      <c r="M174" s="4">
        <v>2017</v>
      </c>
      <c r="N174" s="4">
        <v>177</v>
      </c>
      <c r="O174" s="4">
        <v>2266</v>
      </c>
      <c r="P174" s="4">
        <v>15</v>
      </c>
      <c r="Q174" s="4">
        <v>726</v>
      </c>
      <c r="R174" s="4">
        <v>-131</v>
      </c>
      <c r="S174" s="4">
        <v>-15</v>
      </c>
      <c r="T174" s="4">
        <v>595</v>
      </c>
      <c r="U174" s="4">
        <v>-146</v>
      </c>
    </row>
    <row r="175" spans="1:21" ht="13.2" x14ac:dyDescent="0.25">
      <c r="A175" s="3">
        <v>44064</v>
      </c>
      <c r="B175" s="4">
        <v>6500</v>
      </c>
      <c r="C175" s="4">
        <v>102991</v>
      </c>
      <c r="D175" s="4">
        <v>39917</v>
      </c>
      <c r="E175" s="4">
        <v>149408</v>
      </c>
      <c r="F175" s="4">
        <v>1076</v>
      </c>
      <c r="G175" s="4">
        <v>22228</v>
      </c>
      <c r="H175" s="4">
        <v>6518</v>
      </c>
      <c r="I175" s="4">
        <v>2576</v>
      </c>
      <c r="J175" s="4">
        <v>32398</v>
      </c>
      <c r="K175" s="4">
        <v>9094</v>
      </c>
      <c r="L175" s="4">
        <v>82</v>
      </c>
      <c r="M175" s="4">
        <v>2317</v>
      </c>
      <c r="N175" s="4">
        <v>-202</v>
      </c>
      <c r="O175" s="4">
        <v>2197</v>
      </c>
      <c r="P175" s="4">
        <v>15</v>
      </c>
      <c r="Q175" s="4">
        <v>433</v>
      </c>
      <c r="R175" s="4">
        <v>161</v>
      </c>
      <c r="S175" s="4">
        <v>32</v>
      </c>
      <c r="T175" s="4">
        <v>641</v>
      </c>
      <c r="U175" s="4">
        <v>193</v>
      </c>
    </row>
    <row r="176" spans="1:21" ht="13.2" x14ac:dyDescent="0.25">
      <c r="A176" s="3">
        <v>44065</v>
      </c>
      <c r="B176" s="4">
        <v>6594</v>
      </c>
      <c r="C176" s="4">
        <v>105198</v>
      </c>
      <c r="D176" s="4">
        <v>39706</v>
      </c>
      <c r="E176" s="4">
        <v>151498</v>
      </c>
      <c r="F176" s="4">
        <v>1091</v>
      </c>
      <c r="G176" s="4">
        <v>22877</v>
      </c>
      <c r="H176" s="4">
        <v>6269</v>
      </c>
      <c r="I176" s="4">
        <v>2762</v>
      </c>
      <c r="J176" s="4">
        <v>32999</v>
      </c>
      <c r="K176" s="4">
        <v>9031</v>
      </c>
      <c r="L176" s="4">
        <v>94</v>
      </c>
      <c r="M176" s="4">
        <v>2207</v>
      </c>
      <c r="N176" s="4">
        <v>-211</v>
      </c>
      <c r="O176" s="4">
        <v>2090</v>
      </c>
      <c r="P176" s="4">
        <v>15</v>
      </c>
      <c r="Q176" s="4">
        <v>649</v>
      </c>
      <c r="R176" s="4">
        <v>-249</v>
      </c>
      <c r="S176" s="4">
        <v>186</v>
      </c>
      <c r="T176" s="4">
        <v>601</v>
      </c>
      <c r="U176" s="4">
        <v>-63</v>
      </c>
    </row>
    <row r="177" spans="1:21" ht="13.2" x14ac:dyDescent="0.25">
      <c r="A177" s="3">
        <v>44066</v>
      </c>
      <c r="B177" s="4">
        <v>6680</v>
      </c>
      <c r="C177" s="4">
        <v>107500</v>
      </c>
      <c r="D177" s="4">
        <v>39355</v>
      </c>
      <c r="E177" s="4">
        <v>153535</v>
      </c>
      <c r="F177" s="4">
        <v>1107</v>
      </c>
      <c r="G177" s="4">
        <v>23567</v>
      </c>
      <c r="H177" s="4">
        <v>6040</v>
      </c>
      <c r="I177" s="4">
        <v>2922</v>
      </c>
      <c r="J177" s="4">
        <v>33636</v>
      </c>
      <c r="K177" s="4">
        <v>8962</v>
      </c>
      <c r="L177" s="4">
        <v>86</v>
      </c>
      <c r="M177" s="4">
        <v>2302</v>
      </c>
      <c r="N177" s="4">
        <v>-351</v>
      </c>
      <c r="O177" s="4">
        <v>2037</v>
      </c>
      <c r="P177" s="4">
        <v>16</v>
      </c>
      <c r="Q177" s="4">
        <v>690</v>
      </c>
      <c r="R177" s="4">
        <v>-229</v>
      </c>
      <c r="S177" s="4">
        <v>160</v>
      </c>
      <c r="T177" s="4">
        <v>637</v>
      </c>
      <c r="U177" s="4">
        <v>-69</v>
      </c>
    </row>
    <row r="178" spans="1:21" ht="13.2" x14ac:dyDescent="0.25">
      <c r="A178" s="3">
        <v>44067</v>
      </c>
      <c r="B178" s="4">
        <v>6759</v>
      </c>
      <c r="C178" s="4">
        <v>111060</v>
      </c>
      <c r="D178" s="4">
        <v>37593</v>
      </c>
      <c r="E178" s="4">
        <v>155412</v>
      </c>
      <c r="F178" s="4">
        <v>1112</v>
      </c>
      <c r="G178" s="4">
        <v>25463</v>
      </c>
      <c r="H178" s="4">
        <v>5090</v>
      </c>
      <c r="I178" s="4">
        <v>2630</v>
      </c>
      <c r="J178" s="4">
        <v>34295</v>
      </c>
      <c r="K178" s="4">
        <v>7720</v>
      </c>
      <c r="L178" s="4">
        <v>79</v>
      </c>
      <c r="M178" s="4">
        <v>3560</v>
      </c>
      <c r="N178" s="4">
        <v>-1762</v>
      </c>
      <c r="O178" s="4">
        <v>1877</v>
      </c>
      <c r="P178" s="4">
        <v>5</v>
      </c>
      <c r="Q178" s="4">
        <v>1896</v>
      </c>
      <c r="R178" s="4">
        <v>-950</v>
      </c>
      <c r="S178" s="4">
        <v>-292</v>
      </c>
      <c r="T178" s="4">
        <v>659</v>
      </c>
      <c r="U178" s="4">
        <v>-1242</v>
      </c>
    </row>
    <row r="179" spans="1:21" ht="13.2" x14ac:dyDescent="0.25">
      <c r="A179" s="3">
        <v>44068</v>
      </c>
      <c r="B179" s="4">
        <v>6858</v>
      </c>
      <c r="C179" s="4">
        <v>112867</v>
      </c>
      <c r="D179" s="4">
        <v>38134</v>
      </c>
      <c r="E179" s="4">
        <v>157859</v>
      </c>
      <c r="F179" s="4">
        <v>1129</v>
      </c>
      <c r="G179" s="4">
        <v>25986</v>
      </c>
      <c r="H179" s="4">
        <v>5130</v>
      </c>
      <c r="I179" s="4">
        <v>2686</v>
      </c>
      <c r="J179" s="4">
        <v>34931</v>
      </c>
      <c r="K179" s="4">
        <v>7816</v>
      </c>
      <c r="L179" s="4">
        <v>99</v>
      </c>
      <c r="M179" s="4">
        <v>1807</v>
      </c>
      <c r="N179" s="4">
        <v>541</v>
      </c>
      <c r="O179" s="4">
        <v>2447</v>
      </c>
      <c r="P179" s="4">
        <v>17</v>
      </c>
      <c r="Q179" s="4">
        <v>523</v>
      </c>
      <c r="R179" s="4">
        <v>40</v>
      </c>
      <c r="S179" s="4">
        <v>56</v>
      </c>
      <c r="T179" s="4">
        <v>636</v>
      </c>
      <c r="U179" s="4">
        <v>96</v>
      </c>
    </row>
    <row r="180" spans="1:21" ht="13.2" x14ac:dyDescent="0.25">
      <c r="A180" s="3">
        <v>44069</v>
      </c>
      <c r="B180" s="4">
        <v>6944</v>
      </c>
      <c r="C180" s="4">
        <v>115409</v>
      </c>
      <c r="D180" s="4">
        <v>37812</v>
      </c>
      <c r="E180" s="4">
        <v>160165</v>
      </c>
      <c r="F180" s="4">
        <v>1144</v>
      </c>
      <c r="G180" s="4">
        <v>26750</v>
      </c>
      <c r="H180" s="4">
        <v>4978</v>
      </c>
      <c r="I180" s="4">
        <v>2770</v>
      </c>
      <c r="J180" s="4">
        <v>35642</v>
      </c>
      <c r="K180" s="4">
        <v>7748</v>
      </c>
      <c r="L180" s="4">
        <v>86</v>
      </c>
      <c r="M180" s="4">
        <v>2542</v>
      </c>
      <c r="N180" s="4">
        <v>-322</v>
      </c>
      <c r="O180" s="4">
        <v>2306</v>
      </c>
      <c r="P180" s="4">
        <v>15</v>
      </c>
      <c r="Q180" s="4">
        <v>764</v>
      </c>
      <c r="R180" s="4">
        <v>-152</v>
      </c>
      <c r="S180" s="4">
        <v>84</v>
      </c>
      <c r="T180" s="4">
        <v>711</v>
      </c>
      <c r="U180" s="4">
        <v>-68</v>
      </c>
    </row>
    <row r="181" spans="1:21" ht="13.2" x14ac:dyDescent="0.25">
      <c r="A181" s="3">
        <v>44070</v>
      </c>
      <c r="B181" s="4">
        <v>7064</v>
      </c>
      <c r="C181" s="4">
        <v>118575</v>
      </c>
      <c r="D181" s="4">
        <v>37245</v>
      </c>
      <c r="E181" s="4">
        <v>162884</v>
      </c>
      <c r="F181" s="4">
        <v>1147</v>
      </c>
      <c r="G181" s="4">
        <v>28288</v>
      </c>
      <c r="H181" s="4">
        <v>4499</v>
      </c>
      <c r="I181" s="4">
        <v>2528</v>
      </c>
      <c r="J181" s="4">
        <v>36462</v>
      </c>
      <c r="K181" s="4">
        <v>7027</v>
      </c>
      <c r="L181" s="4">
        <v>120</v>
      </c>
      <c r="M181" s="4">
        <v>3166</v>
      </c>
      <c r="N181" s="4">
        <v>-567</v>
      </c>
      <c r="O181" s="4">
        <v>2719</v>
      </c>
      <c r="P181" s="4">
        <v>3</v>
      </c>
      <c r="Q181" s="4">
        <v>1538</v>
      </c>
      <c r="R181" s="4">
        <v>-479</v>
      </c>
      <c r="S181" s="4">
        <v>-242</v>
      </c>
      <c r="T181" s="4">
        <v>820</v>
      </c>
      <c r="U181" s="4">
        <v>-721</v>
      </c>
    </row>
    <row r="182" spans="1:21" ht="13.2" x14ac:dyDescent="0.25">
      <c r="A182" s="3">
        <v>44071</v>
      </c>
      <c r="B182" s="4">
        <v>7169</v>
      </c>
      <c r="C182" s="4">
        <v>120900</v>
      </c>
      <c r="D182" s="4">
        <v>37818</v>
      </c>
      <c r="E182" s="4">
        <v>165887</v>
      </c>
      <c r="F182" s="4">
        <v>1154</v>
      </c>
      <c r="G182" s="4">
        <v>29169</v>
      </c>
      <c r="H182" s="4">
        <v>4128</v>
      </c>
      <c r="I182" s="4">
        <v>2827</v>
      </c>
      <c r="J182" s="4">
        <v>37278</v>
      </c>
      <c r="K182" s="4">
        <v>6955</v>
      </c>
      <c r="L182" s="4">
        <v>105</v>
      </c>
      <c r="M182" s="4">
        <v>2325</v>
      </c>
      <c r="N182" s="4">
        <v>573</v>
      </c>
      <c r="O182" s="4">
        <v>3003</v>
      </c>
      <c r="P182" s="4">
        <v>7</v>
      </c>
      <c r="Q182" s="4">
        <v>881</v>
      </c>
      <c r="R182" s="4">
        <v>-371</v>
      </c>
      <c r="S182" s="4">
        <v>299</v>
      </c>
      <c r="T182" s="4">
        <v>816</v>
      </c>
      <c r="U182" s="4">
        <v>-72</v>
      </c>
    </row>
    <row r="183" spans="1:21" ht="13.2" x14ac:dyDescent="0.25">
      <c r="A183" s="3">
        <v>44072</v>
      </c>
      <c r="B183" s="4">
        <v>7261</v>
      </c>
      <c r="C183" s="4">
        <v>122802</v>
      </c>
      <c r="D183" s="4">
        <v>39132</v>
      </c>
      <c r="E183" s="4">
        <v>169195</v>
      </c>
      <c r="F183" s="4">
        <v>1172</v>
      </c>
      <c r="G183" s="4">
        <v>29768</v>
      </c>
      <c r="H183" s="4">
        <v>4414</v>
      </c>
      <c r="I183" s="4">
        <v>2812</v>
      </c>
      <c r="J183" s="4">
        <v>38166</v>
      </c>
      <c r="K183" s="4">
        <v>7226</v>
      </c>
      <c r="L183" s="4">
        <v>92</v>
      </c>
      <c r="M183" s="4">
        <v>1902</v>
      </c>
      <c r="N183" s="4">
        <v>1314</v>
      </c>
      <c r="O183" s="4">
        <v>3308</v>
      </c>
      <c r="P183" s="4">
        <v>18</v>
      </c>
      <c r="Q183" s="4">
        <v>599</v>
      </c>
      <c r="R183" s="4">
        <v>286</v>
      </c>
      <c r="S183" s="4">
        <v>-15</v>
      </c>
      <c r="T183" s="4">
        <v>888</v>
      </c>
      <c r="U183" s="4">
        <v>271</v>
      </c>
    </row>
    <row r="184" spans="1:21" ht="13.2" x14ac:dyDescent="0.25">
      <c r="A184" s="3">
        <v>44073</v>
      </c>
      <c r="B184" s="4">
        <v>7343</v>
      </c>
      <c r="C184" s="4">
        <v>124185</v>
      </c>
      <c r="D184" s="4">
        <v>40525</v>
      </c>
      <c r="E184" s="4">
        <v>172053</v>
      </c>
      <c r="F184" s="4">
        <v>1186</v>
      </c>
      <c r="G184" s="4">
        <v>30134</v>
      </c>
      <c r="H184" s="4">
        <v>4945</v>
      </c>
      <c r="I184" s="4">
        <v>3015</v>
      </c>
      <c r="J184" s="4">
        <v>39280</v>
      </c>
      <c r="K184" s="4">
        <v>7960</v>
      </c>
      <c r="L184" s="4">
        <v>82</v>
      </c>
      <c r="M184" s="4">
        <v>1383</v>
      </c>
      <c r="N184" s="4">
        <v>1393</v>
      </c>
      <c r="O184" s="4">
        <v>2858</v>
      </c>
      <c r="P184" s="4">
        <v>14</v>
      </c>
      <c r="Q184" s="4">
        <v>366</v>
      </c>
      <c r="R184" s="4">
        <v>531</v>
      </c>
      <c r="S184" s="4">
        <v>203</v>
      </c>
      <c r="T184" s="4">
        <v>1114</v>
      </c>
      <c r="U184" s="4">
        <v>734</v>
      </c>
    </row>
    <row r="185" spans="1:21" ht="13.2" x14ac:dyDescent="0.25">
      <c r="A185" s="3">
        <v>44074</v>
      </c>
      <c r="B185" s="4">
        <v>7417</v>
      </c>
      <c r="C185" s="4">
        <v>125959</v>
      </c>
      <c r="D185" s="4">
        <v>41420</v>
      </c>
      <c r="E185" s="4">
        <v>174796</v>
      </c>
      <c r="F185" s="4">
        <v>1202</v>
      </c>
      <c r="G185" s="4">
        <v>30538</v>
      </c>
      <c r="H185" s="4">
        <v>5281</v>
      </c>
      <c r="I185" s="4">
        <v>3288</v>
      </c>
      <c r="J185" s="4">
        <v>40309</v>
      </c>
      <c r="K185" s="4">
        <v>8569</v>
      </c>
      <c r="L185" s="4">
        <v>74</v>
      </c>
      <c r="M185" s="4">
        <v>1774</v>
      </c>
      <c r="N185" s="4">
        <v>895</v>
      </c>
      <c r="O185" s="4">
        <v>2743</v>
      </c>
      <c r="P185" s="4">
        <v>16</v>
      </c>
      <c r="Q185" s="4">
        <v>404</v>
      </c>
      <c r="R185" s="4">
        <v>336</v>
      </c>
      <c r="S185" s="4">
        <v>273</v>
      </c>
      <c r="T185" s="4">
        <v>1029</v>
      </c>
      <c r="U185" s="4">
        <v>609</v>
      </c>
    </row>
    <row r="186" spans="1:21" ht="13.2" x14ac:dyDescent="0.25">
      <c r="A186" s="3">
        <v>44075</v>
      </c>
      <c r="B186" s="4">
        <v>7505</v>
      </c>
      <c r="C186" s="4">
        <v>128057</v>
      </c>
      <c r="D186" s="4">
        <v>42009</v>
      </c>
      <c r="E186" s="4">
        <v>177571</v>
      </c>
      <c r="F186" s="4">
        <v>1219</v>
      </c>
      <c r="G186" s="4">
        <v>31267</v>
      </c>
      <c r="H186" s="4">
        <v>5423</v>
      </c>
      <c r="I186" s="4">
        <v>3341</v>
      </c>
      <c r="J186" s="4">
        <v>41250</v>
      </c>
      <c r="K186" s="4">
        <v>8764</v>
      </c>
      <c r="L186" s="4">
        <v>88</v>
      </c>
      <c r="M186" s="4">
        <v>2098</v>
      </c>
      <c r="N186" s="4">
        <v>589</v>
      </c>
      <c r="O186" s="4">
        <v>2775</v>
      </c>
      <c r="P186" s="4">
        <v>17</v>
      </c>
      <c r="Q186" s="4">
        <v>729</v>
      </c>
      <c r="R186" s="4">
        <v>142</v>
      </c>
      <c r="S186" s="4">
        <v>53</v>
      </c>
      <c r="T186" s="4">
        <v>941</v>
      </c>
      <c r="U186" s="4">
        <v>195</v>
      </c>
    </row>
    <row r="187" spans="1:21" ht="13.2" x14ac:dyDescent="0.25">
      <c r="A187" s="3">
        <v>44076</v>
      </c>
      <c r="B187" s="4">
        <v>7616</v>
      </c>
      <c r="C187" s="4">
        <v>129971</v>
      </c>
      <c r="D187" s="4">
        <v>43059</v>
      </c>
      <c r="E187" s="4">
        <v>180646</v>
      </c>
      <c r="F187" s="4">
        <v>1237</v>
      </c>
      <c r="G187" s="4">
        <v>31741</v>
      </c>
      <c r="H187" s="4">
        <v>5757</v>
      </c>
      <c r="I187" s="4">
        <v>3568</v>
      </c>
      <c r="J187" s="4">
        <v>42303</v>
      </c>
      <c r="K187" s="4">
        <v>9325</v>
      </c>
      <c r="L187" s="4">
        <v>111</v>
      </c>
      <c r="M187" s="4">
        <v>1914</v>
      </c>
      <c r="N187" s="4">
        <v>1050</v>
      </c>
      <c r="O187" s="4">
        <v>3075</v>
      </c>
      <c r="P187" s="4">
        <v>18</v>
      </c>
      <c r="Q187" s="4">
        <v>474</v>
      </c>
      <c r="R187" s="4">
        <v>334</v>
      </c>
      <c r="S187" s="4">
        <v>227</v>
      </c>
      <c r="T187" s="4">
        <v>1053</v>
      </c>
      <c r="U187" s="4">
        <v>561</v>
      </c>
    </row>
    <row r="188" spans="1:21" ht="13.2" x14ac:dyDescent="0.25">
      <c r="A188" s="3">
        <v>44077</v>
      </c>
      <c r="B188" s="4">
        <v>7750</v>
      </c>
      <c r="C188" s="4">
        <v>132055</v>
      </c>
      <c r="D188" s="4">
        <v>44463</v>
      </c>
      <c r="E188" s="4">
        <v>184268</v>
      </c>
      <c r="F188" s="4">
        <v>1253</v>
      </c>
      <c r="G188" s="4">
        <v>32424</v>
      </c>
      <c r="H188" s="4">
        <v>6323</v>
      </c>
      <c r="I188" s="4">
        <v>3709</v>
      </c>
      <c r="J188" s="4">
        <v>43709</v>
      </c>
      <c r="K188" s="4">
        <v>10032</v>
      </c>
      <c r="L188" s="4">
        <v>134</v>
      </c>
      <c r="M188" s="4">
        <v>2084</v>
      </c>
      <c r="N188" s="4">
        <v>1404</v>
      </c>
      <c r="O188" s="4">
        <v>3622</v>
      </c>
      <c r="P188" s="4">
        <v>16</v>
      </c>
      <c r="Q188" s="4">
        <v>683</v>
      </c>
      <c r="R188" s="4">
        <v>566</v>
      </c>
      <c r="S188" s="4">
        <v>141</v>
      </c>
      <c r="T188" s="4">
        <v>1406</v>
      </c>
      <c r="U188" s="4">
        <v>707</v>
      </c>
    </row>
    <row r="189" spans="1:21" ht="13.2" x14ac:dyDescent="0.25">
      <c r="A189" s="3">
        <v>44078</v>
      </c>
      <c r="B189" s="4">
        <v>7832</v>
      </c>
      <c r="C189" s="4">
        <v>134181</v>
      </c>
      <c r="D189" s="4">
        <v>45524</v>
      </c>
      <c r="E189" s="4">
        <v>187537</v>
      </c>
      <c r="F189" s="4">
        <v>1260</v>
      </c>
      <c r="G189" s="4">
        <v>33260</v>
      </c>
      <c r="H189" s="4">
        <v>6257</v>
      </c>
      <c r="I189" s="4">
        <v>3827</v>
      </c>
      <c r="J189" s="4">
        <v>44604</v>
      </c>
      <c r="K189" s="4">
        <v>10084</v>
      </c>
      <c r="L189" s="4">
        <v>82</v>
      </c>
      <c r="M189" s="4">
        <v>2126</v>
      </c>
      <c r="N189" s="4">
        <v>1061</v>
      </c>
      <c r="O189" s="4">
        <v>3269</v>
      </c>
      <c r="P189" s="4">
        <v>7</v>
      </c>
      <c r="Q189" s="4">
        <v>836</v>
      </c>
      <c r="R189" s="4">
        <v>-66</v>
      </c>
      <c r="S189" s="4">
        <v>118</v>
      </c>
      <c r="T189" s="4">
        <v>895</v>
      </c>
      <c r="U189" s="4">
        <v>52</v>
      </c>
    </row>
    <row r="190" spans="1:21" ht="13.2" x14ac:dyDescent="0.25">
      <c r="A190" s="3">
        <v>44079</v>
      </c>
      <c r="B190" s="4">
        <v>7940</v>
      </c>
      <c r="C190" s="4">
        <v>136401</v>
      </c>
      <c r="D190" s="4">
        <v>46324</v>
      </c>
      <c r="E190" s="4">
        <v>190665</v>
      </c>
      <c r="F190" s="4">
        <v>1277</v>
      </c>
      <c r="G190" s="4">
        <v>33991</v>
      </c>
      <c r="H190" s="4">
        <v>6501</v>
      </c>
      <c r="I190" s="4">
        <v>3677</v>
      </c>
      <c r="J190" s="4">
        <v>45446</v>
      </c>
      <c r="K190" s="4">
        <v>10178</v>
      </c>
      <c r="L190" s="4">
        <v>108</v>
      </c>
      <c r="M190" s="4">
        <v>2220</v>
      </c>
      <c r="N190" s="4">
        <v>800</v>
      </c>
      <c r="O190" s="4">
        <v>3128</v>
      </c>
      <c r="P190" s="4">
        <v>17</v>
      </c>
      <c r="Q190" s="4">
        <v>731</v>
      </c>
      <c r="R190" s="4">
        <v>244</v>
      </c>
      <c r="S190" s="4">
        <v>-150</v>
      </c>
      <c r="T190" s="4">
        <v>842</v>
      </c>
      <c r="U190" s="4">
        <v>94</v>
      </c>
    </row>
    <row r="191" spans="1:21" ht="13.2" x14ac:dyDescent="0.25">
      <c r="A191" s="3">
        <v>44080</v>
      </c>
      <c r="B191" s="4">
        <v>8025</v>
      </c>
      <c r="C191" s="4">
        <v>138575</v>
      </c>
      <c r="D191" s="4">
        <v>47509</v>
      </c>
      <c r="E191" s="4">
        <v>194109</v>
      </c>
      <c r="F191" s="4">
        <v>1289</v>
      </c>
      <c r="G191" s="4">
        <v>34738</v>
      </c>
      <c r="H191" s="4">
        <v>6582</v>
      </c>
      <c r="I191" s="4">
        <v>4082</v>
      </c>
      <c r="J191" s="4">
        <v>46691</v>
      </c>
      <c r="K191" s="4">
        <v>10664</v>
      </c>
      <c r="L191" s="4">
        <v>85</v>
      </c>
      <c r="M191" s="4">
        <v>2174</v>
      </c>
      <c r="N191" s="4">
        <v>1185</v>
      </c>
      <c r="O191" s="4">
        <v>3444</v>
      </c>
      <c r="P191" s="4">
        <v>12</v>
      </c>
      <c r="Q191" s="4">
        <v>747</v>
      </c>
      <c r="R191" s="4">
        <v>81</v>
      </c>
      <c r="S191" s="4">
        <v>405</v>
      </c>
      <c r="T191" s="4">
        <v>1245</v>
      </c>
      <c r="U191" s="4">
        <v>486</v>
      </c>
    </row>
    <row r="192" spans="1:21" ht="13.2" x14ac:dyDescent="0.25">
      <c r="A192" s="3">
        <v>44081</v>
      </c>
      <c r="B192" s="4">
        <v>8130</v>
      </c>
      <c r="C192" s="4">
        <v>140652</v>
      </c>
      <c r="D192" s="4">
        <v>48207</v>
      </c>
      <c r="E192" s="4">
        <v>196989</v>
      </c>
      <c r="F192" s="4">
        <v>1318</v>
      </c>
      <c r="G192" s="4">
        <v>35431</v>
      </c>
      <c r="H192" s="4">
        <v>6706</v>
      </c>
      <c r="I192" s="4">
        <v>4341</v>
      </c>
      <c r="J192" s="4">
        <v>47796</v>
      </c>
      <c r="K192" s="4">
        <v>11047</v>
      </c>
      <c r="L192" s="4">
        <v>105</v>
      </c>
      <c r="M192" s="4">
        <v>2077</v>
      </c>
      <c r="N192" s="4">
        <v>698</v>
      </c>
      <c r="O192" s="4">
        <v>2880</v>
      </c>
      <c r="P192" s="4">
        <v>29</v>
      </c>
      <c r="Q192" s="4">
        <v>693</v>
      </c>
      <c r="R192" s="4">
        <v>124</v>
      </c>
      <c r="S192" s="4">
        <v>259</v>
      </c>
      <c r="T192" s="4">
        <v>1105</v>
      </c>
      <c r="U192" s="4">
        <v>383</v>
      </c>
    </row>
    <row r="193" spans="1:27" ht="13.2" x14ac:dyDescent="0.25">
      <c r="A193" s="3">
        <v>44082</v>
      </c>
      <c r="B193" s="4">
        <v>8230</v>
      </c>
      <c r="C193" s="4">
        <v>142958</v>
      </c>
      <c r="D193" s="4">
        <v>48847</v>
      </c>
      <c r="E193" s="4">
        <v>200035</v>
      </c>
      <c r="F193" s="4">
        <v>1330</v>
      </c>
      <c r="G193" s="4">
        <v>36451</v>
      </c>
      <c r="H193" s="4">
        <v>6598</v>
      </c>
      <c r="I193" s="4">
        <v>4432</v>
      </c>
      <c r="J193" s="4">
        <v>48811</v>
      </c>
      <c r="K193" s="4">
        <v>11030</v>
      </c>
      <c r="L193" s="4">
        <v>100</v>
      </c>
      <c r="M193" s="4">
        <v>2306</v>
      </c>
      <c r="N193" s="4">
        <v>640</v>
      </c>
      <c r="O193" s="4">
        <v>3046</v>
      </c>
      <c r="P193" s="4">
        <v>12</v>
      </c>
      <c r="Q193" s="4">
        <v>1020</v>
      </c>
      <c r="R193" s="4">
        <v>-108</v>
      </c>
      <c r="S193" s="4">
        <v>91</v>
      </c>
      <c r="T193" s="4">
        <v>1015</v>
      </c>
      <c r="U193" s="4">
        <v>-17</v>
      </c>
    </row>
    <row r="194" spans="1:27" ht="13.2" x14ac:dyDescent="0.25">
      <c r="A194" s="3">
        <v>44083</v>
      </c>
      <c r="B194" s="4">
        <v>8336</v>
      </c>
      <c r="C194" s="4">
        <v>145200</v>
      </c>
      <c r="D194" s="4">
        <v>49806</v>
      </c>
      <c r="E194" s="4">
        <v>203342</v>
      </c>
      <c r="F194" s="4">
        <v>1347</v>
      </c>
      <c r="G194" s="4">
        <v>37245</v>
      </c>
      <c r="H194" s="4">
        <v>6691</v>
      </c>
      <c r="I194" s="4">
        <v>4554</v>
      </c>
      <c r="J194" s="4">
        <v>49837</v>
      </c>
      <c r="K194" s="4">
        <v>11245</v>
      </c>
      <c r="L194" s="4">
        <v>106</v>
      </c>
      <c r="M194" s="4">
        <v>2242</v>
      </c>
      <c r="N194" s="4">
        <v>959</v>
      </c>
      <c r="O194" s="4">
        <v>3307</v>
      </c>
      <c r="P194" s="4">
        <v>17</v>
      </c>
      <c r="Q194" s="4">
        <v>794</v>
      </c>
      <c r="R194" s="4">
        <v>93</v>
      </c>
      <c r="S194" s="4">
        <v>122</v>
      </c>
      <c r="T194" s="4">
        <v>1026</v>
      </c>
      <c r="U194" s="4">
        <v>215</v>
      </c>
    </row>
    <row r="195" spans="1:27" ht="13.2" x14ac:dyDescent="0.25">
      <c r="A195" s="3">
        <v>44084</v>
      </c>
      <c r="B195" s="4">
        <v>8456</v>
      </c>
      <c r="C195" s="4">
        <v>147510</v>
      </c>
      <c r="D195" s="4">
        <v>51237</v>
      </c>
      <c r="E195" s="4">
        <v>207203</v>
      </c>
      <c r="F195" s="4">
        <v>1365</v>
      </c>
      <c r="G195" s="4">
        <v>38226</v>
      </c>
      <c r="H195" s="4">
        <v>6968</v>
      </c>
      <c r="I195" s="4">
        <v>4728</v>
      </c>
      <c r="J195" s="4">
        <v>51287</v>
      </c>
      <c r="K195" s="4">
        <v>11696</v>
      </c>
      <c r="L195" s="4">
        <v>120</v>
      </c>
      <c r="M195" s="4">
        <v>2310</v>
      </c>
      <c r="N195" s="4">
        <v>1431</v>
      </c>
      <c r="O195" s="4">
        <v>3861</v>
      </c>
      <c r="P195" s="4">
        <v>18</v>
      </c>
      <c r="Q195" s="4">
        <v>981</v>
      </c>
      <c r="R195" s="4">
        <v>277</v>
      </c>
      <c r="S195" s="4">
        <v>174</v>
      </c>
      <c r="T195" s="4">
        <v>1450</v>
      </c>
      <c r="U195" s="4">
        <v>451</v>
      </c>
    </row>
    <row r="196" spans="1:27" ht="13.2" x14ac:dyDescent="0.25">
      <c r="A196" s="3">
        <v>44085</v>
      </c>
      <c r="B196" s="4">
        <v>8544</v>
      </c>
      <c r="C196" s="4">
        <v>150217</v>
      </c>
      <c r="D196" s="4">
        <v>52179</v>
      </c>
      <c r="E196" s="4">
        <v>210940</v>
      </c>
      <c r="F196" s="4">
        <v>1382</v>
      </c>
      <c r="G196" s="4">
        <v>39115</v>
      </c>
      <c r="H196" s="4">
        <v>7143</v>
      </c>
      <c r="I196" s="4">
        <v>4681</v>
      </c>
      <c r="J196" s="4">
        <v>52321</v>
      </c>
      <c r="K196" s="4">
        <v>11824</v>
      </c>
      <c r="L196" s="4">
        <v>88</v>
      </c>
      <c r="M196" s="4">
        <v>2707</v>
      </c>
      <c r="N196" s="4">
        <v>942</v>
      </c>
      <c r="O196" s="4">
        <v>3737</v>
      </c>
      <c r="P196" s="4">
        <v>17</v>
      </c>
      <c r="Q196" s="4">
        <v>889</v>
      </c>
      <c r="R196" s="4">
        <v>175</v>
      </c>
      <c r="S196" s="4">
        <v>-47</v>
      </c>
      <c r="T196" s="4">
        <v>1034</v>
      </c>
      <c r="U196" s="4">
        <v>128</v>
      </c>
    </row>
    <row r="197" spans="1:27" ht="13.2" x14ac:dyDescent="0.25">
      <c r="A197" s="3">
        <v>44086</v>
      </c>
      <c r="B197" s="4">
        <v>8650</v>
      </c>
      <c r="C197" s="4">
        <v>152458</v>
      </c>
      <c r="D197" s="4">
        <v>53638</v>
      </c>
      <c r="E197" s="4">
        <v>214746</v>
      </c>
      <c r="F197" s="4">
        <v>1404</v>
      </c>
      <c r="G197" s="4">
        <v>40183</v>
      </c>
      <c r="H197" s="4">
        <v>7490</v>
      </c>
      <c r="I197" s="4">
        <v>4684</v>
      </c>
      <c r="J197" s="4">
        <v>53761</v>
      </c>
      <c r="K197" s="4">
        <v>12174</v>
      </c>
      <c r="L197" s="4">
        <v>106</v>
      </c>
      <c r="M197" s="4">
        <v>2241</v>
      </c>
      <c r="N197" s="4">
        <v>1459</v>
      </c>
      <c r="O197" s="4">
        <v>3806</v>
      </c>
      <c r="P197" s="4">
        <v>22</v>
      </c>
      <c r="Q197" s="4">
        <v>1068</v>
      </c>
      <c r="R197" s="4">
        <v>347</v>
      </c>
      <c r="S197" s="4">
        <v>3</v>
      </c>
      <c r="T197" s="4">
        <v>1440</v>
      </c>
      <c r="U197" s="4">
        <v>350</v>
      </c>
    </row>
    <row r="198" spans="1:27" ht="13.2" x14ac:dyDescent="0.25">
      <c r="A198" s="6">
        <v>44087</v>
      </c>
      <c r="B198" s="7">
        <v>8723</v>
      </c>
      <c r="C198" s="7">
        <v>155010</v>
      </c>
      <c r="D198" s="7">
        <v>54649</v>
      </c>
      <c r="E198" s="7">
        <v>218382</v>
      </c>
      <c r="F198" s="7">
        <v>1410</v>
      </c>
      <c r="G198" s="7">
        <v>41014</v>
      </c>
      <c r="H198" s="7">
        <v>7791</v>
      </c>
      <c r="I198" s="7">
        <v>4649</v>
      </c>
      <c r="J198" s="7">
        <v>54864</v>
      </c>
      <c r="K198" s="7">
        <v>12440</v>
      </c>
      <c r="L198" s="8">
        <v>73</v>
      </c>
      <c r="M198" s="8">
        <v>2552</v>
      </c>
      <c r="N198" s="8">
        <v>1011</v>
      </c>
      <c r="O198" s="8">
        <v>3636</v>
      </c>
      <c r="P198" s="8">
        <v>6</v>
      </c>
      <c r="Q198" s="8">
        <v>831</v>
      </c>
      <c r="R198" s="8">
        <v>301</v>
      </c>
      <c r="S198" s="8">
        <v>-35</v>
      </c>
      <c r="T198" s="8">
        <v>1103</v>
      </c>
      <c r="U198" s="8">
        <v>266</v>
      </c>
      <c r="V198" s="9"/>
    </row>
    <row r="199" spans="1:27" ht="13.2" x14ac:dyDescent="0.25">
      <c r="A199" s="3">
        <v>44088</v>
      </c>
      <c r="B199" s="4">
        <v>8841</v>
      </c>
      <c r="C199" s="4">
        <v>158405</v>
      </c>
      <c r="D199" s="4">
        <v>54277</v>
      </c>
      <c r="E199" s="4">
        <v>221523</v>
      </c>
      <c r="F199" s="4">
        <v>1440</v>
      </c>
      <c r="G199" s="4">
        <v>42325</v>
      </c>
      <c r="H199" s="4">
        <v>7530</v>
      </c>
      <c r="I199" s="4">
        <v>4631</v>
      </c>
      <c r="J199" s="4">
        <v>55926</v>
      </c>
      <c r="K199" s="4">
        <v>12161</v>
      </c>
      <c r="L199" s="4">
        <v>118</v>
      </c>
      <c r="M199" s="4">
        <v>3395</v>
      </c>
      <c r="N199" s="4">
        <v>-372</v>
      </c>
      <c r="O199" s="4">
        <v>3141</v>
      </c>
      <c r="P199" s="4">
        <v>30</v>
      </c>
      <c r="Q199" s="4">
        <v>1311</v>
      </c>
      <c r="R199" s="4">
        <v>-261</v>
      </c>
      <c r="S199" s="4">
        <v>-18</v>
      </c>
      <c r="T199" s="4">
        <v>1062</v>
      </c>
      <c r="U199" s="4">
        <v>-279</v>
      </c>
    </row>
    <row r="200" spans="1:27" ht="13.2" x14ac:dyDescent="0.25">
      <c r="A200" s="3">
        <v>44089</v>
      </c>
      <c r="B200" s="4">
        <v>8965</v>
      </c>
      <c r="C200" s="4">
        <v>161065</v>
      </c>
      <c r="D200" s="4">
        <v>55000</v>
      </c>
      <c r="E200" s="4">
        <v>225030</v>
      </c>
      <c r="F200" s="4">
        <v>1468</v>
      </c>
      <c r="G200" s="4">
        <v>43306</v>
      </c>
      <c r="H200" s="4">
        <v>7711</v>
      </c>
      <c r="I200" s="4">
        <v>4468</v>
      </c>
      <c r="J200" s="4">
        <v>56953</v>
      </c>
      <c r="K200" s="4">
        <v>12179</v>
      </c>
      <c r="L200" s="4">
        <v>124</v>
      </c>
      <c r="M200" s="4">
        <v>2660</v>
      </c>
      <c r="N200" s="4">
        <v>723</v>
      </c>
      <c r="O200" s="4">
        <v>3507</v>
      </c>
      <c r="P200" s="4">
        <v>28</v>
      </c>
      <c r="Q200" s="4">
        <v>981</v>
      </c>
      <c r="R200" s="4">
        <v>181</v>
      </c>
      <c r="S200" s="4">
        <v>-163</v>
      </c>
      <c r="T200" s="4">
        <v>1027</v>
      </c>
      <c r="U200" s="4">
        <v>18</v>
      </c>
    </row>
    <row r="201" spans="1:27" ht="13.2" x14ac:dyDescent="0.25">
      <c r="A201" s="3">
        <v>44090</v>
      </c>
      <c r="B201" s="4">
        <v>9100</v>
      </c>
      <c r="C201" s="4">
        <v>164101</v>
      </c>
      <c r="D201" s="4">
        <v>55792</v>
      </c>
      <c r="E201" s="4">
        <v>228993</v>
      </c>
      <c r="F201" s="4">
        <v>1498</v>
      </c>
      <c r="G201" s="4">
        <v>44251</v>
      </c>
      <c r="H201" s="4">
        <v>7907</v>
      </c>
      <c r="I201" s="4">
        <v>4802</v>
      </c>
      <c r="J201" s="4">
        <v>58458</v>
      </c>
      <c r="K201" s="4">
        <v>12709</v>
      </c>
      <c r="L201" s="4">
        <v>135</v>
      </c>
      <c r="M201" s="4">
        <v>3036</v>
      </c>
      <c r="N201" s="4">
        <v>792</v>
      </c>
      <c r="O201" s="4">
        <v>3963</v>
      </c>
      <c r="P201" s="4">
        <v>30</v>
      </c>
      <c r="Q201" s="4">
        <v>945</v>
      </c>
      <c r="R201" s="4">
        <v>196</v>
      </c>
      <c r="S201" s="4">
        <v>334</v>
      </c>
      <c r="T201" s="4">
        <v>1505</v>
      </c>
      <c r="U201" s="4">
        <v>530</v>
      </c>
    </row>
    <row r="202" spans="1:27" ht="13.2" x14ac:dyDescent="0.25">
      <c r="A202" s="3">
        <v>44091</v>
      </c>
      <c r="B202" s="4">
        <v>9222</v>
      </c>
      <c r="C202" s="4">
        <v>166686</v>
      </c>
      <c r="D202" s="4">
        <v>56720</v>
      </c>
      <c r="E202" s="4">
        <v>232628</v>
      </c>
      <c r="F202" s="4">
        <v>1513</v>
      </c>
      <c r="G202" s="4">
        <v>45207</v>
      </c>
      <c r="H202" s="4">
        <v>8013</v>
      </c>
      <c r="I202" s="4">
        <v>4739</v>
      </c>
      <c r="J202" s="4">
        <v>59472</v>
      </c>
      <c r="K202" s="4">
        <v>12752</v>
      </c>
      <c r="L202" s="4">
        <v>122</v>
      </c>
      <c r="M202" s="4">
        <v>2585</v>
      </c>
      <c r="N202" s="4">
        <v>928</v>
      </c>
      <c r="O202" s="4">
        <v>3635</v>
      </c>
      <c r="P202" s="4">
        <v>15</v>
      </c>
      <c r="Q202" s="4">
        <v>956</v>
      </c>
      <c r="R202" s="4">
        <v>106</v>
      </c>
      <c r="S202" s="4">
        <v>-63</v>
      </c>
      <c r="T202" s="4">
        <v>1014</v>
      </c>
      <c r="U202" s="4">
        <v>43</v>
      </c>
    </row>
    <row r="203" spans="1:27" ht="15.75" customHeight="1" x14ac:dyDescent="0.3">
      <c r="A203" s="3">
        <v>44092</v>
      </c>
      <c r="B203" s="10">
        <v>9336</v>
      </c>
      <c r="C203" s="10">
        <v>170774</v>
      </c>
      <c r="D203" s="10">
        <v>56409</v>
      </c>
      <c r="E203" s="10">
        <v>236519</v>
      </c>
      <c r="F203" s="10">
        <v>1535</v>
      </c>
      <c r="G203" s="10">
        <v>46235</v>
      </c>
      <c r="H203" s="10">
        <v>8450</v>
      </c>
      <c r="I203" s="10">
        <v>4655</v>
      </c>
      <c r="J203" s="10">
        <v>60875</v>
      </c>
      <c r="K203" s="10">
        <v>13105</v>
      </c>
      <c r="L203" s="10">
        <v>114</v>
      </c>
      <c r="M203" s="10">
        <v>4088</v>
      </c>
      <c r="N203" s="10">
        <v>-311</v>
      </c>
      <c r="O203" s="10">
        <v>3891</v>
      </c>
      <c r="P203" s="10">
        <v>22</v>
      </c>
      <c r="Q203" s="10">
        <v>1028</v>
      </c>
      <c r="R203" s="10">
        <v>437</v>
      </c>
      <c r="S203" s="10">
        <v>-84</v>
      </c>
      <c r="T203" s="10">
        <v>1403</v>
      </c>
      <c r="U203" s="11">
        <v>353</v>
      </c>
    </row>
    <row r="204" spans="1:27" ht="13.2" x14ac:dyDescent="0.25">
      <c r="A204" s="3">
        <v>44093</v>
      </c>
      <c r="B204" s="4">
        <v>9448</v>
      </c>
      <c r="C204" s="4">
        <v>174350</v>
      </c>
      <c r="D204" s="4">
        <v>56889</v>
      </c>
      <c r="E204" s="4">
        <v>240687</v>
      </c>
      <c r="F204" s="4">
        <v>1546</v>
      </c>
      <c r="G204" s="4">
        <v>47260</v>
      </c>
      <c r="H204" s="4">
        <v>8696</v>
      </c>
      <c r="I204" s="4">
        <v>4305</v>
      </c>
      <c r="J204" s="4">
        <v>61807</v>
      </c>
      <c r="K204" s="4">
        <v>13001</v>
      </c>
      <c r="L204" s="4">
        <v>112</v>
      </c>
      <c r="M204" s="4">
        <v>3576</v>
      </c>
      <c r="N204" s="4">
        <v>480</v>
      </c>
      <c r="O204" s="4">
        <v>4168</v>
      </c>
      <c r="P204" s="4">
        <v>11</v>
      </c>
      <c r="Q204" s="4">
        <v>1025</v>
      </c>
      <c r="R204" s="4">
        <v>246</v>
      </c>
      <c r="S204" s="4">
        <v>-350</v>
      </c>
      <c r="T204" s="4">
        <v>932</v>
      </c>
      <c r="U204" s="4">
        <v>-104</v>
      </c>
    </row>
    <row r="205" spans="1:27" ht="15.75" customHeight="1" x14ac:dyDescent="0.3">
      <c r="A205" s="12">
        <v>44094</v>
      </c>
      <c r="B205" s="10">
        <v>9553</v>
      </c>
      <c r="C205" s="10">
        <v>177327</v>
      </c>
      <c r="D205" s="10">
        <v>57796</v>
      </c>
      <c r="E205" s="10">
        <v>244676</v>
      </c>
      <c r="F205" s="10">
        <v>1561</v>
      </c>
      <c r="G205" s="10">
        <v>49209</v>
      </c>
      <c r="H205" s="10">
        <v>8297</v>
      </c>
      <c r="I205" s="10">
        <v>3819</v>
      </c>
      <c r="J205" s="10">
        <v>62886</v>
      </c>
      <c r="K205" s="10">
        <v>12116</v>
      </c>
      <c r="L205" s="10">
        <v>105</v>
      </c>
      <c r="M205" s="10">
        <v>2977</v>
      </c>
      <c r="N205" s="10">
        <v>907</v>
      </c>
      <c r="O205" s="10">
        <v>3989</v>
      </c>
      <c r="P205" s="10">
        <v>15</v>
      </c>
      <c r="Q205" s="10">
        <v>1949</v>
      </c>
      <c r="R205" s="10">
        <v>-399</v>
      </c>
      <c r="S205" s="10">
        <v>-486</v>
      </c>
      <c r="T205" s="10">
        <v>1079</v>
      </c>
      <c r="U205" s="11">
        <v>-885</v>
      </c>
      <c r="V205" s="13"/>
      <c r="W205" s="13"/>
      <c r="X205" s="14"/>
      <c r="Y205" s="14"/>
      <c r="Z205" s="14"/>
      <c r="AA205" s="14"/>
    </row>
    <row r="206" spans="1:27" ht="13.2" x14ac:dyDescent="0.25">
      <c r="A206" s="3">
        <v>44095</v>
      </c>
      <c r="B206" s="4">
        <v>9677</v>
      </c>
      <c r="C206" s="4">
        <v>180797</v>
      </c>
      <c r="D206" s="4">
        <v>58378</v>
      </c>
      <c r="E206" s="4">
        <v>248852</v>
      </c>
      <c r="F206" s="4">
        <v>1592</v>
      </c>
      <c r="G206" s="4">
        <v>49630</v>
      </c>
      <c r="H206" s="4">
        <v>9225</v>
      </c>
      <c r="I206" s="4">
        <v>3749</v>
      </c>
      <c r="J206" s="4">
        <v>64196</v>
      </c>
      <c r="K206" s="4">
        <v>12974</v>
      </c>
      <c r="L206" s="4">
        <v>124</v>
      </c>
      <c r="M206" s="4">
        <v>3470</v>
      </c>
      <c r="N206" s="4">
        <v>582</v>
      </c>
      <c r="O206" s="4">
        <v>4176</v>
      </c>
      <c r="P206" s="4">
        <v>31</v>
      </c>
      <c r="Q206" s="4">
        <v>421</v>
      </c>
      <c r="R206" s="4">
        <v>928</v>
      </c>
      <c r="S206" s="4">
        <v>-70</v>
      </c>
      <c r="T206" s="4">
        <v>1310</v>
      </c>
      <c r="U206" s="4">
        <v>858</v>
      </c>
    </row>
    <row r="207" spans="1:27" ht="13.2" x14ac:dyDescent="0.25">
      <c r="A207" s="3">
        <v>44096</v>
      </c>
      <c r="B207" s="4">
        <v>9837</v>
      </c>
      <c r="C207" s="4">
        <v>184298</v>
      </c>
      <c r="D207" s="4">
        <v>58788</v>
      </c>
      <c r="E207" s="4">
        <v>252923</v>
      </c>
      <c r="F207" s="4">
        <v>1624</v>
      </c>
      <c r="G207" s="4">
        <v>50473</v>
      </c>
      <c r="H207" s="4">
        <v>9380</v>
      </c>
      <c r="I207" s="4">
        <v>3841</v>
      </c>
      <c r="J207" s="4">
        <v>65318</v>
      </c>
      <c r="K207" s="4">
        <v>13221</v>
      </c>
      <c r="L207" s="4">
        <v>160</v>
      </c>
      <c r="M207" s="4">
        <v>3501</v>
      </c>
      <c r="N207" s="4">
        <v>410</v>
      </c>
      <c r="O207" s="4">
        <v>4071</v>
      </c>
      <c r="P207" s="4">
        <v>32</v>
      </c>
      <c r="Q207" s="4">
        <v>843</v>
      </c>
      <c r="R207" s="4">
        <v>155</v>
      </c>
      <c r="S207" s="4">
        <v>92</v>
      </c>
      <c r="T207" s="4">
        <v>1122</v>
      </c>
      <c r="U207" s="4">
        <v>247</v>
      </c>
    </row>
    <row r="208" spans="1:27" ht="13.2" x14ac:dyDescent="0.25">
      <c r="A208" s="3">
        <v>44097</v>
      </c>
      <c r="B208" s="4">
        <v>9977</v>
      </c>
      <c r="C208" s="4">
        <v>187958</v>
      </c>
      <c r="D208" s="4">
        <v>59453</v>
      </c>
      <c r="E208" s="4">
        <v>257388</v>
      </c>
      <c r="F208" s="4">
        <v>1650</v>
      </c>
      <c r="G208" s="4">
        <v>51578</v>
      </c>
      <c r="H208" s="4">
        <v>9611</v>
      </c>
      <c r="I208" s="4">
        <v>3666</v>
      </c>
      <c r="J208" s="4">
        <v>66505</v>
      </c>
      <c r="K208" s="4">
        <v>13277</v>
      </c>
      <c r="L208" s="4">
        <v>140</v>
      </c>
      <c r="M208" s="4">
        <v>3660</v>
      </c>
      <c r="N208" s="4">
        <v>665</v>
      </c>
      <c r="O208" s="4">
        <v>4465</v>
      </c>
      <c r="P208" s="4">
        <v>26</v>
      </c>
      <c r="Q208" s="4">
        <v>1105</v>
      </c>
      <c r="R208" s="4">
        <v>231</v>
      </c>
      <c r="S208" s="4">
        <v>-175</v>
      </c>
      <c r="T208" s="4">
        <v>1187</v>
      </c>
      <c r="U208" s="4">
        <v>56</v>
      </c>
    </row>
    <row r="209" spans="1:27" ht="13.2" x14ac:dyDescent="0.25">
      <c r="A209" s="3">
        <v>44098</v>
      </c>
      <c r="B209" s="4">
        <v>10105</v>
      </c>
      <c r="C209" s="4">
        <v>191853</v>
      </c>
      <c r="D209" s="4">
        <v>60064</v>
      </c>
      <c r="E209" s="4">
        <v>262022</v>
      </c>
      <c r="F209" s="4">
        <v>1664</v>
      </c>
      <c r="G209" s="4">
        <v>52742</v>
      </c>
      <c r="H209" s="4">
        <v>9714</v>
      </c>
      <c r="I209" s="4">
        <v>3518</v>
      </c>
      <c r="J209" s="4">
        <v>67638</v>
      </c>
      <c r="K209" s="4">
        <v>13232</v>
      </c>
      <c r="L209" s="4">
        <v>128</v>
      </c>
      <c r="M209" s="4">
        <v>3895</v>
      </c>
      <c r="N209" s="4">
        <v>611</v>
      </c>
      <c r="O209" s="4">
        <v>4634</v>
      </c>
      <c r="P209" s="4">
        <v>14</v>
      </c>
      <c r="Q209" s="4">
        <v>1164</v>
      </c>
      <c r="R209" s="4">
        <v>103</v>
      </c>
      <c r="S209" s="4">
        <v>-148</v>
      </c>
      <c r="T209" s="4">
        <v>1133</v>
      </c>
      <c r="U209" s="4">
        <v>-45</v>
      </c>
    </row>
    <row r="210" spans="1:27" ht="15.75" customHeight="1" x14ac:dyDescent="0.3">
      <c r="A210" s="3">
        <v>44099</v>
      </c>
      <c r="B210" s="10">
        <v>10218</v>
      </c>
      <c r="C210" s="10">
        <v>196196</v>
      </c>
      <c r="D210" s="10">
        <v>60431</v>
      </c>
      <c r="E210" s="10">
        <v>266845</v>
      </c>
      <c r="F210" s="10">
        <v>1677</v>
      </c>
      <c r="G210" s="10">
        <v>54352</v>
      </c>
      <c r="H210" s="10">
        <v>10027</v>
      </c>
      <c r="I210" s="10">
        <v>2871</v>
      </c>
      <c r="J210" s="10">
        <v>68927</v>
      </c>
      <c r="K210" s="10">
        <v>12898</v>
      </c>
      <c r="L210" s="10">
        <v>113</v>
      </c>
      <c r="M210" s="10">
        <v>4343</v>
      </c>
      <c r="N210" s="10">
        <v>367</v>
      </c>
      <c r="O210" s="10">
        <v>4823</v>
      </c>
      <c r="P210" s="10">
        <v>13</v>
      </c>
      <c r="Q210" s="10">
        <v>1610</v>
      </c>
      <c r="R210" s="10">
        <v>313</v>
      </c>
      <c r="S210" s="10">
        <v>-647</v>
      </c>
      <c r="T210" s="10">
        <v>1289</v>
      </c>
      <c r="U210" s="11">
        <v>-334</v>
      </c>
    </row>
    <row r="211" spans="1:27" ht="13.2" x14ac:dyDescent="0.25">
      <c r="A211" s="3">
        <v>44100</v>
      </c>
      <c r="B211" s="4">
        <v>10308</v>
      </c>
      <c r="C211" s="4">
        <v>199403</v>
      </c>
      <c r="D211" s="4">
        <v>61628</v>
      </c>
      <c r="E211" s="4">
        <v>271339</v>
      </c>
      <c r="F211" s="4">
        <v>1679</v>
      </c>
      <c r="G211" s="4">
        <v>55350</v>
      </c>
      <c r="H211" s="4">
        <v>10594</v>
      </c>
      <c r="I211" s="4">
        <v>2561</v>
      </c>
      <c r="J211" s="4">
        <v>70184</v>
      </c>
      <c r="K211" s="4">
        <v>13155</v>
      </c>
      <c r="L211" s="4">
        <v>90</v>
      </c>
      <c r="M211" s="4">
        <v>3207</v>
      </c>
      <c r="N211" s="4">
        <v>1197</v>
      </c>
      <c r="O211" s="4">
        <v>4494</v>
      </c>
      <c r="P211" s="4">
        <v>2</v>
      </c>
      <c r="Q211" s="4">
        <v>998</v>
      </c>
      <c r="R211" s="4">
        <v>567</v>
      </c>
      <c r="S211" s="4">
        <v>-310</v>
      </c>
      <c r="T211" s="4">
        <v>1257</v>
      </c>
      <c r="U211" s="4">
        <v>257</v>
      </c>
    </row>
    <row r="212" spans="1:27" ht="15.75" customHeight="1" x14ac:dyDescent="0.3">
      <c r="A212" s="12">
        <v>44101</v>
      </c>
      <c r="B212" s="10">
        <v>10386</v>
      </c>
      <c r="C212" s="10">
        <v>203014</v>
      </c>
      <c r="D212" s="10">
        <v>61813</v>
      </c>
      <c r="E212" s="10">
        <v>275213</v>
      </c>
      <c r="F212" s="10">
        <v>1692</v>
      </c>
      <c r="G212" s="10">
        <v>56413</v>
      </c>
      <c r="H212" s="10">
        <v>10915</v>
      </c>
      <c r="I212" s="10">
        <v>2350</v>
      </c>
      <c r="J212" s="10">
        <v>71370</v>
      </c>
      <c r="K212" s="10">
        <v>13265</v>
      </c>
      <c r="L212" s="10">
        <v>78</v>
      </c>
      <c r="M212" s="10">
        <v>3611</v>
      </c>
      <c r="N212" s="10">
        <v>185</v>
      </c>
      <c r="O212" s="10">
        <v>3874</v>
      </c>
      <c r="P212" s="10">
        <v>13</v>
      </c>
      <c r="Q212" s="10">
        <v>1063</v>
      </c>
      <c r="R212" s="10">
        <v>321</v>
      </c>
      <c r="S212" s="10">
        <v>-211</v>
      </c>
      <c r="T212" s="10">
        <v>1186</v>
      </c>
      <c r="U212" s="11">
        <v>110</v>
      </c>
      <c r="V212" s="13"/>
      <c r="W212" s="13"/>
      <c r="X212" s="14"/>
      <c r="Y212" s="14"/>
      <c r="Z212" s="14"/>
      <c r="AA212" s="14"/>
    </row>
    <row r="213" spans="1:27" ht="13.2" x14ac:dyDescent="0.25">
      <c r="A213" s="3">
        <v>44102</v>
      </c>
      <c r="B213" s="4">
        <v>10473</v>
      </c>
      <c r="C213" s="4">
        <v>206870</v>
      </c>
      <c r="D213" s="4">
        <v>61379</v>
      </c>
      <c r="E213" s="4">
        <v>278722</v>
      </c>
      <c r="F213" s="4">
        <v>1704</v>
      </c>
      <c r="G213" s="4">
        <v>57741</v>
      </c>
      <c r="H213" s="4">
        <v>10474</v>
      </c>
      <c r="I213" s="4">
        <v>2258</v>
      </c>
      <c r="J213" s="4">
        <v>72177</v>
      </c>
      <c r="K213" s="4">
        <v>12732</v>
      </c>
      <c r="L213" s="4">
        <v>87</v>
      </c>
      <c r="M213" s="4">
        <v>3856</v>
      </c>
      <c r="N213" s="4">
        <v>-434</v>
      </c>
      <c r="O213" s="4">
        <v>3509</v>
      </c>
      <c r="P213" s="4">
        <v>12</v>
      </c>
      <c r="Q213" s="4">
        <v>1328</v>
      </c>
      <c r="R213" s="4">
        <v>-441</v>
      </c>
      <c r="S213" s="4">
        <v>-92</v>
      </c>
      <c r="T213" s="4">
        <v>807</v>
      </c>
      <c r="U213" s="4">
        <v>-533</v>
      </c>
    </row>
    <row r="214" spans="1:27" ht="15.75" customHeight="1" x14ac:dyDescent="0.3">
      <c r="A214" s="3">
        <v>44103</v>
      </c>
      <c r="B214" s="10">
        <v>10601</v>
      </c>
      <c r="C214" s="10">
        <v>210437</v>
      </c>
      <c r="D214" s="10">
        <v>61686</v>
      </c>
      <c r="E214" s="10">
        <v>282724</v>
      </c>
      <c r="F214" s="10">
        <v>1718</v>
      </c>
      <c r="G214" s="10">
        <v>58865</v>
      </c>
      <c r="H214" s="10">
        <v>10659</v>
      </c>
      <c r="I214" s="10">
        <v>2067</v>
      </c>
      <c r="J214" s="10">
        <v>73309</v>
      </c>
      <c r="K214" s="10">
        <v>12726</v>
      </c>
      <c r="L214" s="10">
        <v>128</v>
      </c>
      <c r="M214" s="10">
        <v>3567</v>
      </c>
      <c r="N214" s="10">
        <v>307</v>
      </c>
      <c r="O214" s="10">
        <v>4002</v>
      </c>
      <c r="P214" s="10">
        <v>14</v>
      </c>
      <c r="Q214" s="10">
        <v>1124</v>
      </c>
      <c r="R214" s="10">
        <v>185</v>
      </c>
      <c r="S214" s="10">
        <v>-191</v>
      </c>
      <c r="T214" s="10">
        <v>1132</v>
      </c>
      <c r="U214" s="11">
        <v>-6</v>
      </c>
      <c r="V214" s="13"/>
      <c r="W214" s="13"/>
    </row>
    <row r="215" spans="1:27" ht="13.2" x14ac:dyDescent="0.25">
      <c r="A215" s="3">
        <v>44104</v>
      </c>
      <c r="B215" s="4">
        <v>10740</v>
      </c>
      <c r="C215" s="4">
        <v>214947</v>
      </c>
      <c r="D215" s="4">
        <v>61321</v>
      </c>
      <c r="E215" s="4">
        <v>287008</v>
      </c>
      <c r="F215" s="4">
        <v>1731</v>
      </c>
      <c r="G215" s="4">
        <v>60320</v>
      </c>
      <c r="H215" s="4">
        <v>10353</v>
      </c>
      <c r="I215" s="4">
        <v>1964</v>
      </c>
      <c r="J215" s="4">
        <v>74368</v>
      </c>
      <c r="K215" s="4">
        <v>12317</v>
      </c>
      <c r="L215" s="4">
        <v>139</v>
      </c>
      <c r="M215" s="4">
        <v>4510</v>
      </c>
      <c r="N215" s="4">
        <v>-365</v>
      </c>
      <c r="O215" s="4">
        <v>4284</v>
      </c>
      <c r="P215" s="4">
        <v>13</v>
      </c>
      <c r="Q215" s="4">
        <v>1455</v>
      </c>
      <c r="R215" s="4">
        <v>-306</v>
      </c>
      <c r="S215" s="4">
        <v>-103</v>
      </c>
      <c r="T215" s="4">
        <v>1059</v>
      </c>
      <c r="U215" s="4">
        <v>-409</v>
      </c>
    </row>
    <row r="216" spans="1:27" ht="13.2" x14ac:dyDescent="0.25">
      <c r="A216" s="15">
        <v>44105</v>
      </c>
      <c r="B216" s="4">
        <v>10856</v>
      </c>
      <c r="C216" s="4">
        <v>218487</v>
      </c>
      <c r="D216" s="4">
        <v>61839</v>
      </c>
      <c r="E216" s="4">
        <v>291182</v>
      </c>
      <c r="F216" s="4">
        <v>1737</v>
      </c>
      <c r="G216" s="4">
        <v>61444</v>
      </c>
      <c r="H216" s="4">
        <v>10545</v>
      </c>
      <c r="I216" s="4">
        <v>1795</v>
      </c>
      <c r="J216" s="4">
        <v>75521</v>
      </c>
      <c r="K216" s="4">
        <v>12340</v>
      </c>
      <c r="L216" s="4">
        <v>116</v>
      </c>
      <c r="M216" s="4">
        <v>3540</v>
      </c>
      <c r="N216" s="4">
        <v>518</v>
      </c>
      <c r="O216" s="4">
        <v>4174</v>
      </c>
      <c r="P216" s="4">
        <v>6</v>
      </c>
      <c r="Q216" s="4">
        <v>1124</v>
      </c>
      <c r="R216" s="4">
        <v>192</v>
      </c>
      <c r="S216" s="4">
        <v>-169</v>
      </c>
      <c r="T216" s="4">
        <v>1153</v>
      </c>
      <c r="U216" s="4">
        <v>23</v>
      </c>
    </row>
    <row r="217" spans="1:27" ht="15.75" customHeight="1" x14ac:dyDescent="0.3">
      <c r="A217" s="15">
        <v>44106</v>
      </c>
      <c r="B217" s="16">
        <v>10972</v>
      </c>
      <c r="C217" s="16">
        <v>221340</v>
      </c>
      <c r="D217" s="11">
        <v>63187</v>
      </c>
      <c r="E217" s="16">
        <v>295499</v>
      </c>
      <c r="F217" s="10">
        <v>1740</v>
      </c>
      <c r="G217" s="10">
        <v>62279</v>
      </c>
      <c r="H217" s="10">
        <v>10496</v>
      </c>
      <c r="I217" s="10">
        <v>2104</v>
      </c>
      <c r="J217" s="10">
        <v>76619</v>
      </c>
      <c r="K217" s="10">
        <v>12600</v>
      </c>
      <c r="L217" s="10">
        <v>116</v>
      </c>
      <c r="M217" s="10">
        <v>2853</v>
      </c>
      <c r="N217" s="10">
        <v>1348</v>
      </c>
      <c r="O217" s="10">
        <v>4317</v>
      </c>
      <c r="P217" s="10">
        <v>3</v>
      </c>
      <c r="Q217" s="10">
        <v>835</v>
      </c>
      <c r="R217" s="10">
        <v>-49</v>
      </c>
      <c r="S217" s="10">
        <v>309</v>
      </c>
      <c r="T217" s="10">
        <v>1098</v>
      </c>
      <c r="U217" s="11">
        <v>260</v>
      </c>
      <c r="V217" s="13"/>
      <c r="W217" s="13"/>
      <c r="X217" s="13"/>
      <c r="Y217" s="13"/>
      <c r="Z217" s="13"/>
      <c r="AA217" s="13"/>
    </row>
    <row r="218" spans="1:27" ht="13.2" x14ac:dyDescent="0.25">
      <c r="A218" s="15">
        <v>44107</v>
      </c>
      <c r="B218" s="4">
        <v>11055</v>
      </c>
      <c r="C218" s="4">
        <v>225052</v>
      </c>
      <c r="D218" s="4">
        <v>63399</v>
      </c>
      <c r="E218" s="4">
        <v>299506</v>
      </c>
      <c r="F218" s="4">
        <v>1743</v>
      </c>
      <c r="G218" s="4">
        <v>63286</v>
      </c>
      <c r="H218" s="4">
        <v>10652</v>
      </c>
      <c r="I218" s="4">
        <v>2103</v>
      </c>
      <c r="J218" s="4">
        <v>77784</v>
      </c>
      <c r="K218" s="4">
        <v>12755</v>
      </c>
      <c r="L218" s="4">
        <v>83</v>
      </c>
      <c r="M218" s="4">
        <v>3712</v>
      </c>
      <c r="N218" s="4">
        <v>212</v>
      </c>
      <c r="O218" s="4">
        <v>4007</v>
      </c>
      <c r="P218" s="4">
        <v>3</v>
      </c>
      <c r="Q218" s="4">
        <v>1007</v>
      </c>
      <c r="R218" s="4">
        <v>156</v>
      </c>
      <c r="S218" s="4">
        <v>-1</v>
      </c>
      <c r="T218" s="4">
        <v>1165</v>
      </c>
      <c r="U218" s="4">
        <v>155</v>
      </c>
    </row>
    <row r="219" spans="1:27" ht="15.75" customHeight="1" x14ac:dyDescent="0.3">
      <c r="A219" s="17">
        <v>44108</v>
      </c>
      <c r="B219" s="10">
        <v>11151</v>
      </c>
      <c r="C219" s="10">
        <v>228453</v>
      </c>
      <c r="D219" s="10">
        <v>63894</v>
      </c>
      <c r="E219" s="10">
        <v>303498</v>
      </c>
      <c r="F219" s="10">
        <v>1761</v>
      </c>
      <c r="G219" s="10">
        <v>64319</v>
      </c>
      <c r="H219" s="10">
        <v>11091</v>
      </c>
      <c r="I219" s="10">
        <v>2043</v>
      </c>
      <c r="J219" s="10">
        <v>79214</v>
      </c>
      <c r="K219" s="10">
        <v>13134</v>
      </c>
      <c r="L219" s="10">
        <v>96</v>
      </c>
      <c r="M219" s="10">
        <v>3401</v>
      </c>
      <c r="N219" s="10">
        <v>495</v>
      </c>
      <c r="O219" s="10">
        <v>3992</v>
      </c>
      <c r="P219" s="10">
        <v>18</v>
      </c>
      <c r="Q219" s="10">
        <v>1033</v>
      </c>
      <c r="R219" s="10">
        <v>439</v>
      </c>
      <c r="S219" s="10">
        <v>-60</v>
      </c>
      <c r="T219" s="10">
        <v>1430</v>
      </c>
      <c r="U219" s="11">
        <v>379</v>
      </c>
      <c r="V219" s="13"/>
      <c r="W219" s="13"/>
      <c r="X219" s="13"/>
      <c r="Y219" s="13"/>
      <c r="Z219" s="13"/>
      <c r="AA219" s="13"/>
    </row>
    <row r="220" spans="1:27" ht="13.2" x14ac:dyDescent="0.25">
      <c r="A220" s="15">
        <v>44109</v>
      </c>
      <c r="B220" s="4">
        <v>11253</v>
      </c>
      <c r="C220" s="4">
        <v>232593</v>
      </c>
      <c r="D220" s="4">
        <v>63274</v>
      </c>
      <c r="E220" s="4">
        <v>307120</v>
      </c>
      <c r="F220" s="4">
        <v>1772</v>
      </c>
      <c r="G220" s="4">
        <v>65295</v>
      </c>
      <c r="H220" s="4">
        <v>10912</v>
      </c>
      <c r="I220" s="4">
        <v>2057</v>
      </c>
      <c r="J220" s="4">
        <v>80036</v>
      </c>
      <c r="K220" s="4">
        <v>12969</v>
      </c>
      <c r="L220" s="4">
        <v>102</v>
      </c>
      <c r="M220" s="4">
        <v>4140</v>
      </c>
      <c r="N220" s="4">
        <v>-620</v>
      </c>
      <c r="O220" s="4">
        <v>3622</v>
      </c>
      <c r="P220" s="4">
        <v>11</v>
      </c>
      <c r="Q220" s="4">
        <v>976</v>
      </c>
      <c r="R220" s="4">
        <v>-179</v>
      </c>
      <c r="S220" s="4">
        <v>14</v>
      </c>
      <c r="T220" s="4">
        <v>822</v>
      </c>
      <c r="U220" s="4">
        <v>-165</v>
      </c>
    </row>
    <row r="221" spans="1:27" ht="13.2" x14ac:dyDescent="0.25">
      <c r="A221" s="15">
        <v>44110</v>
      </c>
      <c r="B221" s="4">
        <v>11374</v>
      </c>
      <c r="C221" s="4">
        <v>236437</v>
      </c>
      <c r="D221" s="4">
        <v>63365</v>
      </c>
      <c r="E221" s="4">
        <v>311176</v>
      </c>
      <c r="F221" s="4">
        <v>1806</v>
      </c>
      <c r="G221" s="4">
        <v>66315</v>
      </c>
      <c r="H221" s="4">
        <v>10787</v>
      </c>
      <c r="I221" s="4">
        <v>2135</v>
      </c>
      <c r="J221" s="4">
        <v>81043</v>
      </c>
      <c r="K221" s="4">
        <v>12922</v>
      </c>
      <c r="L221" s="4">
        <v>121</v>
      </c>
      <c r="M221" s="4">
        <v>3844</v>
      </c>
      <c r="N221" s="4">
        <v>91</v>
      </c>
      <c r="O221" s="4">
        <v>4056</v>
      </c>
      <c r="P221" s="4">
        <v>34</v>
      </c>
      <c r="Q221" s="4">
        <v>1020</v>
      </c>
      <c r="R221" s="4">
        <v>-125</v>
      </c>
      <c r="S221" s="4">
        <v>78</v>
      </c>
      <c r="T221" s="4">
        <v>1007</v>
      </c>
      <c r="U221" s="4">
        <v>-47</v>
      </c>
    </row>
    <row r="222" spans="1:27" ht="13.2" x14ac:dyDescent="0.25">
      <c r="A222" s="15">
        <v>44111</v>
      </c>
      <c r="B222" s="4">
        <v>11472</v>
      </c>
      <c r="C222" s="4">
        <v>240291</v>
      </c>
      <c r="D222" s="4">
        <v>63951</v>
      </c>
      <c r="E222" s="4">
        <v>315714</v>
      </c>
      <c r="F222" s="4">
        <v>1819</v>
      </c>
      <c r="G222" s="4">
        <v>67310</v>
      </c>
      <c r="H222" s="4">
        <v>10807</v>
      </c>
      <c r="I222" s="4">
        <v>2447</v>
      </c>
      <c r="J222" s="4">
        <v>82383</v>
      </c>
      <c r="K222" s="4">
        <v>13254</v>
      </c>
      <c r="L222" s="4">
        <v>98</v>
      </c>
      <c r="M222" s="4">
        <v>3854</v>
      </c>
      <c r="N222" s="4">
        <v>586</v>
      </c>
      <c r="O222" s="4">
        <v>4538</v>
      </c>
      <c r="P222" s="4">
        <v>13</v>
      </c>
      <c r="Q222" s="4">
        <v>995</v>
      </c>
      <c r="R222" s="4">
        <v>20</v>
      </c>
      <c r="S222" s="4">
        <v>312</v>
      </c>
      <c r="T222" s="4">
        <v>1340</v>
      </c>
      <c r="U222" s="4">
        <v>332</v>
      </c>
    </row>
    <row r="223" spans="1:27" ht="13.2" x14ac:dyDescent="0.25">
      <c r="A223" s="15">
        <v>44112</v>
      </c>
      <c r="B223" s="4">
        <v>11580</v>
      </c>
      <c r="C223" s="4">
        <v>244060</v>
      </c>
      <c r="D223" s="4">
        <v>64924</v>
      </c>
      <c r="E223" s="4">
        <v>320564</v>
      </c>
      <c r="F223" s="4">
        <v>1838</v>
      </c>
      <c r="G223" s="4">
        <v>68352</v>
      </c>
      <c r="H223" s="4">
        <v>10717</v>
      </c>
      <c r="I223" s="4">
        <v>2485</v>
      </c>
      <c r="J223" s="4">
        <v>83392</v>
      </c>
      <c r="K223" s="4">
        <v>13202</v>
      </c>
      <c r="L223" s="4">
        <v>108</v>
      </c>
      <c r="M223" s="4">
        <v>3769</v>
      </c>
      <c r="N223" s="4">
        <v>973</v>
      </c>
      <c r="O223" s="4">
        <v>4850</v>
      </c>
      <c r="P223" s="4">
        <v>19</v>
      </c>
      <c r="Q223" s="4">
        <v>1042</v>
      </c>
      <c r="R223" s="4">
        <v>-90</v>
      </c>
      <c r="S223" s="4">
        <v>38</v>
      </c>
      <c r="T223" s="4">
        <v>1009</v>
      </c>
      <c r="U223" s="4">
        <v>-52</v>
      </c>
    </row>
    <row r="224" spans="1:27" ht="15.75" customHeight="1" x14ac:dyDescent="0.3">
      <c r="A224" s="17">
        <v>44113</v>
      </c>
      <c r="B224" s="10">
        <v>11677</v>
      </c>
      <c r="C224" s="10">
        <v>247667</v>
      </c>
      <c r="D224" s="10">
        <v>65314</v>
      </c>
      <c r="E224" s="10">
        <v>324658</v>
      </c>
      <c r="F224" s="10">
        <v>1860</v>
      </c>
      <c r="G224" s="10">
        <v>69203</v>
      </c>
      <c r="H224" s="10">
        <v>10746</v>
      </c>
      <c r="I224" s="10">
        <v>2555</v>
      </c>
      <c r="J224" s="10">
        <v>84364</v>
      </c>
      <c r="K224" s="10">
        <v>13301</v>
      </c>
      <c r="L224" s="10">
        <v>97</v>
      </c>
      <c r="M224" s="10">
        <v>3607</v>
      </c>
      <c r="N224" s="10">
        <v>390</v>
      </c>
      <c r="O224" s="10">
        <v>4094</v>
      </c>
      <c r="P224" s="10">
        <v>22</v>
      </c>
      <c r="Q224" s="10">
        <v>851</v>
      </c>
      <c r="R224" s="10">
        <v>29</v>
      </c>
      <c r="S224" s="10">
        <v>70</v>
      </c>
      <c r="T224" s="10">
        <v>972</v>
      </c>
      <c r="U224" s="11">
        <v>99</v>
      </c>
      <c r="V224" s="13"/>
      <c r="W224" s="13"/>
      <c r="X224" s="13"/>
      <c r="Y224" s="13"/>
      <c r="Z224" s="13"/>
      <c r="AA224" s="13"/>
    </row>
    <row r="225" spans="1:27" ht="13.2" x14ac:dyDescent="0.25">
      <c r="A225" s="15">
        <v>44114</v>
      </c>
      <c r="B225" s="4">
        <v>11765</v>
      </c>
      <c r="C225" s="4">
        <v>251481</v>
      </c>
      <c r="D225" s="4">
        <v>65706</v>
      </c>
      <c r="E225" s="4">
        <v>328952</v>
      </c>
      <c r="F225" s="4">
        <v>1877</v>
      </c>
      <c r="G225" s="4">
        <v>70487</v>
      </c>
      <c r="H225" s="4">
        <v>10698</v>
      </c>
      <c r="I225" s="4">
        <v>2555</v>
      </c>
      <c r="J225" s="4">
        <v>85617</v>
      </c>
      <c r="K225" s="4">
        <v>13253</v>
      </c>
      <c r="L225" s="4">
        <v>88</v>
      </c>
      <c r="M225" s="4">
        <v>3814</v>
      </c>
      <c r="N225" s="4">
        <v>392</v>
      </c>
      <c r="O225" s="4">
        <v>4294</v>
      </c>
      <c r="P225" s="4">
        <v>17</v>
      </c>
      <c r="Q225" s="4">
        <v>1284</v>
      </c>
      <c r="R225" s="4">
        <v>-48</v>
      </c>
      <c r="S225" s="4">
        <v>0</v>
      </c>
      <c r="T225" s="4">
        <v>1253</v>
      </c>
      <c r="U225" s="4">
        <v>-48</v>
      </c>
    </row>
    <row r="226" spans="1:27" ht="15.75" customHeight="1" x14ac:dyDescent="0.3">
      <c r="A226" s="17">
        <v>44115</v>
      </c>
      <c r="B226" s="16">
        <v>11844</v>
      </c>
      <c r="C226" s="16">
        <v>255027</v>
      </c>
      <c r="D226" s="11">
        <v>66578</v>
      </c>
      <c r="E226" s="11">
        <v>333449</v>
      </c>
      <c r="F226" s="10">
        <v>1901</v>
      </c>
      <c r="G226" s="10">
        <v>71549</v>
      </c>
      <c r="H226" s="10">
        <v>10863</v>
      </c>
      <c r="I226" s="10">
        <v>2693</v>
      </c>
      <c r="J226" s="10">
        <v>87006</v>
      </c>
      <c r="K226" s="10">
        <v>13556</v>
      </c>
      <c r="L226" s="10">
        <v>79</v>
      </c>
      <c r="M226" s="10">
        <v>3546</v>
      </c>
      <c r="N226" s="10">
        <v>872</v>
      </c>
      <c r="O226" s="10">
        <v>4497</v>
      </c>
      <c r="P226" s="10">
        <v>24</v>
      </c>
      <c r="Q226" s="10">
        <v>1062</v>
      </c>
      <c r="R226" s="10">
        <v>165</v>
      </c>
      <c r="S226" s="10">
        <v>138</v>
      </c>
      <c r="T226" s="10">
        <v>1389</v>
      </c>
      <c r="U226" s="11">
        <v>303</v>
      </c>
      <c r="V226" s="13"/>
      <c r="W226" s="13"/>
      <c r="X226" s="13"/>
      <c r="Y226" s="13"/>
      <c r="Z226" s="13"/>
      <c r="AA226" s="13"/>
    </row>
    <row r="227" spans="1:27" ht="13.2" x14ac:dyDescent="0.25">
      <c r="A227" s="17">
        <v>44116</v>
      </c>
      <c r="B227" s="4">
        <v>11935</v>
      </c>
      <c r="C227" s="4">
        <v>258519</v>
      </c>
      <c r="D227" s="4">
        <v>66262</v>
      </c>
      <c r="E227" s="4">
        <v>336716</v>
      </c>
      <c r="F227" s="4">
        <v>1922</v>
      </c>
      <c r="G227" s="4">
        <v>72633</v>
      </c>
      <c r="H227" s="4">
        <v>10814</v>
      </c>
      <c r="I227" s="4">
        <v>2805</v>
      </c>
      <c r="J227" s="4">
        <v>88174</v>
      </c>
      <c r="K227" s="4">
        <v>13619</v>
      </c>
      <c r="L227" s="4">
        <v>91</v>
      </c>
      <c r="M227" s="4">
        <v>3492</v>
      </c>
      <c r="N227" s="4">
        <v>-316</v>
      </c>
      <c r="O227" s="4">
        <v>3267</v>
      </c>
      <c r="P227" s="4">
        <v>21</v>
      </c>
      <c r="Q227" s="4">
        <v>1084</v>
      </c>
      <c r="R227" s="4">
        <v>-49</v>
      </c>
      <c r="S227" s="4">
        <v>112</v>
      </c>
      <c r="T227" s="4">
        <v>1168</v>
      </c>
      <c r="U227" s="4">
        <v>63</v>
      </c>
    </row>
    <row r="228" spans="1:27" ht="15.75" customHeight="1" x14ac:dyDescent="0.3">
      <c r="A228" s="17">
        <v>44117</v>
      </c>
      <c r="B228" s="16">
        <v>12027</v>
      </c>
      <c r="C228" s="16">
        <v>263296</v>
      </c>
      <c r="D228" s="11">
        <v>65299</v>
      </c>
      <c r="E228" s="16">
        <v>340622</v>
      </c>
      <c r="F228" s="10">
        <v>1944</v>
      </c>
      <c r="G228" s="10">
        <v>73733</v>
      </c>
      <c r="H228" s="10">
        <v>10908</v>
      </c>
      <c r="I228" s="10">
        <v>2643</v>
      </c>
      <c r="J228" s="10">
        <v>89228</v>
      </c>
      <c r="K228" s="10">
        <v>13551</v>
      </c>
      <c r="L228" s="10">
        <v>92</v>
      </c>
      <c r="M228" s="10">
        <v>4777</v>
      </c>
      <c r="N228" s="10">
        <v>-963</v>
      </c>
      <c r="O228" s="10">
        <v>3906</v>
      </c>
      <c r="P228" s="10">
        <v>22</v>
      </c>
      <c r="Q228" s="10">
        <v>1100</v>
      </c>
      <c r="R228" s="10">
        <v>94</v>
      </c>
      <c r="S228" s="10">
        <v>-162</v>
      </c>
      <c r="T228" s="10">
        <v>1054</v>
      </c>
      <c r="U228" s="11">
        <v>-68</v>
      </c>
      <c r="V228" s="13"/>
      <c r="W228" s="13"/>
      <c r="X228" s="13"/>
      <c r="Y228" s="13"/>
      <c r="Z228" s="13"/>
      <c r="AA228" s="13"/>
    </row>
    <row r="229" spans="1:27" ht="13.2" x14ac:dyDescent="0.25">
      <c r="A229" s="17">
        <v>44118</v>
      </c>
      <c r="B229" s="4">
        <v>12156</v>
      </c>
      <c r="C229" s="4">
        <v>267851</v>
      </c>
      <c r="D229" s="4">
        <v>64742</v>
      </c>
      <c r="E229" s="4">
        <v>344749</v>
      </c>
      <c r="F229" s="4">
        <v>1961</v>
      </c>
      <c r="G229" s="4">
        <v>74924</v>
      </c>
      <c r="H229" s="4">
        <v>10822</v>
      </c>
      <c r="I229" s="4">
        <v>2559</v>
      </c>
      <c r="J229" s="4">
        <v>90266</v>
      </c>
      <c r="K229" s="4">
        <v>13381</v>
      </c>
      <c r="L229" s="4">
        <v>129</v>
      </c>
      <c r="M229" s="4">
        <v>4555</v>
      </c>
      <c r="N229" s="4">
        <v>-557</v>
      </c>
      <c r="O229" s="4">
        <v>4127</v>
      </c>
      <c r="P229" s="4">
        <v>17</v>
      </c>
      <c r="Q229" s="4">
        <v>1191</v>
      </c>
      <c r="R229" s="4">
        <v>-86</v>
      </c>
      <c r="S229" s="4">
        <v>-84</v>
      </c>
      <c r="T229" s="4">
        <v>1038</v>
      </c>
      <c r="U229" s="4">
        <v>-170</v>
      </c>
    </row>
    <row r="230" spans="1:27" ht="13.2" x14ac:dyDescent="0.25">
      <c r="A230" s="15">
        <v>44119</v>
      </c>
      <c r="B230" s="4">
        <v>12268</v>
      </c>
      <c r="C230" s="4">
        <v>273661</v>
      </c>
      <c r="D230" s="4">
        <v>63231</v>
      </c>
      <c r="E230" s="4">
        <v>349160</v>
      </c>
      <c r="F230" s="4">
        <v>1984</v>
      </c>
      <c r="G230" s="4">
        <v>75974</v>
      </c>
      <c r="H230" s="4">
        <v>10636</v>
      </c>
      <c r="I230" s="4">
        <v>2743</v>
      </c>
      <c r="J230" s="4">
        <v>91337</v>
      </c>
      <c r="K230" s="4">
        <v>13379</v>
      </c>
      <c r="L230" s="4">
        <v>112</v>
      </c>
      <c r="M230" s="4">
        <v>5810</v>
      </c>
      <c r="N230" s="4">
        <v>-1511</v>
      </c>
      <c r="O230" s="4">
        <v>4411</v>
      </c>
      <c r="P230" s="4">
        <v>23</v>
      </c>
      <c r="Q230" s="4">
        <v>1050</v>
      </c>
      <c r="R230" s="4">
        <v>-186</v>
      </c>
      <c r="S230" s="4">
        <v>184</v>
      </c>
      <c r="T230" s="4">
        <v>1071</v>
      </c>
      <c r="U230" s="4">
        <v>-2</v>
      </c>
    </row>
    <row r="231" spans="1:27" ht="13.2" x14ac:dyDescent="0.25">
      <c r="A231" s="15">
        <v>44120</v>
      </c>
      <c r="B231" s="4">
        <v>12347</v>
      </c>
      <c r="C231" s="4">
        <v>277544</v>
      </c>
      <c r="D231" s="4">
        <v>63570</v>
      </c>
      <c r="E231" s="4">
        <v>353461</v>
      </c>
      <c r="F231" s="4">
        <v>2008</v>
      </c>
      <c r="G231" s="4">
        <v>76956</v>
      </c>
      <c r="H231" s="4">
        <v>10498</v>
      </c>
      <c r="I231" s="4">
        <v>2920</v>
      </c>
      <c r="J231" s="4">
        <v>92382</v>
      </c>
      <c r="K231" s="4">
        <v>13418</v>
      </c>
      <c r="L231" s="4">
        <v>79</v>
      </c>
      <c r="M231" s="4">
        <v>3883</v>
      </c>
      <c r="N231" s="4">
        <v>339</v>
      </c>
      <c r="O231" s="4">
        <v>4301</v>
      </c>
      <c r="P231" s="4">
        <v>24</v>
      </c>
      <c r="Q231" s="4">
        <v>982</v>
      </c>
      <c r="R231" s="4">
        <v>-138</v>
      </c>
      <c r="S231" s="4">
        <v>177</v>
      </c>
      <c r="T231" s="4">
        <v>1045</v>
      </c>
      <c r="U231" s="4">
        <v>39</v>
      </c>
    </row>
    <row r="232" spans="1:27" ht="13.2" x14ac:dyDescent="0.25">
      <c r="A232" s="15">
        <v>44121</v>
      </c>
      <c r="B232" s="4">
        <v>12431</v>
      </c>
      <c r="C232" s="4">
        <v>281592</v>
      </c>
      <c r="D232" s="4">
        <v>63739</v>
      </c>
      <c r="E232" s="4">
        <v>357762</v>
      </c>
      <c r="F232" s="4">
        <v>2032</v>
      </c>
      <c r="G232" s="4">
        <v>78062</v>
      </c>
      <c r="H232" s="4">
        <v>10591</v>
      </c>
      <c r="I232" s="4">
        <v>2671</v>
      </c>
      <c r="J232" s="4">
        <v>93356</v>
      </c>
      <c r="K232" s="4">
        <v>13262</v>
      </c>
      <c r="L232" s="4">
        <v>84</v>
      </c>
      <c r="M232" s="4">
        <v>4048</v>
      </c>
      <c r="N232" s="4">
        <v>169</v>
      </c>
      <c r="O232" s="4">
        <v>4301</v>
      </c>
      <c r="P232" s="4">
        <v>24</v>
      </c>
      <c r="Q232" s="4">
        <v>1106</v>
      </c>
      <c r="R232" s="4">
        <v>93</v>
      </c>
      <c r="S232" s="4">
        <v>-249</v>
      </c>
      <c r="T232" s="4">
        <v>974</v>
      </c>
      <c r="U232" s="4">
        <v>-156</v>
      </c>
    </row>
    <row r="233" spans="1:27" ht="15.75" customHeight="1" x14ac:dyDescent="0.3">
      <c r="A233" s="17">
        <v>44122</v>
      </c>
      <c r="B233" s="16">
        <v>12511</v>
      </c>
      <c r="C233" s="16">
        <v>285324</v>
      </c>
      <c r="D233" s="11">
        <v>64032</v>
      </c>
      <c r="E233" s="11">
        <v>361867</v>
      </c>
      <c r="F233" s="10">
        <v>2051</v>
      </c>
      <c r="G233" s="10">
        <v>79136</v>
      </c>
      <c r="H233" s="10">
        <v>10782</v>
      </c>
      <c r="I233" s="10">
        <v>2358</v>
      </c>
      <c r="J233" s="10">
        <v>94327</v>
      </c>
      <c r="K233" s="10">
        <v>13140</v>
      </c>
      <c r="L233" s="10">
        <v>80</v>
      </c>
      <c r="M233" s="10">
        <v>3732</v>
      </c>
      <c r="N233" s="10">
        <v>293</v>
      </c>
      <c r="O233" s="10">
        <v>4105</v>
      </c>
      <c r="P233" s="10">
        <v>19</v>
      </c>
      <c r="Q233" s="10">
        <v>1074</v>
      </c>
      <c r="R233" s="10">
        <v>191</v>
      </c>
      <c r="S233" s="10">
        <v>-313</v>
      </c>
      <c r="T233" s="10">
        <v>971</v>
      </c>
      <c r="U233" s="11">
        <v>-122</v>
      </c>
      <c r="V233" s="13"/>
      <c r="W233" s="13"/>
      <c r="X233" s="13"/>
      <c r="Y233" s="13"/>
      <c r="Z233" s="13"/>
      <c r="AA233" s="13"/>
    </row>
    <row r="234" spans="1:27" ht="13.2" x14ac:dyDescent="0.25">
      <c r="A234" s="15">
        <v>44123</v>
      </c>
      <c r="B234" s="4">
        <v>12617</v>
      </c>
      <c r="C234" s="4">
        <v>289243</v>
      </c>
      <c r="D234" s="4">
        <v>63380</v>
      </c>
      <c r="E234" s="4">
        <v>365240</v>
      </c>
      <c r="F234" s="4">
        <v>2064</v>
      </c>
      <c r="G234" s="4">
        <v>80261</v>
      </c>
      <c r="H234" s="4">
        <v>10325</v>
      </c>
      <c r="I234" s="4">
        <v>2603</v>
      </c>
      <c r="J234" s="4">
        <v>95253</v>
      </c>
      <c r="K234" s="4">
        <v>12928</v>
      </c>
      <c r="L234" s="4">
        <v>106</v>
      </c>
      <c r="M234" s="4">
        <v>3919</v>
      </c>
      <c r="N234" s="4">
        <v>-652</v>
      </c>
      <c r="O234" s="4">
        <v>3373</v>
      </c>
      <c r="P234" s="4">
        <v>13</v>
      </c>
      <c r="Q234" s="4">
        <v>1125</v>
      </c>
      <c r="R234" s="4">
        <v>-457</v>
      </c>
      <c r="S234" s="4">
        <v>245</v>
      </c>
      <c r="T234" s="4">
        <v>926</v>
      </c>
      <c r="U234" s="4">
        <v>-212</v>
      </c>
    </row>
    <row r="235" spans="1:27" ht="13.2" x14ac:dyDescent="0.25">
      <c r="A235" s="17">
        <v>44124</v>
      </c>
      <c r="B235" s="4">
        <v>12734</v>
      </c>
      <c r="C235" s="4">
        <v>293653</v>
      </c>
      <c r="D235" s="4">
        <v>62455</v>
      </c>
      <c r="E235" s="4">
        <v>368842</v>
      </c>
      <c r="F235" s="4">
        <v>2086</v>
      </c>
      <c r="G235" s="4">
        <v>81107</v>
      </c>
      <c r="H235" s="4">
        <v>10292</v>
      </c>
      <c r="I235" s="4">
        <v>2732</v>
      </c>
      <c r="J235" s="4">
        <v>96217</v>
      </c>
      <c r="K235" s="4">
        <v>13024</v>
      </c>
      <c r="L235" s="4">
        <v>117</v>
      </c>
      <c r="M235" s="4">
        <v>4410</v>
      </c>
      <c r="N235" s="4">
        <v>-925</v>
      </c>
      <c r="O235" s="4">
        <v>3602</v>
      </c>
      <c r="P235" s="4">
        <v>22</v>
      </c>
      <c r="Q235" s="4">
        <v>846</v>
      </c>
      <c r="R235" s="4">
        <v>-33</v>
      </c>
      <c r="S235" s="4">
        <v>129</v>
      </c>
      <c r="T235" s="4">
        <v>964</v>
      </c>
      <c r="U235" s="4">
        <v>96</v>
      </c>
    </row>
    <row r="236" spans="1:27" ht="13.2" x14ac:dyDescent="0.25">
      <c r="A236" s="17">
        <v>44125</v>
      </c>
      <c r="B236" s="4">
        <v>12857</v>
      </c>
      <c r="C236" s="4">
        <v>297509</v>
      </c>
      <c r="D236" s="4">
        <v>62743</v>
      </c>
      <c r="E236" s="4">
        <v>373109</v>
      </c>
      <c r="F236" s="4">
        <v>2105</v>
      </c>
      <c r="G236" s="4">
        <v>82178</v>
      </c>
      <c r="H236" s="4">
        <v>10273</v>
      </c>
      <c r="I236" s="4">
        <v>2661</v>
      </c>
      <c r="J236" s="4">
        <v>97217</v>
      </c>
      <c r="K236" s="4">
        <v>12934</v>
      </c>
      <c r="L236" s="4">
        <v>123</v>
      </c>
      <c r="M236" s="4">
        <v>3856</v>
      </c>
      <c r="N236" s="4">
        <v>288</v>
      </c>
      <c r="O236" s="4">
        <v>4267</v>
      </c>
      <c r="P236" s="4">
        <v>19</v>
      </c>
      <c r="Q236" s="4">
        <v>1071</v>
      </c>
      <c r="R236" s="4">
        <v>-19</v>
      </c>
      <c r="S236" s="4">
        <v>-71</v>
      </c>
      <c r="T236" s="4">
        <v>1000</v>
      </c>
      <c r="U236" s="4">
        <v>-90</v>
      </c>
    </row>
    <row r="237" spans="1:27" ht="13.2" x14ac:dyDescent="0.25">
      <c r="A237" s="15">
        <v>44126</v>
      </c>
      <c r="B237" s="4">
        <v>12959</v>
      </c>
      <c r="C237" s="4">
        <v>301006</v>
      </c>
      <c r="D237" s="4">
        <v>63576</v>
      </c>
      <c r="E237" s="4">
        <v>377541</v>
      </c>
      <c r="F237" s="4">
        <v>2120</v>
      </c>
      <c r="G237" s="4">
        <v>83338</v>
      </c>
      <c r="H237" s="4">
        <v>9980</v>
      </c>
      <c r="I237" s="4">
        <v>2768</v>
      </c>
      <c r="J237" s="4">
        <v>98206</v>
      </c>
      <c r="K237" s="4">
        <v>12748</v>
      </c>
      <c r="L237" s="4">
        <v>102</v>
      </c>
      <c r="M237" s="4">
        <v>3497</v>
      </c>
      <c r="N237" s="4">
        <v>833</v>
      </c>
      <c r="O237" s="4">
        <v>4432</v>
      </c>
      <c r="P237" s="4">
        <v>15</v>
      </c>
      <c r="Q237" s="4">
        <v>1160</v>
      </c>
      <c r="R237" s="4">
        <v>-293</v>
      </c>
      <c r="S237" s="4">
        <v>107</v>
      </c>
      <c r="T237" s="4">
        <v>989</v>
      </c>
      <c r="U237" s="4">
        <v>-186</v>
      </c>
    </row>
    <row r="238" spans="1:27" ht="15.75" customHeight="1" x14ac:dyDescent="0.3">
      <c r="A238" s="17">
        <v>44127</v>
      </c>
      <c r="B238" s="16">
        <v>13077</v>
      </c>
      <c r="C238" s="16">
        <v>305100</v>
      </c>
      <c r="D238" s="11">
        <v>63733</v>
      </c>
      <c r="E238" s="11">
        <v>381910</v>
      </c>
      <c r="F238" s="10">
        <v>2138</v>
      </c>
      <c r="G238" s="10">
        <v>84430</v>
      </c>
      <c r="H238" s="10">
        <v>9604</v>
      </c>
      <c r="I238" s="10">
        <v>2986</v>
      </c>
      <c r="J238" s="10">
        <v>99158</v>
      </c>
      <c r="K238" s="10">
        <v>12590</v>
      </c>
      <c r="L238" s="10">
        <v>118</v>
      </c>
      <c r="M238" s="10">
        <v>4094</v>
      </c>
      <c r="N238" s="10">
        <v>157</v>
      </c>
      <c r="O238" s="10">
        <v>4369</v>
      </c>
      <c r="P238" s="10">
        <v>18</v>
      </c>
      <c r="Q238" s="10">
        <v>1092</v>
      </c>
      <c r="R238" s="10">
        <v>-376</v>
      </c>
      <c r="S238" s="10">
        <v>218</v>
      </c>
      <c r="T238" s="10">
        <v>952</v>
      </c>
      <c r="U238" s="11">
        <v>-158</v>
      </c>
      <c r="V238" s="13"/>
      <c r="W238" s="13"/>
      <c r="X238" s="13"/>
      <c r="Y238" s="13"/>
      <c r="Z238" s="13"/>
      <c r="AA238" s="13"/>
    </row>
    <row r="239" spans="1:27" ht="13.2" x14ac:dyDescent="0.25">
      <c r="A239" s="15">
        <v>44128</v>
      </c>
      <c r="B239" s="4">
        <v>13205</v>
      </c>
      <c r="C239" s="4">
        <v>309219</v>
      </c>
      <c r="D239" s="4">
        <v>63556</v>
      </c>
      <c r="E239" s="4">
        <v>385980</v>
      </c>
      <c r="F239" s="4">
        <v>2153</v>
      </c>
      <c r="G239" s="4">
        <v>85586</v>
      </c>
      <c r="H239" s="4">
        <v>9557</v>
      </c>
      <c r="I239" s="4">
        <v>2924</v>
      </c>
      <c r="J239" s="4">
        <v>100220</v>
      </c>
      <c r="K239" s="4">
        <v>12481</v>
      </c>
      <c r="L239" s="4">
        <v>128</v>
      </c>
      <c r="M239" s="4">
        <v>4119</v>
      </c>
      <c r="N239" s="4">
        <v>-177</v>
      </c>
      <c r="O239" s="4">
        <v>4070</v>
      </c>
      <c r="P239" s="4">
        <v>15</v>
      </c>
      <c r="Q239" s="4">
        <v>1156</v>
      </c>
      <c r="R239" s="4">
        <v>-47</v>
      </c>
      <c r="S239" s="4">
        <v>-62</v>
      </c>
      <c r="T239" s="4">
        <v>1062</v>
      </c>
      <c r="U239" s="4">
        <v>-109</v>
      </c>
    </row>
    <row r="240" spans="1:27" ht="15.75" customHeight="1" x14ac:dyDescent="0.3">
      <c r="A240" s="17">
        <v>44129</v>
      </c>
      <c r="B240" s="16">
        <v>13299</v>
      </c>
      <c r="C240" s="16">
        <v>313764</v>
      </c>
      <c r="D240" s="11">
        <v>62649</v>
      </c>
      <c r="E240" s="16">
        <v>389712</v>
      </c>
      <c r="F240" s="10">
        <v>2164</v>
      </c>
      <c r="G240" s="10">
        <v>86815</v>
      </c>
      <c r="H240" s="10">
        <v>9151</v>
      </c>
      <c r="I240" s="10">
        <v>2861</v>
      </c>
      <c r="J240" s="10">
        <v>100991</v>
      </c>
      <c r="K240" s="10">
        <v>12012</v>
      </c>
      <c r="L240" s="10">
        <v>94</v>
      </c>
      <c r="M240" s="10">
        <v>4545</v>
      </c>
      <c r="N240" s="10">
        <v>-907</v>
      </c>
      <c r="O240" s="10">
        <v>3732</v>
      </c>
      <c r="P240" s="10">
        <v>11</v>
      </c>
      <c r="Q240" s="10">
        <v>1229</v>
      </c>
      <c r="R240" s="10">
        <v>-406</v>
      </c>
      <c r="S240" s="10">
        <v>-63</v>
      </c>
      <c r="T240" s="10">
        <v>771</v>
      </c>
      <c r="U240" s="11">
        <v>-469</v>
      </c>
      <c r="V240" s="13"/>
      <c r="W240" s="13"/>
      <c r="X240" s="13"/>
      <c r="Y240" s="13"/>
      <c r="Z240" s="13"/>
      <c r="AA240" s="13"/>
    </row>
    <row r="241" spans="1:27" ht="13.2" x14ac:dyDescent="0.25">
      <c r="A241" s="15">
        <v>44130</v>
      </c>
      <c r="B241" s="4">
        <v>13411</v>
      </c>
      <c r="C241" s="4">
        <v>317672</v>
      </c>
      <c r="D241" s="4">
        <v>61851</v>
      </c>
      <c r="E241" s="4">
        <v>392934</v>
      </c>
      <c r="F241" s="4">
        <v>2185</v>
      </c>
      <c r="G241" s="4">
        <v>87977</v>
      </c>
      <c r="H241" s="4">
        <v>8960</v>
      </c>
      <c r="I241" s="4">
        <v>2775</v>
      </c>
      <c r="J241" s="4">
        <v>101897</v>
      </c>
      <c r="K241" s="4">
        <v>11735</v>
      </c>
      <c r="L241" s="4">
        <v>112</v>
      </c>
      <c r="M241" s="4">
        <v>3908</v>
      </c>
      <c r="N241" s="4">
        <v>-798</v>
      </c>
      <c r="O241" s="4">
        <v>3222</v>
      </c>
      <c r="P241" s="4">
        <v>21</v>
      </c>
      <c r="Q241" s="4">
        <v>1162</v>
      </c>
      <c r="R241" s="4">
        <v>-191</v>
      </c>
      <c r="S241" s="4">
        <v>-86</v>
      </c>
      <c r="T241" s="4">
        <v>906</v>
      </c>
      <c r="U241" s="4">
        <v>-277</v>
      </c>
    </row>
    <row r="242" spans="1:27" ht="15.75" customHeight="1" x14ac:dyDescent="0.3">
      <c r="A242" s="15">
        <v>44131</v>
      </c>
      <c r="B242" s="10">
        <v>13512</v>
      </c>
      <c r="C242" s="10">
        <v>322248</v>
      </c>
      <c r="D242" s="10">
        <v>60694</v>
      </c>
      <c r="E242" s="10">
        <v>396454</v>
      </c>
      <c r="F242" s="10">
        <v>2195</v>
      </c>
      <c r="G242" s="10">
        <v>89060</v>
      </c>
      <c r="H242" s="10">
        <v>8743</v>
      </c>
      <c r="I242" s="10">
        <v>2680</v>
      </c>
      <c r="J242" s="10">
        <v>102678</v>
      </c>
      <c r="K242" s="10">
        <v>11423</v>
      </c>
      <c r="L242" s="10">
        <v>101</v>
      </c>
      <c r="M242" s="10">
        <v>4576</v>
      </c>
      <c r="N242" s="10">
        <v>-1157</v>
      </c>
      <c r="O242" s="10">
        <v>3520</v>
      </c>
      <c r="P242" s="10">
        <v>10</v>
      </c>
      <c r="Q242" s="10">
        <v>1083</v>
      </c>
      <c r="R242" s="10">
        <v>-217</v>
      </c>
      <c r="S242" s="10">
        <v>-95</v>
      </c>
      <c r="T242" s="10">
        <v>781</v>
      </c>
      <c r="U242" s="11">
        <v>-312</v>
      </c>
      <c r="V242" s="13"/>
      <c r="W242" s="13"/>
      <c r="X242" s="13"/>
      <c r="Y242" s="13"/>
      <c r="Z242" s="13"/>
      <c r="AA242" s="13"/>
    </row>
    <row r="243" spans="1:27" ht="13.2" x14ac:dyDescent="0.25">
      <c r="A243" s="15">
        <v>44132</v>
      </c>
      <c r="B243" s="4">
        <v>13612</v>
      </c>
      <c r="C243" s="4">
        <v>325793</v>
      </c>
      <c r="D243" s="4">
        <v>61078</v>
      </c>
      <c r="E243" s="4">
        <v>400483</v>
      </c>
      <c r="F243" s="4">
        <v>2211</v>
      </c>
      <c r="G243" s="4">
        <v>90157</v>
      </c>
      <c r="H243" s="4">
        <v>8438</v>
      </c>
      <c r="I243" s="4">
        <v>2716</v>
      </c>
      <c r="J243" s="4">
        <v>103522</v>
      </c>
      <c r="K243" s="4">
        <v>11154</v>
      </c>
      <c r="L243" s="4">
        <v>100</v>
      </c>
      <c r="M243" s="4">
        <v>3545</v>
      </c>
      <c r="N243" s="4">
        <v>384</v>
      </c>
      <c r="O243" s="4">
        <v>4029</v>
      </c>
      <c r="P243" s="4">
        <v>16</v>
      </c>
      <c r="Q243" s="4">
        <v>1097</v>
      </c>
      <c r="R243" s="4">
        <v>-305</v>
      </c>
      <c r="S243" s="4">
        <v>36</v>
      </c>
      <c r="T243" s="4">
        <v>844</v>
      </c>
      <c r="U243" s="4">
        <v>-269</v>
      </c>
    </row>
    <row r="244" spans="1:27" ht="13.2" x14ac:dyDescent="0.25">
      <c r="A244" s="15">
        <v>44133</v>
      </c>
      <c r="B244" s="4">
        <v>13701</v>
      </c>
      <c r="C244" s="4">
        <v>329778</v>
      </c>
      <c r="D244" s="4">
        <v>60569</v>
      </c>
      <c r="E244" s="4">
        <v>404048</v>
      </c>
      <c r="F244" s="4">
        <v>2225</v>
      </c>
      <c r="G244" s="4">
        <v>91235</v>
      </c>
      <c r="H244" s="4">
        <v>7951</v>
      </c>
      <c r="I244" s="4">
        <v>2824</v>
      </c>
      <c r="J244" s="4">
        <v>104235</v>
      </c>
      <c r="K244" s="4">
        <v>10775</v>
      </c>
      <c r="L244" s="4">
        <v>89</v>
      </c>
      <c r="M244" s="4">
        <v>3985</v>
      </c>
      <c r="N244" s="4">
        <v>-509</v>
      </c>
      <c r="O244" s="4">
        <v>3565</v>
      </c>
      <c r="P244" s="4">
        <v>14</v>
      </c>
      <c r="Q244" s="4">
        <v>1078</v>
      </c>
      <c r="R244" s="4">
        <v>-487</v>
      </c>
      <c r="S244" s="4">
        <v>108</v>
      </c>
      <c r="T244" s="4">
        <v>713</v>
      </c>
      <c r="U244" s="4">
        <v>-379</v>
      </c>
    </row>
    <row r="245" spans="1:27" ht="15.75" customHeight="1" x14ac:dyDescent="0.3">
      <c r="A245" s="15">
        <v>44134</v>
      </c>
      <c r="B245" s="10">
        <v>13782</v>
      </c>
      <c r="C245" s="10">
        <v>334295</v>
      </c>
      <c r="D245" s="10">
        <v>58868</v>
      </c>
      <c r="E245" s="10">
        <v>406945</v>
      </c>
      <c r="F245" s="10">
        <v>2239</v>
      </c>
      <c r="G245" s="10">
        <v>92312</v>
      </c>
      <c r="H245" s="10">
        <v>7457</v>
      </c>
      <c r="I245" s="10">
        <v>2839</v>
      </c>
      <c r="J245" s="10">
        <v>104847</v>
      </c>
      <c r="K245" s="10">
        <v>10296</v>
      </c>
      <c r="L245" s="10">
        <v>81</v>
      </c>
      <c r="M245" s="10">
        <v>4517</v>
      </c>
      <c r="N245" s="10">
        <v>-1701</v>
      </c>
      <c r="O245" s="10">
        <v>2897</v>
      </c>
      <c r="P245" s="10">
        <v>14</v>
      </c>
      <c r="Q245" s="10">
        <v>1077</v>
      </c>
      <c r="R245" s="10">
        <v>-494</v>
      </c>
      <c r="S245" s="10">
        <v>15</v>
      </c>
      <c r="T245" s="10">
        <v>612</v>
      </c>
      <c r="U245" s="11">
        <v>-479</v>
      </c>
      <c r="V245" s="13"/>
      <c r="W245" s="13"/>
      <c r="X245" s="13"/>
      <c r="Y245" s="13"/>
      <c r="Z245" s="13"/>
      <c r="AA245" s="13"/>
    </row>
    <row r="246" spans="1:27" ht="13.2" x14ac:dyDescent="0.25">
      <c r="A246" s="15">
        <v>44135</v>
      </c>
      <c r="B246" s="4">
        <v>13869</v>
      </c>
      <c r="C246" s="4">
        <v>337801</v>
      </c>
      <c r="D246" s="4">
        <v>58418</v>
      </c>
      <c r="E246" s="4">
        <v>410088</v>
      </c>
      <c r="F246" s="4">
        <v>2255</v>
      </c>
      <c r="G246" s="4">
        <v>94434</v>
      </c>
      <c r="H246" s="4">
        <v>6524</v>
      </c>
      <c r="I246" s="4">
        <v>2384</v>
      </c>
      <c r="J246" s="4">
        <v>105597</v>
      </c>
      <c r="K246" s="4">
        <v>8908</v>
      </c>
      <c r="L246" s="4">
        <v>87</v>
      </c>
      <c r="M246" s="4">
        <v>3506</v>
      </c>
      <c r="N246" s="4">
        <v>-450</v>
      </c>
      <c r="O246" s="4">
        <v>3143</v>
      </c>
      <c r="P246" s="4">
        <v>16</v>
      </c>
      <c r="Q246" s="4">
        <v>2122</v>
      </c>
      <c r="R246" s="4">
        <v>-933</v>
      </c>
      <c r="S246" s="4">
        <v>-455</v>
      </c>
      <c r="T246" s="4">
        <v>750</v>
      </c>
      <c r="U246" s="4">
        <v>-1388</v>
      </c>
    </row>
    <row r="247" spans="1:27" ht="15.75" customHeight="1" x14ac:dyDescent="0.3">
      <c r="A247" s="17">
        <v>44136</v>
      </c>
      <c r="B247" s="10">
        <v>13943</v>
      </c>
      <c r="C247" s="10">
        <v>341942</v>
      </c>
      <c r="D247" s="10">
        <v>56899</v>
      </c>
      <c r="E247" s="10">
        <v>412784</v>
      </c>
      <c r="F247" s="10">
        <v>2273</v>
      </c>
      <c r="G247" s="10">
        <v>94819</v>
      </c>
      <c r="H247" s="10">
        <v>6935</v>
      </c>
      <c r="I247" s="10">
        <v>2178</v>
      </c>
      <c r="J247" s="10">
        <v>106205</v>
      </c>
      <c r="K247" s="10">
        <v>9113</v>
      </c>
      <c r="L247" s="10">
        <v>74</v>
      </c>
      <c r="M247" s="10">
        <v>4141</v>
      </c>
      <c r="N247" s="10">
        <v>-1519</v>
      </c>
      <c r="O247" s="10">
        <v>2696</v>
      </c>
      <c r="P247" s="10">
        <v>18</v>
      </c>
      <c r="Q247" s="10">
        <v>385</v>
      </c>
      <c r="R247" s="10">
        <v>411</v>
      </c>
      <c r="S247" s="10">
        <v>-206</v>
      </c>
      <c r="T247" s="10">
        <v>608</v>
      </c>
      <c r="U247" s="11">
        <v>205</v>
      </c>
      <c r="V247" s="13"/>
      <c r="W247" s="13"/>
      <c r="X247" s="13"/>
      <c r="Y247" s="13"/>
      <c r="Z247" s="13"/>
      <c r="AA247" s="13"/>
    </row>
    <row r="248" spans="1:27" ht="13.2" x14ac:dyDescent="0.25">
      <c r="A248" s="15">
        <v>44137</v>
      </c>
      <c r="B248" s="4">
        <v>14044</v>
      </c>
      <c r="C248" s="4">
        <v>345566</v>
      </c>
      <c r="D248" s="4">
        <v>55792</v>
      </c>
      <c r="E248" s="4">
        <v>415402</v>
      </c>
      <c r="F248" s="4">
        <v>2291</v>
      </c>
      <c r="G248" s="4">
        <v>95876</v>
      </c>
      <c r="H248" s="4">
        <v>7312</v>
      </c>
      <c r="I248" s="4">
        <v>1750</v>
      </c>
      <c r="J248" s="4">
        <v>107229</v>
      </c>
      <c r="K248" s="4">
        <v>9062</v>
      </c>
      <c r="L248" s="4">
        <v>101</v>
      </c>
      <c r="M248" s="4">
        <v>3624</v>
      </c>
      <c r="N248" s="4">
        <v>-1107</v>
      </c>
      <c r="O248" s="4">
        <v>2618</v>
      </c>
      <c r="P248" s="4">
        <v>18</v>
      </c>
      <c r="Q248" s="4">
        <v>1057</v>
      </c>
      <c r="R248" s="4">
        <v>377</v>
      </c>
      <c r="S248" s="4">
        <v>-428</v>
      </c>
      <c r="T248" s="4">
        <v>1024</v>
      </c>
      <c r="U248" s="4">
        <v>-51</v>
      </c>
    </row>
    <row r="249" spans="1:27" ht="13.2" x14ac:dyDescent="0.25">
      <c r="A249" s="15">
        <v>44138</v>
      </c>
      <c r="B249" s="4">
        <v>14146</v>
      </c>
      <c r="C249" s="4">
        <v>349497</v>
      </c>
      <c r="D249" s="4">
        <v>54732</v>
      </c>
      <c r="E249" s="4">
        <v>418375</v>
      </c>
      <c r="F249" s="4">
        <v>2300</v>
      </c>
      <c r="G249" s="4">
        <v>96902</v>
      </c>
      <c r="H249" s="4">
        <v>6844</v>
      </c>
      <c r="I249" s="4">
        <v>1800</v>
      </c>
      <c r="J249" s="4">
        <v>107846</v>
      </c>
      <c r="K249" s="4">
        <v>8644</v>
      </c>
      <c r="L249" s="4">
        <v>102</v>
      </c>
      <c r="M249" s="4">
        <v>3931</v>
      </c>
      <c r="N249" s="4">
        <v>-1060</v>
      </c>
      <c r="O249" s="4">
        <v>2973</v>
      </c>
      <c r="P249" s="4">
        <v>9</v>
      </c>
      <c r="Q249" s="4">
        <v>1026</v>
      </c>
      <c r="R249" s="4">
        <v>-468</v>
      </c>
      <c r="S249" s="4">
        <v>50</v>
      </c>
      <c r="T249" s="4">
        <v>617</v>
      </c>
      <c r="U249" s="4">
        <v>-418</v>
      </c>
    </row>
    <row r="250" spans="1:27" ht="13.2" x14ac:dyDescent="0.25">
      <c r="A250" s="15">
        <v>44139</v>
      </c>
      <c r="B250" s="4">
        <v>14259</v>
      </c>
      <c r="C250" s="4">
        <v>353282</v>
      </c>
      <c r="D250" s="4">
        <v>54190</v>
      </c>
      <c r="E250" s="4">
        <v>421731</v>
      </c>
      <c r="F250" s="4">
        <v>2315</v>
      </c>
      <c r="G250" s="4">
        <v>97833</v>
      </c>
      <c r="H250" s="4">
        <v>6665</v>
      </c>
      <c r="I250" s="4">
        <v>1807</v>
      </c>
      <c r="J250" s="4">
        <v>108620</v>
      </c>
      <c r="K250" s="4">
        <v>8472</v>
      </c>
      <c r="L250" s="4">
        <v>113</v>
      </c>
      <c r="M250" s="4">
        <v>3785</v>
      </c>
      <c r="N250" s="4">
        <v>-542</v>
      </c>
      <c r="O250" s="4">
        <v>3356</v>
      </c>
      <c r="P250" s="4">
        <v>15</v>
      </c>
      <c r="Q250" s="4">
        <v>931</v>
      </c>
      <c r="R250" s="4">
        <v>-179</v>
      </c>
      <c r="S250" s="4">
        <v>7</v>
      </c>
      <c r="T250" s="4">
        <v>774</v>
      </c>
      <c r="U250" s="4">
        <v>-172</v>
      </c>
    </row>
    <row r="251" spans="1:27" ht="13.2" x14ac:dyDescent="0.25">
      <c r="A251" s="15">
        <v>44140</v>
      </c>
      <c r="B251" s="4">
        <v>14348</v>
      </c>
      <c r="C251" s="4">
        <v>357142</v>
      </c>
      <c r="D251" s="4">
        <v>54306</v>
      </c>
      <c r="E251" s="4">
        <v>425796</v>
      </c>
      <c r="F251" s="4">
        <v>2331</v>
      </c>
      <c r="G251" s="4">
        <v>98806</v>
      </c>
      <c r="H251" s="4">
        <v>6260</v>
      </c>
      <c r="I251" s="4">
        <v>2014</v>
      </c>
      <c r="J251" s="4">
        <v>109411</v>
      </c>
      <c r="K251" s="4">
        <v>8274</v>
      </c>
      <c r="L251" s="4">
        <v>89</v>
      </c>
      <c r="M251" s="4">
        <v>3860</v>
      </c>
      <c r="N251" s="4">
        <v>116</v>
      </c>
      <c r="O251" s="4">
        <v>4065</v>
      </c>
      <c r="P251" s="4">
        <v>16</v>
      </c>
      <c r="Q251" s="4">
        <v>973</v>
      </c>
      <c r="R251" s="4">
        <v>-405</v>
      </c>
      <c r="S251" s="4">
        <v>207</v>
      </c>
      <c r="T251" s="4">
        <v>791</v>
      </c>
      <c r="U251" s="4">
        <v>-198</v>
      </c>
    </row>
    <row r="252" spans="1:27" ht="15.75" customHeight="1" x14ac:dyDescent="0.3">
      <c r="A252" s="15">
        <v>44141</v>
      </c>
      <c r="B252" s="10">
        <v>14442</v>
      </c>
      <c r="C252" s="10">
        <v>360705</v>
      </c>
      <c r="D252" s="10">
        <v>54427</v>
      </c>
      <c r="E252" s="10">
        <v>429574</v>
      </c>
      <c r="F252" s="10">
        <v>2348</v>
      </c>
      <c r="G252" s="10">
        <v>99830</v>
      </c>
      <c r="H252" s="10">
        <v>6050</v>
      </c>
      <c r="I252" s="10">
        <v>1855</v>
      </c>
      <c r="J252" s="10">
        <v>110083</v>
      </c>
      <c r="K252" s="10">
        <v>7905</v>
      </c>
      <c r="L252" s="10">
        <v>94</v>
      </c>
      <c r="M252" s="10">
        <v>3563</v>
      </c>
      <c r="N252" s="10">
        <v>121</v>
      </c>
      <c r="O252" s="10">
        <v>3778</v>
      </c>
      <c r="P252" s="10">
        <v>17</v>
      </c>
      <c r="Q252" s="10">
        <v>1024</v>
      </c>
      <c r="R252" s="10">
        <v>-210</v>
      </c>
      <c r="S252" s="10">
        <v>-159</v>
      </c>
      <c r="T252" s="10">
        <v>672</v>
      </c>
      <c r="U252" s="11">
        <v>-369</v>
      </c>
      <c r="V252" s="13"/>
      <c r="W252" s="13"/>
      <c r="X252" s="13"/>
      <c r="Y252" s="13"/>
      <c r="Z252" s="13"/>
      <c r="AA252" s="13"/>
    </row>
    <row r="253" spans="1:27" ht="13.2" x14ac:dyDescent="0.25">
      <c r="A253" s="15">
        <v>44142</v>
      </c>
      <c r="B253" s="4">
        <v>14540</v>
      </c>
      <c r="C253" s="4">
        <v>364417</v>
      </c>
      <c r="D253" s="4">
        <v>54879</v>
      </c>
      <c r="E253" s="4">
        <v>433836</v>
      </c>
      <c r="F253" s="4">
        <v>2359</v>
      </c>
      <c r="G253" s="4">
        <v>100816</v>
      </c>
      <c r="H253" s="4">
        <v>6159</v>
      </c>
      <c r="I253" s="4">
        <v>1867</v>
      </c>
      <c r="J253" s="4">
        <v>111201</v>
      </c>
      <c r="K253" s="4">
        <v>8026</v>
      </c>
      <c r="L253" s="4">
        <v>98</v>
      </c>
      <c r="M253" s="4">
        <v>3712</v>
      </c>
      <c r="N253" s="4">
        <v>452</v>
      </c>
      <c r="O253" s="4">
        <v>4262</v>
      </c>
      <c r="P253" s="4">
        <v>11</v>
      </c>
      <c r="Q253" s="4">
        <v>986</v>
      </c>
      <c r="R253" s="4">
        <v>109</v>
      </c>
      <c r="S253" s="4">
        <v>12</v>
      </c>
      <c r="T253" s="4">
        <v>1118</v>
      </c>
      <c r="U253" s="4">
        <v>121</v>
      </c>
    </row>
    <row r="254" spans="1:27" ht="15.75" customHeight="1" x14ac:dyDescent="0.3">
      <c r="A254" s="15">
        <v>44143</v>
      </c>
      <c r="B254" s="10">
        <v>14614</v>
      </c>
      <c r="C254" s="10">
        <v>368298</v>
      </c>
      <c r="D254" s="10">
        <v>54804</v>
      </c>
      <c r="E254" s="10">
        <v>437716</v>
      </c>
      <c r="F254" s="10">
        <v>2366</v>
      </c>
      <c r="G254" s="10">
        <v>101791</v>
      </c>
      <c r="H254" s="10">
        <v>6338</v>
      </c>
      <c r="I254" s="10">
        <v>1532</v>
      </c>
      <c r="J254" s="10">
        <v>112027</v>
      </c>
      <c r="K254" s="10">
        <v>7870</v>
      </c>
      <c r="L254" s="10">
        <v>74</v>
      </c>
      <c r="M254" s="10">
        <v>3881</v>
      </c>
      <c r="N254" s="10">
        <v>-75</v>
      </c>
      <c r="O254" s="10">
        <v>3880</v>
      </c>
      <c r="P254" s="10">
        <v>7</v>
      </c>
      <c r="Q254" s="10">
        <v>975</v>
      </c>
      <c r="R254" s="10">
        <v>179</v>
      </c>
      <c r="S254" s="10">
        <v>-335</v>
      </c>
      <c r="T254" s="10">
        <v>826</v>
      </c>
      <c r="U254" s="11">
        <v>-156</v>
      </c>
      <c r="V254" s="13"/>
      <c r="W254" s="13"/>
      <c r="X254" s="13"/>
      <c r="Y254" s="13"/>
      <c r="Z254" s="13"/>
      <c r="AA254" s="13"/>
    </row>
    <row r="255" spans="1:27" ht="13.2" x14ac:dyDescent="0.25">
      <c r="A255" s="15">
        <v>44144</v>
      </c>
      <c r="B255" s="4">
        <v>14689</v>
      </c>
      <c r="C255" s="4">
        <v>372266</v>
      </c>
      <c r="D255" s="4">
        <v>53614</v>
      </c>
      <c r="E255" s="4">
        <v>440569</v>
      </c>
      <c r="F255" s="4">
        <v>2377</v>
      </c>
      <c r="G255" s="4">
        <v>102844</v>
      </c>
      <c r="H255" s="4">
        <v>6050</v>
      </c>
      <c r="I255" s="4">
        <v>1472</v>
      </c>
      <c r="J255" s="4">
        <v>112743</v>
      </c>
      <c r="K255" s="4">
        <v>7522</v>
      </c>
      <c r="L255" s="4">
        <v>75</v>
      </c>
      <c r="M255" s="4">
        <v>3968</v>
      </c>
      <c r="N255" s="4">
        <v>-1190</v>
      </c>
      <c r="O255" s="4">
        <v>2853</v>
      </c>
      <c r="P255" s="4">
        <v>11</v>
      </c>
      <c r="Q255" s="4">
        <v>1053</v>
      </c>
      <c r="R255" s="4">
        <v>-288</v>
      </c>
      <c r="S255" s="4">
        <v>-60</v>
      </c>
      <c r="T255" s="4">
        <v>716</v>
      </c>
      <c r="U255" s="4">
        <v>-348</v>
      </c>
    </row>
    <row r="256" spans="1:27" ht="15.75" customHeight="1" x14ac:dyDescent="0.3">
      <c r="A256" s="15">
        <v>44145</v>
      </c>
      <c r="B256" s="10">
        <v>14761</v>
      </c>
      <c r="C256" s="10">
        <v>375741</v>
      </c>
      <c r="D256" s="10">
        <v>53846</v>
      </c>
      <c r="E256" s="10">
        <v>444348</v>
      </c>
      <c r="F256" s="10">
        <v>2391</v>
      </c>
      <c r="G256" s="10">
        <v>104144</v>
      </c>
      <c r="H256" s="10">
        <v>5724</v>
      </c>
      <c r="I256" s="10">
        <v>1497</v>
      </c>
      <c r="J256" s="10">
        <v>113756</v>
      </c>
      <c r="K256" s="10">
        <v>7221</v>
      </c>
      <c r="L256" s="10">
        <v>72</v>
      </c>
      <c r="M256" s="10">
        <v>3475</v>
      </c>
      <c r="N256" s="10">
        <v>232</v>
      </c>
      <c r="O256" s="10">
        <v>3779</v>
      </c>
      <c r="P256" s="10">
        <v>14</v>
      </c>
      <c r="Q256" s="10">
        <v>1300</v>
      </c>
      <c r="R256" s="10">
        <v>-326</v>
      </c>
      <c r="S256" s="10">
        <v>25</v>
      </c>
      <c r="T256" s="10">
        <v>1013</v>
      </c>
      <c r="U256" s="11">
        <v>-301</v>
      </c>
      <c r="V256" s="13"/>
      <c r="W256" s="13"/>
      <c r="X256" s="13"/>
      <c r="Y256" s="13"/>
      <c r="Z256" s="13"/>
      <c r="AA256" s="13"/>
    </row>
    <row r="257" spans="1:27" ht="13.2" x14ac:dyDescent="0.25">
      <c r="A257" s="15">
        <v>44146</v>
      </c>
      <c r="B257" s="4">
        <v>14836</v>
      </c>
      <c r="C257" s="4">
        <v>378982</v>
      </c>
      <c r="D257" s="4">
        <v>54300</v>
      </c>
      <c r="E257" s="4">
        <v>448118</v>
      </c>
      <c r="F257" s="4">
        <v>2403</v>
      </c>
      <c r="G257" s="4">
        <v>105117</v>
      </c>
      <c r="H257" s="4">
        <v>5161</v>
      </c>
      <c r="I257" s="4">
        <v>1662</v>
      </c>
      <c r="J257" s="4">
        <v>114343</v>
      </c>
      <c r="K257" s="4">
        <v>6823</v>
      </c>
      <c r="L257" s="4">
        <v>75</v>
      </c>
      <c r="M257" s="4">
        <v>3241</v>
      </c>
      <c r="N257" s="4">
        <v>454</v>
      </c>
      <c r="O257" s="4">
        <v>3770</v>
      </c>
      <c r="P257" s="4">
        <v>12</v>
      </c>
      <c r="Q257" s="4">
        <v>973</v>
      </c>
      <c r="R257" s="4">
        <v>-563</v>
      </c>
      <c r="S257" s="4">
        <v>165</v>
      </c>
      <c r="T257" s="4">
        <v>587</v>
      </c>
      <c r="U257" s="4">
        <v>-398</v>
      </c>
    </row>
    <row r="258" spans="1:27" ht="15.75" customHeight="1" x14ac:dyDescent="0.3">
      <c r="A258" s="15">
        <v>44147</v>
      </c>
      <c r="B258" s="10">
        <v>14933</v>
      </c>
      <c r="C258" s="10">
        <v>382084</v>
      </c>
      <c r="D258" s="10">
        <v>55274</v>
      </c>
      <c r="E258" s="10">
        <v>452291</v>
      </c>
      <c r="F258" s="10">
        <v>2414</v>
      </c>
      <c r="G258" s="10">
        <v>106189</v>
      </c>
      <c r="H258" s="10">
        <v>4878</v>
      </c>
      <c r="I258" s="10">
        <v>1693</v>
      </c>
      <c r="J258" s="10">
        <v>115174</v>
      </c>
      <c r="K258" s="10">
        <v>6571</v>
      </c>
      <c r="L258" s="10">
        <v>97</v>
      </c>
      <c r="M258" s="10">
        <v>3102</v>
      </c>
      <c r="N258" s="10">
        <v>974</v>
      </c>
      <c r="O258" s="10">
        <v>4173</v>
      </c>
      <c r="P258" s="10">
        <v>11</v>
      </c>
      <c r="Q258" s="10">
        <v>1072</v>
      </c>
      <c r="R258" s="10">
        <v>-283</v>
      </c>
      <c r="S258" s="10">
        <v>31</v>
      </c>
      <c r="T258" s="10">
        <v>831</v>
      </c>
      <c r="U258" s="11">
        <v>-252</v>
      </c>
      <c r="V258" s="13"/>
      <c r="W258" s="13"/>
      <c r="X258" s="13"/>
      <c r="Y258" s="13"/>
      <c r="Z258" s="13"/>
      <c r="AA258" s="13"/>
    </row>
    <row r="259" spans="1:27" ht="13.2" x14ac:dyDescent="0.25">
      <c r="A259" s="15">
        <v>44148</v>
      </c>
      <c r="B259" s="4">
        <v>15037</v>
      </c>
      <c r="C259" s="4">
        <v>385094</v>
      </c>
      <c r="D259" s="4">
        <v>57604</v>
      </c>
      <c r="E259" s="4">
        <v>457735</v>
      </c>
      <c r="F259" s="4">
        <v>2428</v>
      </c>
      <c r="G259" s="4">
        <v>107147</v>
      </c>
      <c r="H259" s="4">
        <v>5028</v>
      </c>
      <c r="I259" s="4">
        <v>1604</v>
      </c>
      <c r="J259" s="4">
        <v>116207</v>
      </c>
      <c r="K259" s="4">
        <v>6632</v>
      </c>
      <c r="L259" s="4">
        <v>104</v>
      </c>
      <c r="M259" s="4">
        <v>3010</v>
      </c>
      <c r="N259" s="4">
        <v>2330</v>
      </c>
      <c r="O259" s="4">
        <v>5444</v>
      </c>
      <c r="P259" s="4">
        <v>14</v>
      </c>
      <c r="Q259" s="4">
        <v>958</v>
      </c>
      <c r="R259" s="4">
        <v>150</v>
      </c>
      <c r="S259" s="4">
        <v>-89</v>
      </c>
      <c r="T259" s="4">
        <v>1033</v>
      </c>
      <c r="U259" s="4">
        <v>61</v>
      </c>
    </row>
    <row r="260" spans="1:27" ht="13.2" x14ac:dyDescent="0.25">
      <c r="A260" s="15">
        <v>44149</v>
      </c>
      <c r="B260" s="4">
        <v>15148</v>
      </c>
      <c r="C260" s="4">
        <v>388094</v>
      </c>
      <c r="D260" s="4">
        <v>59765</v>
      </c>
      <c r="E260" s="4">
        <v>463007</v>
      </c>
      <c r="F260" s="4">
        <v>2441</v>
      </c>
      <c r="G260" s="4">
        <v>108209</v>
      </c>
      <c r="H260" s="4">
        <v>4710</v>
      </c>
      <c r="I260" s="4">
        <v>2102</v>
      </c>
      <c r="J260" s="4">
        <v>117462</v>
      </c>
      <c r="K260" s="4">
        <v>6812</v>
      </c>
      <c r="L260" s="4">
        <v>111</v>
      </c>
      <c r="M260" s="4">
        <v>3000</v>
      </c>
      <c r="N260" s="4">
        <v>2161</v>
      </c>
      <c r="O260" s="4">
        <v>5272</v>
      </c>
      <c r="P260" s="4">
        <v>13</v>
      </c>
      <c r="Q260" s="4">
        <v>1062</v>
      </c>
      <c r="R260" s="4">
        <v>-318</v>
      </c>
      <c r="S260" s="4">
        <v>498</v>
      </c>
      <c r="T260" s="4">
        <v>1255</v>
      </c>
      <c r="U260" s="4">
        <v>180</v>
      </c>
    </row>
    <row r="261" spans="1:27" ht="15.75" customHeight="1" x14ac:dyDescent="0.3">
      <c r="A261" s="15">
        <v>44150</v>
      </c>
      <c r="B261" s="10">
        <v>15211</v>
      </c>
      <c r="C261" s="10">
        <v>391991</v>
      </c>
      <c r="D261" s="10">
        <v>59911</v>
      </c>
      <c r="E261" s="10">
        <v>467113</v>
      </c>
      <c r="F261" s="10">
        <v>2448</v>
      </c>
      <c r="G261" s="10">
        <v>109181</v>
      </c>
      <c r="H261" s="10">
        <v>4952</v>
      </c>
      <c r="I261" s="10">
        <v>2046</v>
      </c>
      <c r="J261" s="10">
        <v>118627</v>
      </c>
      <c r="K261" s="10">
        <v>6998</v>
      </c>
      <c r="L261" s="10">
        <v>63</v>
      </c>
      <c r="M261" s="10">
        <v>3897</v>
      </c>
      <c r="N261" s="10">
        <v>146</v>
      </c>
      <c r="O261" s="10">
        <v>4106</v>
      </c>
      <c r="P261" s="10">
        <v>7</v>
      </c>
      <c r="Q261" s="10">
        <v>972</v>
      </c>
      <c r="R261" s="10">
        <v>242</v>
      </c>
      <c r="S261" s="10">
        <v>-56</v>
      </c>
      <c r="T261" s="10">
        <v>1165</v>
      </c>
      <c r="U261" s="11">
        <v>186</v>
      </c>
      <c r="V261" s="13"/>
      <c r="W261" s="13"/>
      <c r="X261" s="13"/>
      <c r="Y261" s="13"/>
      <c r="Z261" s="13"/>
      <c r="AA261" s="13"/>
    </row>
    <row r="262" spans="1:27" ht="13.2" x14ac:dyDescent="0.25">
      <c r="A262" s="15">
        <v>44151</v>
      </c>
      <c r="B262" s="4">
        <v>15296</v>
      </c>
      <c r="C262" s="4">
        <v>395443</v>
      </c>
      <c r="D262" s="4">
        <v>59909</v>
      </c>
      <c r="E262" s="4">
        <v>470648</v>
      </c>
      <c r="F262" s="4">
        <v>2455</v>
      </c>
      <c r="G262" s="4">
        <v>110221</v>
      </c>
      <c r="H262" s="4">
        <v>4420</v>
      </c>
      <c r="I262" s="4">
        <v>2537</v>
      </c>
      <c r="J262" s="4">
        <v>119633</v>
      </c>
      <c r="K262" s="4">
        <v>6957</v>
      </c>
      <c r="L262" s="4">
        <v>85</v>
      </c>
      <c r="M262" s="4">
        <v>3452</v>
      </c>
      <c r="N262" s="4">
        <v>-2</v>
      </c>
      <c r="O262" s="4">
        <v>3535</v>
      </c>
      <c r="P262" s="4">
        <v>7</v>
      </c>
      <c r="Q262" s="4">
        <v>1040</v>
      </c>
      <c r="R262" s="4">
        <v>-532</v>
      </c>
      <c r="S262" s="4">
        <v>491</v>
      </c>
      <c r="T262" s="4">
        <v>1006</v>
      </c>
      <c r="U262" s="4">
        <v>-41</v>
      </c>
    </row>
    <row r="263" spans="1:27" ht="13.2" x14ac:dyDescent="0.25">
      <c r="A263" s="15">
        <v>44152</v>
      </c>
      <c r="B263" s="4">
        <v>15393</v>
      </c>
      <c r="C263" s="4">
        <v>398636</v>
      </c>
      <c r="D263" s="4">
        <v>60426</v>
      </c>
      <c r="E263" s="4">
        <v>474455</v>
      </c>
      <c r="F263" s="4">
        <v>2459</v>
      </c>
      <c r="G263" s="4">
        <v>111096</v>
      </c>
      <c r="H263" s="4">
        <v>4355</v>
      </c>
      <c r="I263" s="4">
        <v>2761</v>
      </c>
      <c r="J263" s="4">
        <v>120671</v>
      </c>
      <c r="K263" s="4">
        <v>7116</v>
      </c>
      <c r="L263" s="4">
        <v>97</v>
      </c>
      <c r="M263" s="4">
        <v>3193</v>
      </c>
      <c r="N263" s="4">
        <v>517</v>
      </c>
      <c r="O263" s="4">
        <v>3807</v>
      </c>
      <c r="P263" s="4">
        <v>4</v>
      </c>
      <c r="Q263" s="4">
        <v>875</v>
      </c>
      <c r="R263" s="4">
        <v>-65</v>
      </c>
      <c r="S263" s="4">
        <v>224</v>
      </c>
      <c r="T263" s="4">
        <v>1038</v>
      </c>
      <c r="U263" s="4">
        <v>159</v>
      </c>
    </row>
    <row r="264" spans="1:27" ht="13.2" x14ac:dyDescent="0.25">
      <c r="A264" s="15">
        <v>44153</v>
      </c>
      <c r="B264" s="4">
        <v>15503</v>
      </c>
      <c r="C264" s="4">
        <v>402347</v>
      </c>
      <c r="D264" s="4">
        <v>60870</v>
      </c>
      <c r="E264" s="4">
        <v>478720</v>
      </c>
      <c r="F264" s="4">
        <v>2470</v>
      </c>
      <c r="G264" s="4">
        <v>111948</v>
      </c>
      <c r="H264" s="4">
        <v>4619</v>
      </c>
      <c r="I264" s="4">
        <v>2781</v>
      </c>
      <c r="J264" s="4">
        <v>121818</v>
      </c>
      <c r="K264" s="4">
        <v>7400</v>
      </c>
      <c r="L264" s="4">
        <v>110</v>
      </c>
      <c r="M264" s="4">
        <v>3711</v>
      </c>
      <c r="N264" s="4">
        <v>444</v>
      </c>
      <c r="O264" s="4">
        <v>4265</v>
      </c>
      <c r="P264" s="4">
        <v>11</v>
      </c>
      <c r="Q264" s="4">
        <v>852</v>
      </c>
      <c r="R264" s="4">
        <v>264</v>
      </c>
      <c r="S264" s="4">
        <v>20</v>
      </c>
      <c r="T264" s="4">
        <v>1147</v>
      </c>
      <c r="U264" s="4">
        <v>284</v>
      </c>
    </row>
    <row r="265" spans="1:27" ht="13.2" x14ac:dyDescent="0.25">
      <c r="A265" s="15">
        <v>44154</v>
      </c>
      <c r="B265" s="4">
        <v>15600</v>
      </c>
      <c r="C265" s="4">
        <v>406612</v>
      </c>
      <c r="D265" s="4">
        <v>61306</v>
      </c>
      <c r="E265" s="4">
        <v>483518</v>
      </c>
      <c r="F265" s="4">
        <v>2484</v>
      </c>
      <c r="G265" s="4">
        <v>112833</v>
      </c>
      <c r="H265" s="4">
        <v>4633</v>
      </c>
      <c r="I265" s="4">
        <v>3053</v>
      </c>
      <c r="J265" s="4">
        <v>123003</v>
      </c>
      <c r="K265" s="4">
        <v>7686</v>
      </c>
      <c r="L265" s="4">
        <v>97</v>
      </c>
      <c r="M265" s="4">
        <v>4265</v>
      </c>
      <c r="N265" s="4">
        <v>436</v>
      </c>
      <c r="O265" s="4">
        <v>4798</v>
      </c>
      <c r="P265" s="4">
        <v>14</v>
      </c>
      <c r="Q265" s="4">
        <v>885</v>
      </c>
      <c r="R265" s="4">
        <v>14</v>
      </c>
      <c r="S265" s="4">
        <v>272</v>
      </c>
      <c r="T265" s="4">
        <v>1185</v>
      </c>
      <c r="U265" s="4">
        <v>286</v>
      </c>
    </row>
    <row r="266" spans="1:27" ht="15.75" customHeight="1" x14ac:dyDescent="0.3">
      <c r="A266" s="15">
        <v>44155</v>
      </c>
      <c r="B266" s="10">
        <v>15678</v>
      </c>
      <c r="C266" s="10">
        <v>410552</v>
      </c>
      <c r="D266" s="10">
        <v>62080</v>
      </c>
      <c r="E266" s="10">
        <v>488310</v>
      </c>
      <c r="F266" s="10">
        <v>2501</v>
      </c>
      <c r="G266" s="10">
        <v>113739</v>
      </c>
      <c r="H266" s="10">
        <v>4616</v>
      </c>
      <c r="I266" s="10">
        <v>3387</v>
      </c>
      <c r="J266" s="10">
        <v>124243</v>
      </c>
      <c r="K266" s="10">
        <v>8003</v>
      </c>
      <c r="L266" s="10">
        <v>78</v>
      </c>
      <c r="M266" s="10">
        <v>3940</v>
      </c>
      <c r="N266" s="10">
        <v>774</v>
      </c>
      <c r="O266" s="10">
        <v>4792</v>
      </c>
      <c r="P266" s="10">
        <v>17</v>
      </c>
      <c r="Q266" s="10">
        <v>906</v>
      </c>
      <c r="R266" s="10">
        <v>-17</v>
      </c>
      <c r="S266" s="10">
        <v>334</v>
      </c>
      <c r="T266" s="10">
        <v>1240</v>
      </c>
      <c r="U266" s="11">
        <v>317</v>
      </c>
      <c r="V266" s="13"/>
      <c r="W266" s="13"/>
      <c r="X266" s="13"/>
      <c r="Y266" s="13"/>
      <c r="Z266" s="13"/>
      <c r="AA266" s="13"/>
    </row>
    <row r="267" spans="1:27" ht="13.2" x14ac:dyDescent="0.25">
      <c r="A267" s="15">
        <v>44156</v>
      </c>
      <c r="B267" s="4">
        <v>15774</v>
      </c>
      <c r="C267" s="4">
        <v>413955</v>
      </c>
      <c r="D267" s="4">
        <v>63579</v>
      </c>
      <c r="E267" s="4">
        <v>493308</v>
      </c>
      <c r="F267" s="4">
        <v>2515</v>
      </c>
      <c r="G267" s="4">
        <v>114863</v>
      </c>
      <c r="H267" s="4">
        <v>5323</v>
      </c>
      <c r="I267" s="4">
        <v>3121</v>
      </c>
      <c r="J267" s="4">
        <v>125822</v>
      </c>
      <c r="K267" s="4">
        <v>8444</v>
      </c>
      <c r="L267" s="4">
        <v>96</v>
      </c>
      <c r="M267" s="4">
        <v>3403</v>
      </c>
      <c r="N267" s="4">
        <v>1499</v>
      </c>
      <c r="O267" s="4">
        <v>4998</v>
      </c>
      <c r="P267" s="4">
        <v>14</v>
      </c>
      <c r="Q267" s="4">
        <v>1124</v>
      </c>
      <c r="R267" s="4">
        <v>707</v>
      </c>
      <c r="S267" s="4">
        <v>-266</v>
      </c>
      <c r="T267" s="4">
        <v>1579</v>
      </c>
      <c r="U267" s="4">
        <v>441</v>
      </c>
    </row>
    <row r="268" spans="1:27" ht="15.75" customHeight="1" x14ac:dyDescent="0.3">
      <c r="A268" s="15">
        <v>44157</v>
      </c>
      <c r="B268" s="10">
        <v>15884</v>
      </c>
      <c r="C268" s="10">
        <v>418188</v>
      </c>
      <c r="D268" s="10">
        <v>63596</v>
      </c>
      <c r="E268" s="10">
        <v>497668</v>
      </c>
      <c r="F268" s="10">
        <v>2531</v>
      </c>
      <c r="G268" s="10">
        <v>115939</v>
      </c>
      <c r="H268" s="10">
        <v>5529</v>
      </c>
      <c r="I268" s="10">
        <v>3165</v>
      </c>
      <c r="J268" s="10">
        <v>127164</v>
      </c>
      <c r="K268" s="10">
        <v>8694</v>
      </c>
      <c r="L268" s="10">
        <v>110</v>
      </c>
      <c r="M268" s="10">
        <v>4233</v>
      </c>
      <c r="N268" s="10">
        <v>17</v>
      </c>
      <c r="O268" s="10">
        <v>4360</v>
      </c>
      <c r="P268" s="10">
        <v>16</v>
      </c>
      <c r="Q268" s="10">
        <v>1076</v>
      </c>
      <c r="R268" s="10">
        <v>206</v>
      </c>
      <c r="S268" s="10">
        <v>44</v>
      </c>
      <c r="T268" s="10">
        <v>1342</v>
      </c>
      <c r="U268" s="11">
        <v>250</v>
      </c>
      <c r="V268" s="13"/>
      <c r="W268" s="13"/>
      <c r="X268" s="13"/>
      <c r="Y268" s="13"/>
      <c r="Z268" s="13"/>
      <c r="AA268" s="13"/>
    </row>
    <row r="269" spans="1:27" ht="13.2" x14ac:dyDescent="0.25">
      <c r="A269" s="15">
        <v>44158</v>
      </c>
      <c r="B269" s="4">
        <v>16002</v>
      </c>
      <c r="C269" s="4">
        <v>422386</v>
      </c>
      <c r="D269" s="4">
        <v>63722</v>
      </c>
      <c r="E269" s="4">
        <v>502110</v>
      </c>
      <c r="F269" s="4">
        <v>2548</v>
      </c>
      <c r="G269" s="4">
        <v>117003</v>
      </c>
      <c r="H269" s="4">
        <v>5592</v>
      </c>
      <c r="I269" s="4">
        <v>3030</v>
      </c>
      <c r="J269" s="4">
        <v>128173</v>
      </c>
      <c r="K269" s="4">
        <v>8622</v>
      </c>
      <c r="L269" s="4">
        <v>118</v>
      </c>
      <c r="M269" s="4">
        <v>4198</v>
      </c>
      <c r="N269" s="4">
        <v>126</v>
      </c>
      <c r="O269" s="4">
        <v>4442</v>
      </c>
      <c r="P269" s="4">
        <v>17</v>
      </c>
      <c r="Q269" s="4">
        <v>1064</v>
      </c>
      <c r="R269" s="4">
        <v>63</v>
      </c>
      <c r="S269" s="4">
        <v>-135</v>
      </c>
      <c r="T269" s="4">
        <v>1009</v>
      </c>
      <c r="U269" s="4">
        <v>-72</v>
      </c>
    </row>
    <row r="270" spans="1:27" ht="15.75" customHeight="1" x14ac:dyDescent="0.3">
      <c r="A270" s="15">
        <v>44159</v>
      </c>
      <c r="B270" s="10">
        <v>16111</v>
      </c>
      <c r="C270" s="10">
        <v>425313</v>
      </c>
      <c r="D270" s="10">
        <v>64878</v>
      </c>
      <c r="E270" s="10">
        <v>506302</v>
      </c>
      <c r="F270" s="10">
        <v>2567</v>
      </c>
      <c r="G270" s="10">
        <v>118062</v>
      </c>
      <c r="H270" s="10">
        <v>5518</v>
      </c>
      <c r="I270" s="10">
        <v>3041</v>
      </c>
      <c r="J270" s="10">
        <v>129188</v>
      </c>
      <c r="K270" s="10">
        <v>8559</v>
      </c>
      <c r="L270" s="10">
        <v>109</v>
      </c>
      <c r="M270" s="10">
        <v>2927</v>
      </c>
      <c r="N270" s="10">
        <v>1156</v>
      </c>
      <c r="O270" s="10">
        <v>4192</v>
      </c>
      <c r="P270" s="10">
        <v>19</v>
      </c>
      <c r="Q270" s="10">
        <v>1059</v>
      </c>
      <c r="R270" s="10">
        <v>-74</v>
      </c>
      <c r="S270" s="10">
        <v>11</v>
      </c>
      <c r="T270" s="10">
        <v>1015</v>
      </c>
      <c r="U270" s="11">
        <v>-63</v>
      </c>
      <c r="V270" s="13"/>
      <c r="W270" s="13"/>
      <c r="X270" s="13"/>
      <c r="Y270" s="13"/>
      <c r="Z270" s="13"/>
      <c r="AA270" s="13"/>
    </row>
    <row r="271" spans="1:27" ht="13.2" x14ac:dyDescent="0.25">
      <c r="A271" s="15">
        <v>44160</v>
      </c>
      <c r="B271" s="4">
        <v>16225</v>
      </c>
      <c r="C271" s="4">
        <v>429807</v>
      </c>
      <c r="D271" s="4">
        <v>65804</v>
      </c>
      <c r="E271" s="4">
        <v>511836</v>
      </c>
      <c r="F271" s="4">
        <v>2584</v>
      </c>
      <c r="G271" s="4">
        <v>119099</v>
      </c>
      <c r="H271" s="4">
        <v>6000</v>
      </c>
      <c r="I271" s="4">
        <v>2778</v>
      </c>
      <c r="J271" s="4">
        <v>130461</v>
      </c>
      <c r="K271" s="4">
        <v>8778</v>
      </c>
      <c r="L271" s="4">
        <v>114</v>
      </c>
      <c r="M271" s="4">
        <v>4494</v>
      </c>
      <c r="N271" s="4">
        <v>926</v>
      </c>
      <c r="O271" s="4">
        <v>5534</v>
      </c>
      <c r="P271" s="4">
        <v>17</v>
      </c>
      <c r="Q271" s="4">
        <v>1037</v>
      </c>
      <c r="R271" s="4">
        <v>482</v>
      </c>
      <c r="S271" s="4">
        <v>-263</v>
      </c>
      <c r="T271" s="4">
        <v>1273</v>
      </c>
      <c r="U271" s="4">
        <v>219</v>
      </c>
    </row>
    <row r="272" spans="1:27" ht="13.2" x14ac:dyDescent="0.25">
      <c r="A272" s="15">
        <v>44161</v>
      </c>
      <c r="B272" s="4">
        <v>16352</v>
      </c>
      <c r="C272" s="4">
        <v>433649</v>
      </c>
      <c r="D272" s="4">
        <v>66752</v>
      </c>
      <c r="E272" s="4">
        <v>516753</v>
      </c>
      <c r="F272" s="4">
        <v>2597</v>
      </c>
      <c r="G272" s="4">
        <v>120287</v>
      </c>
      <c r="H272" s="4">
        <v>5876</v>
      </c>
      <c r="I272" s="4">
        <v>2765</v>
      </c>
      <c r="J272" s="4">
        <v>131525</v>
      </c>
      <c r="K272" s="4">
        <v>8641</v>
      </c>
      <c r="L272" s="4">
        <v>127</v>
      </c>
      <c r="M272" s="4">
        <v>3842</v>
      </c>
      <c r="N272" s="4">
        <v>948</v>
      </c>
      <c r="O272" s="4">
        <v>4917</v>
      </c>
      <c r="P272" s="4">
        <v>13</v>
      </c>
      <c r="Q272" s="4">
        <v>1188</v>
      </c>
      <c r="R272" s="4">
        <v>-124</v>
      </c>
      <c r="S272" s="4">
        <v>-13</v>
      </c>
      <c r="T272" s="4">
        <v>1064</v>
      </c>
      <c r="U272" s="4">
        <v>-137</v>
      </c>
    </row>
    <row r="273" spans="1:27" ht="15.75" customHeight="1" x14ac:dyDescent="0.3">
      <c r="A273" s="18">
        <v>44162</v>
      </c>
      <c r="B273" s="10">
        <v>16521</v>
      </c>
      <c r="C273" s="10">
        <v>437456</v>
      </c>
      <c r="D273" s="10">
        <v>68604</v>
      </c>
      <c r="E273" s="10">
        <v>522581</v>
      </c>
      <c r="F273" s="10">
        <v>2614</v>
      </c>
      <c r="G273" s="10">
        <v>121082</v>
      </c>
      <c r="H273" s="10">
        <v>6653</v>
      </c>
      <c r="I273" s="10">
        <v>2612</v>
      </c>
      <c r="J273" s="10">
        <v>132961</v>
      </c>
      <c r="K273" s="10">
        <v>9265</v>
      </c>
      <c r="L273" s="10">
        <v>169</v>
      </c>
      <c r="M273" s="10">
        <v>3807</v>
      </c>
      <c r="N273" s="10">
        <v>1852</v>
      </c>
      <c r="O273" s="10">
        <v>5828</v>
      </c>
      <c r="P273" s="10">
        <v>17</v>
      </c>
      <c r="Q273" s="10">
        <v>795</v>
      </c>
      <c r="R273" s="10">
        <v>777</v>
      </c>
      <c r="S273" s="10">
        <v>-153</v>
      </c>
      <c r="T273" s="10">
        <v>1436</v>
      </c>
      <c r="U273" s="11">
        <v>624</v>
      </c>
      <c r="V273" s="13"/>
      <c r="W273" s="13"/>
      <c r="X273" s="13"/>
      <c r="Y273" s="13"/>
      <c r="Z273" s="13"/>
      <c r="AA273" s="13"/>
    </row>
    <row r="274" spans="1:27" ht="15.75" customHeight="1" x14ac:dyDescent="0.3">
      <c r="A274" s="18">
        <v>44163</v>
      </c>
      <c r="B274" s="10">
        <v>16646</v>
      </c>
      <c r="C274" s="10">
        <v>441983</v>
      </c>
      <c r="D274" s="10">
        <v>69370</v>
      </c>
      <c r="E274" s="10">
        <v>527999</v>
      </c>
      <c r="F274" s="10">
        <v>2632</v>
      </c>
      <c r="G274" s="10">
        <v>122328</v>
      </c>
      <c r="H274" s="10">
        <v>6921</v>
      </c>
      <c r="I274" s="10">
        <v>2450</v>
      </c>
      <c r="J274" s="10">
        <v>134331</v>
      </c>
      <c r="K274" s="10">
        <v>9371</v>
      </c>
      <c r="L274" s="10">
        <v>125</v>
      </c>
      <c r="M274" s="10">
        <v>4527</v>
      </c>
      <c r="N274" s="10">
        <v>766</v>
      </c>
      <c r="O274" s="10">
        <v>5418</v>
      </c>
      <c r="P274" s="10">
        <v>18</v>
      </c>
      <c r="Q274" s="10">
        <v>1246</v>
      </c>
      <c r="R274" s="10">
        <v>268</v>
      </c>
      <c r="S274" s="10">
        <v>-162</v>
      </c>
      <c r="T274" s="10">
        <v>1370</v>
      </c>
      <c r="U274" s="11">
        <v>106</v>
      </c>
      <c r="V274" s="13"/>
      <c r="W274" s="13"/>
      <c r="X274" s="13"/>
      <c r="Y274" s="13"/>
      <c r="Z274" s="13"/>
      <c r="AA274" s="13"/>
    </row>
    <row r="275" spans="1:27" ht="13.2" x14ac:dyDescent="0.25">
      <c r="A275" s="15">
        <v>44164</v>
      </c>
      <c r="B275" s="4">
        <v>16815</v>
      </c>
      <c r="C275" s="4">
        <v>445793</v>
      </c>
      <c r="D275" s="4">
        <v>71658</v>
      </c>
      <c r="E275" s="4">
        <v>534266</v>
      </c>
      <c r="F275" s="4">
        <v>2652</v>
      </c>
      <c r="G275" s="4">
        <v>123163</v>
      </c>
      <c r="H275" s="4">
        <v>7608</v>
      </c>
      <c r="I275" s="4">
        <v>2339</v>
      </c>
      <c r="J275" s="4">
        <v>135762</v>
      </c>
      <c r="K275" s="4">
        <v>9947</v>
      </c>
      <c r="L275" s="4">
        <v>169</v>
      </c>
      <c r="M275" s="4">
        <v>3810</v>
      </c>
      <c r="N275" s="4">
        <v>2288</v>
      </c>
      <c r="O275" s="4">
        <v>6267</v>
      </c>
      <c r="P275" s="4">
        <v>20</v>
      </c>
      <c r="Q275" s="4">
        <v>835</v>
      </c>
      <c r="R275" s="4">
        <v>687</v>
      </c>
      <c r="S275" s="4">
        <v>-111</v>
      </c>
      <c r="T275" s="4">
        <v>1431</v>
      </c>
      <c r="U275" s="4">
        <v>576</v>
      </c>
    </row>
    <row r="276" spans="1:27" ht="15.75" customHeight="1" x14ac:dyDescent="0.3">
      <c r="A276" s="18">
        <v>44165</v>
      </c>
      <c r="B276" s="4">
        <v>16945</v>
      </c>
      <c r="C276" s="4">
        <v>450518</v>
      </c>
      <c r="D276" s="4">
        <v>71420</v>
      </c>
      <c r="E276" s="4">
        <v>538883</v>
      </c>
      <c r="F276" s="4">
        <v>2671</v>
      </c>
      <c r="G276" s="4">
        <v>124078</v>
      </c>
      <c r="H276" s="4">
        <v>7823</v>
      </c>
      <c r="I276" s="4">
        <v>2289</v>
      </c>
      <c r="J276" s="4">
        <v>136861</v>
      </c>
      <c r="K276" s="4">
        <v>10112</v>
      </c>
      <c r="L276" s="4">
        <v>130</v>
      </c>
      <c r="M276" s="4">
        <v>4725</v>
      </c>
      <c r="N276" s="4">
        <v>-238</v>
      </c>
      <c r="O276" s="4">
        <v>4617</v>
      </c>
      <c r="P276" s="4">
        <v>19</v>
      </c>
      <c r="Q276" s="4">
        <v>915</v>
      </c>
      <c r="R276" s="4">
        <v>215</v>
      </c>
      <c r="S276" s="4">
        <v>-50</v>
      </c>
      <c r="T276" s="4">
        <v>1099</v>
      </c>
      <c r="U276" s="4">
        <v>165</v>
      </c>
    </row>
    <row r="277" spans="1:27" ht="13.2" x14ac:dyDescent="0.25">
      <c r="A277" s="15">
        <v>44166</v>
      </c>
      <c r="B277" s="4">
        <v>17081</v>
      </c>
      <c r="C277" s="4">
        <v>454879</v>
      </c>
      <c r="D277" s="4">
        <v>72015</v>
      </c>
      <c r="E277" s="4">
        <v>543975</v>
      </c>
      <c r="F277" s="4">
        <v>2689</v>
      </c>
      <c r="G277" s="4">
        <v>125102</v>
      </c>
      <c r="H277" s="4">
        <v>7937</v>
      </c>
      <c r="I277" s="4">
        <v>2191</v>
      </c>
      <c r="J277" s="4">
        <v>137919</v>
      </c>
      <c r="K277" s="4">
        <v>10128</v>
      </c>
      <c r="L277" s="4">
        <v>136</v>
      </c>
      <c r="M277" s="4">
        <v>4361</v>
      </c>
      <c r="N277" s="4">
        <v>595</v>
      </c>
      <c r="O277" s="4">
        <v>5092</v>
      </c>
      <c r="P277" s="4">
        <v>18</v>
      </c>
      <c r="Q277" s="4">
        <v>1024</v>
      </c>
      <c r="R277" s="4">
        <v>114</v>
      </c>
      <c r="S277" s="4">
        <v>-98</v>
      </c>
      <c r="T277" s="4">
        <v>1058</v>
      </c>
      <c r="U277" s="4">
        <v>16</v>
      </c>
    </row>
    <row r="278" spans="1:27" ht="13.2" x14ac:dyDescent="0.25">
      <c r="A278" s="15">
        <v>44167</v>
      </c>
      <c r="B278" s="4">
        <v>17199</v>
      </c>
      <c r="C278" s="4">
        <v>458880</v>
      </c>
      <c r="D278" s="4">
        <v>73429</v>
      </c>
      <c r="E278" s="4">
        <v>549508</v>
      </c>
      <c r="F278" s="4">
        <v>2710</v>
      </c>
      <c r="G278" s="4">
        <v>126163</v>
      </c>
      <c r="H278" s="4">
        <v>8202</v>
      </c>
      <c r="I278" s="4">
        <v>2010</v>
      </c>
      <c r="J278" s="4">
        <v>139085</v>
      </c>
      <c r="K278" s="4">
        <v>10212</v>
      </c>
      <c r="L278" s="4">
        <v>118</v>
      </c>
      <c r="M278" s="4">
        <v>4001</v>
      </c>
      <c r="N278" s="4">
        <v>1414</v>
      </c>
      <c r="O278" s="4">
        <v>5533</v>
      </c>
      <c r="P278" s="4">
        <v>21</v>
      </c>
      <c r="Q278" s="4">
        <v>1061</v>
      </c>
      <c r="R278" s="4">
        <v>265</v>
      </c>
      <c r="S278" s="4">
        <v>-181</v>
      </c>
      <c r="T278" s="4">
        <v>1166</v>
      </c>
      <c r="U278" s="4">
        <v>84</v>
      </c>
    </row>
    <row r="279" spans="1:27" ht="13.2" x14ac:dyDescent="0.25">
      <c r="A279" s="15">
        <v>44168</v>
      </c>
      <c r="B279" s="4">
        <v>17355</v>
      </c>
      <c r="C279" s="4">
        <v>462553</v>
      </c>
      <c r="D279" s="4">
        <v>77969</v>
      </c>
      <c r="E279" s="4">
        <v>557877</v>
      </c>
      <c r="F279" s="4">
        <v>2734</v>
      </c>
      <c r="G279" s="4">
        <v>127136</v>
      </c>
      <c r="H279" s="4">
        <v>8155</v>
      </c>
      <c r="I279" s="4">
        <v>2213</v>
      </c>
      <c r="J279" s="4">
        <v>140238</v>
      </c>
      <c r="K279" s="4">
        <v>10368</v>
      </c>
      <c r="L279" s="4">
        <v>156</v>
      </c>
      <c r="M279" s="4">
        <v>3673</v>
      </c>
      <c r="N279" s="4">
        <v>4540</v>
      </c>
      <c r="O279" s="4">
        <v>8369</v>
      </c>
      <c r="P279" s="4">
        <v>24</v>
      </c>
      <c r="Q279" s="4">
        <v>973</v>
      </c>
      <c r="R279" s="4">
        <v>-47</v>
      </c>
      <c r="S279" s="4">
        <v>203</v>
      </c>
      <c r="T279" s="4">
        <v>1153</v>
      </c>
      <c r="U279" s="4">
        <v>156</v>
      </c>
    </row>
    <row r="280" spans="1:27" ht="15.75" customHeight="1" x14ac:dyDescent="0.3">
      <c r="A280" s="15">
        <v>44169</v>
      </c>
      <c r="B280" s="10">
        <v>17479</v>
      </c>
      <c r="C280" s="10">
        <v>466178</v>
      </c>
      <c r="D280" s="10">
        <v>80023</v>
      </c>
      <c r="E280" s="10">
        <v>563680</v>
      </c>
      <c r="F280" s="10">
        <v>2757</v>
      </c>
      <c r="G280" s="10">
        <v>128051</v>
      </c>
      <c r="H280" s="10">
        <v>8073</v>
      </c>
      <c r="I280" s="10">
        <v>2389</v>
      </c>
      <c r="J280" s="10">
        <v>141270</v>
      </c>
      <c r="K280" s="10">
        <v>10462</v>
      </c>
      <c r="L280" s="10">
        <v>124</v>
      </c>
      <c r="M280" s="10">
        <v>3625</v>
      </c>
      <c r="N280" s="10">
        <v>2054</v>
      </c>
      <c r="O280" s="10">
        <v>5803</v>
      </c>
      <c r="P280" s="10">
        <v>23</v>
      </c>
      <c r="Q280" s="10">
        <v>915</v>
      </c>
      <c r="R280" s="10">
        <v>-82</v>
      </c>
      <c r="S280" s="10">
        <v>176</v>
      </c>
      <c r="T280" s="10">
        <v>1032</v>
      </c>
      <c r="U280" s="11">
        <v>94</v>
      </c>
      <c r="V280" s="13"/>
      <c r="W280" s="13"/>
      <c r="X280" s="13"/>
      <c r="Y280" s="13"/>
      <c r="Z280" s="13"/>
      <c r="AA280" s="13"/>
    </row>
    <row r="281" spans="1:27" ht="15.75" customHeight="1" x14ac:dyDescent="0.3">
      <c r="A281" s="15">
        <v>44170</v>
      </c>
      <c r="B281" s="16">
        <v>17589</v>
      </c>
      <c r="C281" s="10">
        <v>470449</v>
      </c>
      <c r="D281" s="10">
        <v>81669</v>
      </c>
      <c r="E281" s="10">
        <v>569707</v>
      </c>
      <c r="F281" s="10">
        <v>2779</v>
      </c>
      <c r="G281" s="10">
        <v>129067</v>
      </c>
      <c r="H281" s="10">
        <v>8623</v>
      </c>
      <c r="I281" s="10">
        <v>2161</v>
      </c>
      <c r="J281" s="10">
        <v>142630</v>
      </c>
      <c r="K281" s="10">
        <v>10784</v>
      </c>
      <c r="L281" s="10">
        <v>110</v>
      </c>
      <c r="M281" s="10">
        <v>4271</v>
      </c>
      <c r="N281" s="10">
        <v>1646</v>
      </c>
      <c r="O281" s="10">
        <v>6027</v>
      </c>
      <c r="P281" s="10">
        <v>22</v>
      </c>
      <c r="Q281" s="10">
        <v>1016</v>
      </c>
      <c r="R281" s="10">
        <v>550</v>
      </c>
      <c r="S281" s="10">
        <v>-228</v>
      </c>
      <c r="T281" s="10">
        <v>1360</v>
      </c>
      <c r="U281" s="11">
        <v>322</v>
      </c>
      <c r="V281" s="13"/>
      <c r="W281" s="13"/>
      <c r="X281" s="13"/>
      <c r="Y281" s="13"/>
      <c r="Z281" s="13"/>
      <c r="AA281" s="13"/>
    </row>
    <row r="282" spans="1:27" ht="13.2" x14ac:dyDescent="0.25">
      <c r="A282" s="15">
        <v>44171</v>
      </c>
      <c r="B282" s="4">
        <v>17740</v>
      </c>
      <c r="C282" s="4">
        <v>474771</v>
      </c>
      <c r="D282" s="4">
        <v>83285</v>
      </c>
      <c r="E282" s="4">
        <v>575796</v>
      </c>
      <c r="F282" s="4">
        <v>2799</v>
      </c>
      <c r="G282" s="4">
        <v>130136</v>
      </c>
      <c r="H282" s="4">
        <v>8819</v>
      </c>
      <c r="I282" s="4">
        <v>2207</v>
      </c>
      <c r="J282" s="4">
        <v>143961</v>
      </c>
      <c r="K282" s="4">
        <v>11026</v>
      </c>
      <c r="L282" s="4">
        <v>151</v>
      </c>
      <c r="M282" s="4">
        <v>4322</v>
      </c>
      <c r="N282" s="4">
        <v>1616</v>
      </c>
      <c r="O282" s="4">
        <v>6089</v>
      </c>
      <c r="P282" s="4">
        <v>20</v>
      </c>
      <c r="Q282" s="4">
        <v>1069</v>
      </c>
      <c r="R282" s="4">
        <v>196</v>
      </c>
      <c r="S282" s="4">
        <v>46</v>
      </c>
      <c r="T282" s="4">
        <v>1331</v>
      </c>
      <c r="U282" s="4">
        <v>242</v>
      </c>
    </row>
    <row r="283" spans="1:27" ht="13.2" x14ac:dyDescent="0.25">
      <c r="A283" s="15">
        <v>44172</v>
      </c>
      <c r="B283" s="4">
        <v>17867</v>
      </c>
      <c r="C283" s="4">
        <v>479202</v>
      </c>
      <c r="D283" s="4">
        <v>84481</v>
      </c>
      <c r="E283" s="4">
        <v>581550</v>
      </c>
      <c r="F283" s="4">
        <v>2823</v>
      </c>
      <c r="G283" s="4">
        <v>131071</v>
      </c>
      <c r="H283" s="4">
        <v>9473</v>
      </c>
      <c r="I283" s="4">
        <v>2060</v>
      </c>
      <c r="J283" s="4">
        <v>145427</v>
      </c>
      <c r="K283" s="4">
        <v>11533</v>
      </c>
      <c r="L283" s="4">
        <v>127</v>
      </c>
      <c r="M283" s="4">
        <v>4431</v>
      </c>
      <c r="N283" s="4">
        <v>1196</v>
      </c>
      <c r="O283" s="4">
        <v>5754</v>
      </c>
      <c r="P283" s="4">
        <v>24</v>
      </c>
      <c r="Q283" s="4">
        <v>935</v>
      </c>
      <c r="R283" s="4">
        <v>654</v>
      </c>
      <c r="S283" s="4">
        <v>-147</v>
      </c>
      <c r="T283" s="4">
        <v>1466</v>
      </c>
      <c r="U283" s="4">
        <v>507</v>
      </c>
    </row>
    <row r="284" spans="1:27" ht="13.2" x14ac:dyDescent="0.25">
      <c r="A284" s="15">
        <v>44173</v>
      </c>
      <c r="B284" s="4">
        <v>18000</v>
      </c>
      <c r="C284" s="4">
        <v>483497</v>
      </c>
      <c r="D284" s="4">
        <v>85345</v>
      </c>
      <c r="E284" s="4">
        <v>586842</v>
      </c>
      <c r="F284" s="4">
        <v>2842</v>
      </c>
      <c r="G284" s="4">
        <v>132248</v>
      </c>
      <c r="H284" s="4">
        <v>9650</v>
      </c>
      <c r="I284" s="4">
        <v>1861</v>
      </c>
      <c r="J284" s="4">
        <v>146601</v>
      </c>
      <c r="K284" s="4">
        <v>11511</v>
      </c>
      <c r="L284" s="4">
        <v>133</v>
      </c>
      <c r="M284" s="4">
        <v>4295</v>
      </c>
      <c r="N284" s="4">
        <v>864</v>
      </c>
      <c r="O284" s="4">
        <v>5292</v>
      </c>
      <c r="P284" s="4">
        <v>19</v>
      </c>
      <c r="Q284" s="4">
        <v>1177</v>
      </c>
      <c r="R284" s="4">
        <v>177</v>
      </c>
      <c r="S284" s="4">
        <v>-199</v>
      </c>
      <c r="T284" s="4">
        <v>1174</v>
      </c>
      <c r="U284" s="4">
        <v>-22</v>
      </c>
    </row>
    <row r="285" spans="1:27" ht="15.75" customHeight="1" x14ac:dyDescent="0.3">
      <c r="A285" s="15">
        <v>44174</v>
      </c>
      <c r="B285" s="10">
        <v>18171</v>
      </c>
      <c r="C285" s="10">
        <v>487445</v>
      </c>
      <c r="D285" s="10">
        <v>87284</v>
      </c>
      <c r="E285" s="10">
        <v>592900</v>
      </c>
      <c r="F285" s="10">
        <v>2860</v>
      </c>
      <c r="G285" s="10">
        <v>133318</v>
      </c>
      <c r="H285" s="10">
        <v>9703</v>
      </c>
      <c r="I285" s="10">
        <v>1957</v>
      </c>
      <c r="J285" s="10">
        <v>147838</v>
      </c>
      <c r="K285" s="10">
        <v>11660</v>
      </c>
      <c r="L285" s="10">
        <v>171</v>
      </c>
      <c r="M285" s="10">
        <v>3948</v>
      </c>
      <c r="N285" s="10">
        <v>1939</v>
      </c>
      <c r="O285" s="10">
        <v>6058</v>
      </c>
      <c r="P285" s="10">
        <v>18</v>
      </c>
      <c r="Q285" s="10">
        <v>1070</v>
      </c>
      <c r="R285" s="10">
        <v>53</v>
      </c>
      <c r="S285" s="10">
        <v>96</v>
      </c>
      <c r="T285" s="10">
        <v>1237</v>
      </c>
      <c r="U285" s="11">
        <v>149</v>
      </c>
      <c r="V285" s="13"/>
      <c r="W285" s="13"/>
      <c r="X285" s="13"/>
      <c r="Y285" s="13"/>
      <c r="Z285" s="13"/>
      <c r="AA285" s="13"/>
    </row>
    <row r="286" spans="1:27" ht="13.2" x14ac:dyDescent="0.25">
      <c r="A286" s="15">
        <v>44175</v>
      </c>
      <c r="B286" s="4">
        <v>18336</v>
      </c>
      <c r="C286" s="4">
        <v>491975</v>
      </c>
      <c r="D286" s="4">
        <v>88622</v>
      </c>
      <c r="E286" s="4">
        <v>598933</v>
      </c>
      <c r="F286" s="4">
        <v>2880</v>
      </c>
      <c r="G286" s="4">
        <v>134366</v>
      </c>
      <c r="H286" s="4">
        <v>9391</v>
      </c>
      <c r="I286" s="4">
        <v>2381</v>
      </c>
      <c r="J286" s="4">
        <v>149018</v>
      </c>
      <c r="K286" s="4">
        <v>11772</v>
      </c>
      <c r="L286" s="4">
        <v>165</v>
      </c>
      <c r="M286" s="4">
        <v>4530</v>
      </c>
      <c r="N286" s="4">
        <v>1338</v>
      </c>
      <c r="O286" s="4">
        <v>6033</v>
      </c>
      <c r="P286" s="4">
        <v>20</v>
      </c>
      <c r="Q286" s="4">
        <v>1048</v>
      </c>
      <c r="R286" s="4">
        <v>-312</v>
      </c>
      <c r="S286" s="4">
        <v>424</v>
      </c>
      <c r="T286" s="4">
        <v>1180</v>
      </c>
      <c r="U286" s="4">
        <v>112</v>
      </c>
    </row>
    <row r="287" spans="1:27" ht="15.75" customHeight="1" x14ac:dyDescent="0.3">
      <c r="A287" s="15">
        <v>44176</v>
      </c>
      <c r="B287" s="16">
        <v>18511</v>
      </c>
      <c r="C287" s="16">
        <v>496886</v>
      </c>
      <c r="D287" s="11">
        <v>89846</v>
      </c>
      <c r="E287" s="16">
        <v>605243</v>
      </c>
      <c r="F287" s="10">
        <v>2902</v>
      </c>
      <c r="G287" s="10">
        <v>135545</v>
      </c>
      <c r="H287" s="10">
        <v>9078</v>
      </c>
      <c r="I287" s="10">
        <v>2725</v>
      </c>
      <c r="J287" s="10">
        <v>150250</v>
      </c>
      <c r="K287" s="10">
        <v>11803</v>
      </c>
      <c r="L287" s="10">
        <v>175</v>
      </c>
      <c r="M287" s="10">
        <v>4911</v>
      </c>
      <c r="N287" s="10">
        <v>1224</v>
      </c>
      <c r="O287" s="10">
        <v>6310</v>
      </c>
      <c r="P287" s="10">
        <v>22</v>
      </c>
      <c r="Q287" s="10">
        <v>1179</v>
      </c>
      <c r="R287" s="10">
        <v>-313</v>
      </c>
      <c r="S287" s="10">
        <v>344</v>
      </c>
      <c r="T287" s="10">
        <v>1232</v>
      </c>
      <c r="U287" s="11">
        <v>31</v>
      </c>
      <c r="V287" s="13"/>
      <c r="W287" s="13"/>
      <c r="X287" s="13"/>
      <c r="Y287" s="13"/>
      <c r="Z287" s="13"/>
      <c r="AA287" s="13"/>
    </row>
    <row r="288" spans="1:27" ht="13.2" x14ac:dyDescent="0.25">
      <c r="A288" s="15">
        <v>44177</v>
      </c>
      <c r="B288" s="4">
        <v>18653</v>
      </c>
      <c r="C288" s="4">
        <v>501376</v>
      </c>
      <c r="D288" s="4">
        <v>91602</v>
      </c>
      <c r="E288" s="4">
        <v>611631</v>
      </c>
      <c r="F288" s="4">
        <v>2922</v>
      </c>
      <c r="G288" s="4">
        <v>136489</v>
      </c>
      <c r="H288" s="4">
        <v>8822</v>
      </c>
      <c r="I288" s="4">
        <v>2968</v>
      </c>
      <c r="J288" s="4">
        <v>151201</v>
      </c>
      <c r="K288" s="4">
        <v>11790</v>
      </c>
      <c r="L288" s="4">
        <v>142</v>
      </c>
      <c r="M288" s="4">
        <v>4490</v>
      </c>
      <c r="N288" s="4">
        <v>1756</v>
      </c>
      <c r="O288" s="4">
        <v>6388</v>
      </c>
      <c r="P288" s="4">
        <v>20</v>
      </c>
      <c r="Q288" s="4">
        <v>944</v>
      </c>
      <c r="R288" s="4">
        <v>-256</v>
      </c>
      <c r="S288" s="4">
        <v>243</v>
      </c>
      <c r="T288" s="4">
        <v>951</v>
      </c>
      <c r="U288" s="4">
        <v>-13</v>
      </c>
    </row>
    <row r="289" spans="1:27" ht="15.75" customHeight="1" x14ac:dyDescent="0.3">
      <c r="A289" s="15">
        <v>44178</v>
      </c>
      <c r="B289" s="10">
        <v>18819</v>
      </c>
      <c r="C289" s="10">
        <v>505836</v>
      </c>
      <c r="D289" s="10">
        <v>93165</v>
      </c>
      <c r="E289" s="10">
        <v>617820</v>
      </c>
      <c r="F289" s="10">
        <v>2941</v>
      </c>
      <c r="G289" s="10">
        <v>137605</v>
      </c>
      <c r="H289" s="10">
        <v>8679</v>
      </c>
      <c r="I289" s="10">
        <v>3274</v>
      </c>
      <c r="J289" s="10">
        <v>152499</v>
      </c>
      <c r="K289" s="10">
        <v>11953</v>
      </c>
      <c r="L289" s="19">
        <v>166</v>
      </c>
      <c r="M289" s="19">
        <v>4460</v>
      </c>
      <c r="N289" s="19">
        <v>1563</v>
      </c>
      <c r="O289" s="19">
        <v>6189</v>
      </c>
      <c r="P289" s="19">
        <v>19</v>
      </c>
      <c r="Q289" s="19">
        <v>1116</v>
      </c>
      <c r="R289" s="19">
        <v>-143</v>
      </c>
      <c r="S289" s="19">
        <v>306</v>
      </c>
      <c r="T289" s="19">
        <v>1298</v>
      </c>
      <c r="U289" s="19">
        <v>163</v>
      </c>
      <c r="V289" s="13"/>
      <c r="W289" s="13"/>
      <c r="X289" s="13"/>
      <c r="Y289" s="13"/>
      <c r="Z289" s="13"/>
      <c r="AA289" s="13"/>
    </row>
    <row r="290" spans="1:27" ht="13.2" x14ac:dyDescent="0.25">
      <c r="A290" s="15">
        <v>44179</v>
      </c>
      <c r="B290" s="4">
        <v>18956</v>
      </c>
      <c r="C290" s="4">
        <v>510957</v>
      </c>
      <c r="D290" s="4">
        <v>93396</v>
      </c>
      <c r="E290" s="4">
        <v>623309</v>
      </c>
      <c r="F290" s="4">
        <v>2963</v>
      </c>
      <c r="G290" s="4">
        <v>138988</v>
      </c>
      <c r="H290" s="4">
        <v>8994</v>
      </c>
      <c r="I290" s="4">
        <v>3120</v>
      </c>
      <c r="J290" s="4">
        <v>154065</v>
      </c>
      <c r="K290" s="4">
        <v>12114</v>
      </c>
      <c r="L290" s="4">
        <v>137</v>
      </c>
      <c r="M290" s="4">
        <v>5121</v>
      </c>
      <c r="N290" s="4">
        <v>231</v>
      </c>
      <c r="O290" s="4">
        <v>5489</v>
      </c>
      <c r="P290" s="4">
        <v>22</v>
      </c>
      <c r="Q290" s="4">
        <v>1383</v>
      </c>
      <c r="R290" s="4">
        <v>315</v>
      </c>
      <c r="S290" s="4">
        <v>-154</v>
      </c>
      <c r="T290" s="4">
        <v>1566</v>
      </c>
      <c r="U290" s="4">
        <v>161</v>
      </c>
    </row>
    <row r="291" spans="1:27" ht="13.2" x14ac:dyDescent="0.25">
      <c r="A291" s="15">
        <v>44180</v>
      </c>
      <c r="B291" s="4">
        <v>19111</v>
      </c>
      <c r="C291" s="4">
        <v>516656</v>
      </c>
      <c r="D291" s="4">
        <v>93662</v>
      </c>
      <c r="E291" s="4">
        <v>629429</v>
      </c>
      <c r="F291" s="4">
        <v>2990</v>
      </c>
      <c r="G291" s="4">
        <v>140225</v>
      </c>
      <c r="H291" s="4">
        <v>8643</v>
      </c>
      <c r="I291" s="4">
        <v>3264</v>
      </c>
      <c r="J291" s="4">
        <v>155122</v>
      </c>
      <c r="K291" s="4">
        <v>11907</v>
      </c>
      <c r="L291" s="4">
        <v>155</v>
      </c>
      <c r="M291" s="4">
        <v>5699</v>
      </c>
      <c r="N291" s="4">
        <v>266</v>
      </c>
      <c r="O291" s="4">
        <v>6120</v>
      </c>
      <c r="P291" s="4">
        <v>27</v>
      </c>
      <c r="Q291" s="4">
        <v>1237</v>
      </c>
      <c r="R291" s="4">
        <v>-351</v>
      </c>
      <c r="S291" s="4">
        <v>144</v>
      </c>
      <c r="T291" s="4">
        <v>1057</v>
      </c>
      <c r="U291" s="4">
        <v>-207</v>
      </c>
    </row>
    <row r="292" spans="1:27" ht="13.2" x14ac:dyDescent="0.25">
      <c r="A292" s="15">
        <v>44181</v>
      </c>
      <c r="B292" s="4">
        <v>19248</v>
      </c>
      <c r="C292" s="4">
        <v>521984</v>
      </c>
      <c r="D292" s="4">
        <v>94922</v>
      </c>
      <c r="E292" s="4">
        <v>636154</v>
      </c>
      <c r="F292" s="4">
        <v>3010</v>
      </c>
      <c r="G292" s="4">
        <v>141365</v>
      </c>
      <c r="H292" s="4">
        <v>8263</v>
      </c>
      <c r="I292" s="4">
        <v>3705</v>
      </c>
      <c r="J292" s="4">
        <v>156343</v>
      </c>
      <c r="K292" s="4">
        <v>11968</v>
      </c>
      <c r="L292" s="4">
        <v>137</v>
      </c>
      <c r="M292" s="4">
        <v>5328</v>
      </c>
      <c r="N292" s="4">
        <v>1260</v>
      </c>
      <c r="O292" s="4">
        <v>6725</v>
      </c>
      <c r="P292" s="4">
        <v>20</v>
      </c>
      <c r="Q292" s="4">
        <v>1140</v>
      </c>
      <c r="R292" s="4">
        <v>-380</v>
      </c>
      <c r="S292" s="4">
        <v>441</v>
      </c>
      <c r="T292" s="4">
        <v>1221</v>
      </c>
      <c r="U292" s="4">
        <v>61</v>
      </c>
    </row>
    <row r="293" spans="1:27" ht="13.2" x14ac:dyDescent="0.25">
      <c r="A293" s="15">
        <v>44182</v>
      </c>
      <c r="B293" s="4">
        <v>19390</v>
      </c>
      <c r="C293" s="4">
        <v>526979</v>
      </c>
      <c r="D293" s="4">
        <v>97139</v>
      </c>
      <c r="E293" s="4">
        <v>643508</v>
      </c>
      <c r="F293" s="4">
        <v>3027</v>
      </c>
      <c r="G293" s="4">
        <v>142741</v>
      </c>
      <c r="H293" s="4">
        <v>7851</v>
      </c>
      <c r="I293" s="4">
        <v>4414</v>
      </c>
      <c r="J293" s="4">
        <v>158033</v>
      </c>
      <c r="K293" s="4">
        <v>12265</v>
      </c>
      <c r="L293" s="4">
        <v>142</v>
      </c>
      <c r="M293" s="4">
        <v>4995</v>
      </c>
      <c r="N293" s="4">
        <v>2217</v>
      </c>
      <c r="O293" s="4">
        <v>7354</v>
      </c>
      <c r="P293" s="4">
        <v>17</v>
      </c>
      <c r="Q293" s="4">
        <v>1376</v>
      </c>
      <c r="R293" s="4">
        <v>-412</v>
      </c>
      <c r="S293" s="4">
        <v>709</v>
      </c>
      <c r="T293" s="4">
        <v>1690</v>
      </c>
      <c r="U293" s="4">
        <v>297</v>
      </c>
    </row>
    <row r="294" spans="1:27" ht="15.75" customHeight="1" x14ac:dyDescent="0.3">
      <c r="A294" s="15">
        <v>44183</v>
      </c>
      <c r="B294" s="10">
        <v>19514</v>
      </c>
      <c r="C294" s="10">
        <v>531995</v>
      </c>
      <c r="D294" s="10">
        <v>98688</v>
      </c>
      <c r="E294" s="10">
        <v>650197</v>
      </c>
      <c r="F294" s="10">
        <v>3048</v>
      </c>
      <c r="G294" s="10">
        <v>143959</v>
      </c>
      <c r="H294" s="10">
        <v>7673</v>
      </c>
      <c r="I294" s="10">
        <v>4940</v>
      </c>
      <c r="J294" s="10">
        <v>159620</v>
      </c>
      <c r="K294" s="10">
        <v>12613</v>
      </c>
      <c r="L294" s="10">
        <v>124</v>
      </c>
      <c r="M294" s="10">
        <v>5016</v>
      </c>
      <c r="N294" s="10">
        <v>1549</v>
      </c>
      <c r="O294" s="10">
        <v>6689</v>
      </c>
      <c r="P294" s="10">
        <v>21</v>
      </c>
      <c r="Q294" s="10">
        <v>1218</v>
      </c>
      <c r="R294" s="10">
        <v>-178</v>
      </c>
      <c r="S294" s="10">
        <v>526</v>
      </c>
      <c r="T294" s="10">
        <v>1587</v>
      </c>
      <c r="U294" s="11">
        <v>348</v>
      </c>
      <c r="V294" s="13"/>
      <c r="W294" s="13"/>
      <c r="X294" s="13"/>
      <c r="Y294" s="13"/>
      <c r="Z294" s="13"/>
      <c r="AA294" s="13"/>
    </row>
    <row r="295" spans="1:27" ht="15.75" customHeight="1" x14ac:dyDescent="0.3">
      <c r="A295" s="15">
        <v>44184</v>
      </c>
      <c r="B295" s="10">
        <v>19659</v>
      </c>
      <c r="C295" s="10">
        <v>536260</v>
      </c>
      <c r="D295" s="10">
        <v>102029</v>
      </c>
      <c r="E295" s="10">
        <v>657948</v>
      </c>
      <c r="F295" s="10">
        <v>3068</v>
      </c>
      <c r="G295" s="10">
        <v>145066</v>
      </c>
      <c r="H295" s="20">
        <v>8112</v>
      </c>
      <c r="I295" s="10">
        <v>5273</v>
      </c>
      <c r="J295" s="10">
        <v>161519</v>
      </c>
      <c r="K295" s="10">
        <v>13385</v>
      </c>
      <c r="L295" s="10">
        <v>145</v>
      </c>
      <c r="M295" s="10">
        <v>4265</v>
      </c>
      <c r="N295" s="10">
        <v>3341</v>
      </c>
      <c r="O295" s="10">
        <v>7751</v>
      </c>
      <c r="P295" s="10">
        <v>20</v>
      </c>
      <c r="Q295" s="10">
        <v>1107</v>
      </c>
      <c r="R295" s="10">
        <v>439</v>
      </c>
      <c r="S295" s="10">
        <v>333</v>
      </c>
      <c r="T295" s="10">
        <v>1899</v>
      </c>
      <c r="U295" s="11">
        <v>772</v>
      </c>
      <c r="V295" s="13"/>
      <c r="W295" s="13"/>
      <c r="X295" s="13"/>
      <c r="Y295" s="13"/>
      <c r="Z295" s="13"/>
      <c r="AA295" s="13"/>
    </row>
    <row r="296" spans="1:27" ht="13.2" x14ac:dyDescent="0.25">
      <c r="A296" s="15">
        <v>44185</v>
      </c>
      <c r="B296" s="4">
        <v>19880</v>
      </c>
      <c r="C296" s="4">
        <v>541811</v>
      </c>
      <c r="D296" s="4">
        <v>103239</v>
      </c>
      <c r="E296" s="4">
        <v>664930</v>
      </c>
      <c r="F296" s="4">
        <v>3087</v>
      </c>
      <c r="G296" s="4">
        <v>146958</v>
      </c>
      <c r="H296" s="4">
        <v>8057</v>
      </c>
      <c r="I296" s="4">
        <v>5009</v>
      </c>
      <c r="J296" s="4">
        <v>163111</v>
      </c>
      <c r="K296" s="4">
        <v>13066</v>
      </c>
      <c r="L296" s="4">
        <v>221</v>
      </c>
      <c r="M296" s="4">
        <v>5551</v>
      </c>
      <c r="N296" s="4">
        <v>1210</v>
      </c>
      <c r="O296" s="4">
        <v>6982</v>
      </c>
      <c r="P296" s="4">
        <v>19</v>
      </c>
      <c r="Q296" s="4">
        <v>1892</v>
      </c>
      <c r="R296" s="4">
        <v>-55</v>
      </c>
      <c r="S296" s="4">
        <v>-264</v>
      </c>
      <c r="T296" s="4">
        <v>1592</v>
      </c>
      <c r="U296" s="4">
        <v>-319</v>
      </c>
    </row>
    <row r="297" spans="1:27" ht="13.2" x14ac:dyDescent="0.25">
      <c r="A297" s="15">
        <v>44186</v>
      </c>
      <c r="B297" s="4">
        <v>20085</v>
      </c>
      <c r="C297" s="4">
        <v>546884</v>
      </c>
      <c r="D297" s="4">
        <v>104809</v>
      </c>
      <c r="E297" s="4">
        <v>671778</v>
      </c>
      <c r="F297" s="4">
        <v>3097</v>
      </c>
      <c r="G297" s="4">
        <v>148308</v>
      </c>
      <c r="H297" s="4">
        <v>8366</v>
      </c>
      <c r="I297" s="4">
        <v>4806</v>
      </c>
      <c r="J297" s="4">
        <v>164577</v>
      </c>
      <c r="K297" s="4">
        <v>13172</v>
      </c>
      <c r="L297" s="4">
        <v>205</v>
      </c>
      <c r="M297" s="4">
        <v>5073</v>
      </c>
      <c r="N297" s="4">
        <v>1570</v>
      </c>
      <c r="O297" s="4">
        <v>6848</v>
      </c>
      <c r="P297" s="4">
        <v>10</v>
      </c>
      <c r="Q297" s="4">
        <v>1350</v>
      </c>
      <c r="R297" s="4">
        <v>309</v>
      </c>
      <c r="S297" s="4">
        <v>-203</v>
      </c>
      <c r="T297" s="4">
        <v>1466</v>
      </c>
      <c r="U297" s="4">
        <v>106</v>
      </c>
    </row>
    <row r="298" spans="1:27" ht="13.2" x14ac:dyDescent="0.25">
      <c r="A298" s="15">
        <v>44187</v>
      </c>
      <c r="B298" s="4">
        <v>20257</v>
      </c>
      <c r="C298" s="4">
        <v>552722</v>
      </c>
      <c r="D298" s="4">
        <v>105146</v>
      </c>
      <c r="E298" s="4">
        <v>678125</v>
      </c>
      <c r="F298" s="4">
        <v>3115</v>
      </c>
      <c r="G298" s="4">
        <v>149691</v>
      </c>
      <c r="H298" s="4">
        <v>8620</v>
      </c>
      <c r="I298" s="4">
        <v>4462</v>
      </c>
      <c r="J298" s="4">
        <v>165888</v>
      </c>
      <c r="K298" s="4">
        <v>13082</v>
      </c>
      <c r="L298" s="4">
        <v>172</v>
      </c>
      <c r="M298" s="4">
        <v>5838</v>
      </c>
      <c r="N298" s="4">
        <v>337</v>
      </c>
      <c r="O298" s="4">
        <v>6347</v>
      </c>
      <c r="P298" s="4">
        <v>18</v>
      </c>
      <c r="Q298" s="4">
        <v>1383</v>
      </c>
      <c r="R298" s="4">
        <v>254</v>
      </c>
      <c r="S298" s="4">
        <v>-344</v>
      </c>
      <c r="T298" s="4">
        <v>1311</v>
      </c>
      <c r="U298" s="4">
        <v>-90</v>
      </c>
    </row>
    <row r="299" spans="1:27" ht="15.75" customHeight="1" x14ac:dyDescent="0.3">
      <c r="A299" s="15">
        <v>44188</v>
      </c>
      <c r="B299" s="10">
        <v>20408</v>
      </c>
      <c r="C299" s="10">
        <v>558703</v>
      </c>
      <c r="D299" s="10">
        <v>106528</v>
      </c>
      <c r="E299" s="10">
        <v>685639</v>
      </c>
      <c r="F299" s="10">
        <v>3130</v>
      </c>
      <c r="G299" s="10">
        <v>151122</v>
      </c>
      <c r="H299" s="10">
        <v>8643</v>
      </c>
      <c r="I299" s="10">
        <v>4947</v>
      </c>
      <c r="J299" s="10">
        <v>167842</v>
      </c>
      <c r="K299" s="10">
        <v>13590</v>
      </c>
      <c r="L299" s="10">
        <v>151</v>
      </c>
      <c r="M299" s="10">
        <v>5981</v>
      </c>
      <c r="N299" s="10">
        <v>1382</v>
      </c>
      <c r="O299" s="10">
        <v>7514</v>
      </c>
      <c r="P299" s="10">
        <v>15</v>
      </c>
      <c r="Q299" s="10">
        <v>1431</v>
      </c>
      <c r="R299" s="10">
        <v>23</v>
      </c>
      <c r="S299" s="10">
        <v>485</v>
      </c>
      <c r="T299" s="10">
        <v>1954</v>
      </c>
      <c r="U299" s="11">
        <v>508</v>
      </c>
      <c r="V299" s="13"/>
      <c r="W299" s="13"/>
      <c r="X299" s="13"/>
      <c r="Y299" s="13"/>
      <c r="Z299" s="13"/>
      <c r="AA299" s="13"/>
    </row>
    <row r="300" spans="1:27" ht="15.75" customHeight="1" x14ac:dyDescent="0.3">
      <c r="A300" s="15">
        <v>44189</v>
      </c>
      <c r="B300" s="10">
        <v>20589</v>
      </c>
      <c r="C300" s="10">
        <v>563980</v>
      </c>
      <c r="D300" s="10">
        <v>108269</v>
      </c>
      <c r="E300" s="10">
        <v>692838</v>
      </c>
      <c r="F300" s="10">
        <v>3146</v>
      </c>
      <c r="G300" s="10">
        <v>152491</v>
      </c>
      <c r="H300" s="10">
        <v>8833</v>
      </c>
      <c r="I300" s="10">
        <v>5305</v>
      </c>
      <c r="J300" s="10">
        <v>169775</v>
      </c>
      <c r="K300" s="10">
        <v>14138</v>
      </c>
      <c r="L300" s="10">
        <v>181</v>
      </c>
      <c r="M300" s="10">
        <v>5277</v>
      </c>
      <c r="N300" s="10">
        <v>1741</v>
      </c>
      <c r="O300" s="10">
        <v>7199</v>
      </c>
      <c r="P300" s="10">
        <v>16</v>
      </c>
      <c r="Q300" s="10">
        <v>1369</v>
      </c>
      <c r="R300" s="10">
        <v>190</v>
      </c>
      <c r="S300" s="10">
        <v>358</v>
      </c>
      <c r="T300" s="10">
        <v>1933</v>
      </c>
      <c r="U300" s="11">
        <v>548</v>
      </c>
      <c r="V300" s="13"/>
      <c r="W300" s="13"/>
      <c r="X300" s="13"/>
      <c r="Y300" s="13"/>
      <c r="Z300" s="13"/>
      <c r="AA300" s="13"/>
    </row>
    <row r="301" spans="1:27" ht="13.2" x14ac:dyDescent="0.25">
      <c r="A301" s="15">
        <v>44190</v>
      </c>
      <c r="B301" s="4">
        <v>20847</v>
      </c>
      <c r="C301" s="4">
        <v>570304</v>
      </c>
      <c r="D301" s="4">
        <v>108946</v>
      </c>
      <c r="E301" s="4">
        <v>700097</v>
      </c>
      <c r="F301" s="4">
        <v>3167</v>
      </c>
      <c r="G301" s="4">
        <v>154242</v>
      </c>
      <c r="H301" s="4">
        <v>8720</v>
      </c>
      <c r="I301" s="4">
        <v>5742</v>
      </c>
      <c r="J301" s="4">
        <v>171871</v>
      </c>
      <c r="K301" s="4">
        <v>14462</v>
      </c>
      <c r="L301" s="4">
        <v>258</v>
      </c>
      <c r="M301" s="4">
        <v>6324</v>
      </c>
      <c r="N301" s="4">
        <v>677</v>
      </c>
      <c r="O301" s="4">
        <v>7259</v>
      </c>
      <c r="P301" s="4">
        <v>21</v>
      </c>
      <c r="Q301" s="4">
        <v>1751</v>
      </c>
      <c r="R301" s="4">
        <v>-113</v>
      </c>
      <c r="S301" s="4">
        <v>437</v>
      </c>
      <c r="T301" s="4">
        <v>2096</v>
      </c>
      <c r="U301" s="4">
        <v>324</v>
      </c>
    </row>
    <row r="302" spans="1:27" ht="13.2" x14ac:dyDescent="0.25">
      <c r="A302" s="15">
        <v>44191</v>
      </c>
      <c r="B302" s="4">
        <v>20994</v>
      </c>
      <c r="C302" s="4">
        <v>576693</v>
      </c>
      <c r="D302" s="4">
        <v>109150</v>
      </c>
      <c r="E302" s="4">
        <v>706837</v>
      </c>
      <c r="F302" s="4">
        <v>3182</v>
      </c>
      <c r="G302" s="4">
        <v>156798</v>
      </c>
      <c r="H302" s="4">
        <v>9439</v>
      </c>
      <c r="I302" s="4">
        <v>4510</v>
      </c>
      <c r="J302" s="4">
        <v>173929</v>
      </c>
      <c r="K302" s="4">
        <v>13949</v>
      </c>
      <c r="L302" s="4">
        <v>147</v>
      </c>
      <c r="M302" s="4">
        <v>6389</v>
      </c>
      <c r="N302" s="4">
        <v>204</v>
      </c>
      <c r="O302" s="4">
        <v>6740</v>
      </c>
      <c r="P302" s="4">
        <v>15</v>
      </c>
      <c r="Q302" s="4">
        <v>2556</v>
      </c>
      <c r="R302" s="4">
        <v>719</v>
      </c>
      <c r="S302" s="4">
        <v>-1232</v>
      </c>
      <c r="T302" s="4">
        <v>2058</v>
      </c>
      <c r="U302" s="4">
        <v>-513</v>
      </c>
    </row>
    <row r="303" spans="1:27" ht="15.75" customHeight="1" x14ac:dyDescent="0.3">
      <c r="A303" s="15">
        <v>44192</v>
      </c>
      <c r="B303" s="10">
        <v>21237</v>
      </c>
      <c r="C303" s="10">
        <v>583676</v>
      </c>
      <c r="D303" s="10">
        <v>108452</v>
      </c>
      <c r="E303" s="10">
        <v>713365</v>
      </c>
      <c r="F303" s="10">
        <v>3204</v>
      </c>
      <c r="G303" s="10">
        <v>158615</v>
      </c>
      <c r="H303" s="10">
        <v>9655</v>
      </c>
      <c r="I303" s="10">
        <v>4452</v>
      </c>
      <c r="J303" s="10">
        <v>175926</v>
      </c>
      <c r="K303" s="10">
        <v>14107</v>
      </c>
      <c r="L303" s="10">
        <v>243</v>
      </c>
      <c r="M303" s="10">
        <v>6983</v>
      </c>
      <c r="N303" s="10">
        <v>-698</v>
      </c>
      <c r="O303" s="10">
        <v>6528</v>
      </c>
      <c r="P303" s="10">
        <v>22</v>
      </c>
      <c r="Q303" s="10">
        <v>1817</v>
      </c>
      <c r="R303" s="10">
        <v>216</v>
      </c>
      <c r="S303" s="10">
        <v>-58</v>
      </c>
      <c r="T303" s="10">
        <v>1997</v>
      </c>
      <c r="U303" s="11">
        <v>158</v>
      </c>
      <c r="V303" s="13"/>
      <c r="W303" s="13"/>
      <c r="X303" s="13"/>
      <c r="Y303" s="13"/>
      <c r="Z303" s="13"/>
      <c r="AA303" s="13"/>
    </row>
    <row r="304" spans="1:27" ht="13.2" x14ac:dyDescent="0.25">
      <c r="A304" s="15">
        <v>44193</v>
      </c>
      <c r="B304" s="4">
        <v>21452</v>
      </c>
      <c r="C304" s="4">
        <v>589978</v>
      </c>
      <c r="D304" s="4">
        <v>107789</v>
      </c>
      <c r="E304" s="4">
        <v>719219</v>
      </c>
      <c r="F304" s="4">
        <v>3226</v>
      </c>
      <c r="G304" s="4">
        <v>159878</v>
      </c>
      <c r="H304" s="4">
        <v>9919</v>
      </c>
      <c r="I304" s="4">
        <v>4581</v>
      </c>
      <c r="J304" s="4">
        <v>177604</v>
      </c>
      <c r="K304" s="4">
        <v>14500</v>
      </c>
      <c r="L304" s="4">
        <v>215</v>
      </c>
      <c r="M304" s="4">
        <v>6302</v>
      </c>
      <c r="N304" s="4">
        <v>-663</v>
      </c>
      <c r="O304" s="4">
        <v>5854</v>
      </c>
      <c r="P304" s="4">
        <v>22</v>
      </c>
      <c r="Q304" s="4">
        <v>1263</v>
      </c>
      <c r="R304" s="4">
        <v>264</v>
      </c>
      <c r="S304" s="4">
        <v>129</v>
      </c>
      <c r="T304" s="4">
        <v>1678</v>
      </c>
      <c r="U304" s="4">
        <v>393</v>
      </c>
    </row>
    <row r="305" spans="1:27" ht="13.2" x14ac:dyDescent="0.25">
      <c r="A305" s="15">
        <v>44194</v>
      </c>
      <c r="B305" s="4">
        <v>21703</v>
      </c>
      <c r="C305" s="4">
        <v>596783</v>
      </c>
      <c r="D305" s="4">
        <v>108636</v>
      </c>
      <c r="E305" s="4">
        <v>727122</v>
      </c>
      <c r="F305" s="4">
        <v>3246</v>
      </c>
      <c r="G305" s="4">
        <v>161337</v>
      </c>
      <c r="H305" s="4">
        <v>10018</v>
      </c>
      <c r="I305" s="4">
        <v>5059</v>
      </c>
      <c r="J305" s="4">
        <v>179660</v>
      </c>
      <c r="K305" s="4">
        <v>15077</v>
      </c>
      <c r="L305" s="4">
        <v>251</v>
      </c>
      <c r="M305" s="4">
        <v>6805</v>
      </c>
      <c r="N305" s="4">
        <v>847</v>
      </c>
      <c r="O305" s="4">
        <v>7903</v>
      </c>
      <c r="P305" s="4">
        <v>20</v>
      </c>
      <c r="Q305" s="4">
        <v>1459</v>
      </c>
      <c r="R305" s="4">
        <v>99</v>
      </c>
      <c r="S305" s="4">
        <v>478</v>
      </c>
      <c r="T305" s="4">
        <v>2056</v>
      </c>
      <c r="U305" s="4">
        <v>577</v>
      </c>
    </row>
    <row r="306" spans="1:27" ht="13.2" x14ac:dyDescent="0.25">
      <c r="A306" s="15">
        <v>44195</v>
      </c>
      <c r="B306" s="4">
        <v>21944</v>
      </c>
      <c r="C306" s="4">
        <v>603741</v>
      </c>
      <c r="D306" s="4">
        <v>109439</v>
      </c>
      <c r="E306" s="4">
        <v>735124</v>
      </c>
      <c r="F306" s="4">
        <v>3266</v>
      </c>
      <c r="G306" s="4">
        <v>162911</v>
      </c>
      <c r="H306" s="4">
        <v>9882</v>
      </c>
      <c r="I306" s="4">
        <v>5654</v>
      </c>
      <c r="J306" s="4">
        <v>181713</v>
      </c>
      <c r="K306" s="4">
        <v>15536</v>
      </c>
      <c r="L306" s="4">
        <v>241</v>
      </c>
      <c r="M306" s="4">
        <v>6958</v>
      </c>
      <c r="N306" s="4">
        <v>803</v>
      </c>
      <c r="O306" s="4">
        <v>8002</v>
      </c>
      <c r="P306" s="4">
        <v>20</v>
      </c>
      <c r="Q306" s="4">
        <v>1574</v>
      </c>
      <c r="R306" s="4">
        <v>-136</v>
      </c>
      <c r="S306" s="4">
        <v>595</v>
      </c>
      <c r="T306" s="4">
        <v>2053</v>
      </c>
      <c r="U306" s="4">
        <v>459</v>
      </c>
    </row>
    <row r="307" spans="1:27" ht="13.2" x14ac:dyDescent="0.25">
      <c r="A307" s="15">
        <v>44196</v>
      </c>
      <c r="B307" s="4">
        <v>22138</v>
      </c>
      <c r="C307" s="4">
        <v>611097</v>
      </c>
      <c r="D307" s="4">
        <v>109963</v>
      </c>
      <c r="E307" s="4">
        <v>743198</v>
      </c>
      <c r="F307" s="4">
        <v>3287</v>
      </c>
      <c r="G307" s="4">
        <v>164881</v>
      </c>
      <c r="H307" s="4">
        <v>9746</v>
      </c>
      <c r="I307" s="4">
        <v>5821</v>
      </c>
      <c r="J307" s="4">
        <v>183735</v>
      </c>
      <c r="K307" s="4">
        <v>15567</v>
      </c>
      <c r="L307" s="4">
        <v>194</v>
      </c>
      <c r="M307" s="4">
        <v>7356</v>
      </c>
      <c r="N307" s="4">
        <v>524</v>
      </c>
      <c r="O307" s="4">
        <v>8074</v>
      </c>
      <c r="P307" s="4">
        <v>21</v>
      </c>
      <c r="Q307" s="4">
        <v>1970</v>
      </c>
      <c r="R307" s="4">
        <v>-136</v>
      </c>
      <c r="S307" s="4">
        <v>167</v>
      </c>
      <c r="T307" s="4">
        <v>2022</v>
      </c>
      <c r="U307" s="4">
        <v>31</v>
      </c>
    </row>
    <row r="308" spans="1:27" ht="15.75" customHeight="1" x14ac:dyDescent="0.3">
      <c r="A308" s="15">
        <v>44197</v>
      </c>
      <c r="B308" s="10">
        <v>22329</v>
      </c>
      <c r="C308" s="10">
        <v>617936</v>
      </c>
      <c r="D308" s="10">
        <v>111005</v>
      </c>
      <c r="E308" s="10">
        <v>751270</v>
      </c>
      <c r="F308" s="10">
        <v>3308</v>
      </c>
      <c r="G308" s="10">
        <v>166512</v>
      </c>
      <c r="H308" s="10">
        <v>10082</v>
      </c>
      <c r="I308" s="10">
        <v>5789</v>
      </c>
      <c r="J308" s="10">
        <v>185691</v>
      </c>
      <c r="K308" s="10">
        <v>15871</v>
      </c>
      <c r="L308" s="10">
        <v>191</v>
      </c>
      <c r="M308" s="10">
        <v>6839</v>
      </c>
      <c r="N308" s="10">
        <v>1042</v>
      </c>
      <c r="O308" s="10">
        <v>8072</v>
      </c>
      <c r="P308" s="10">
        <v>21</v>
      </c>
      <c r="Q308" s="10">
        <v>1631</v>
      </c>
      <c r="R308" s="10">
        <v>336</v>
      </c>
      <c r="S308" s="10">
        <v>-32</v>
      </c>
      <c r="T308" s="10">
        <v>1956</v>
      </c>
      <c r="U308" s="11">
        <v>304</v>
      </c>
      <c r="V308" s="13"/>
      <c r="W308" s="13"/>
      <c r="X308" s="13"/>
      <c r="Y308" s="13"/>
      <c r="Z308" s="13"/>
      <c r="AA308" s="13"/>
    </row>
    <row r="309" spans="1:27" ht="15.75" customHeight="1" x14ac:dyDescent="0.3">
      <c r="A309" s="15">
        <v>44198</v>
      </c>
      <c r="B309" s="10">
        <v>22555</v>
      </c>
      <c r="C309" s="10">
        <v>625518</v>
      </c>
      <c r="D309" s="10">
        <v>110400</v>
      </c>
      <c r="E309" s="10">
        <v>758473</v>
      </c>
      <c r="F309" s="10">
        <v>3334</v>
      </c>
      <c r="G309" s="10">
        <v>168781</v>
      </c>
      <c r="H309" s="10">
        <v>10872</v>
      </c>
      <c r="I309" s="10">
        <v>4599</v>
      </c>
      <c r="J309" s="10">
        <v>187586</v>
      </c>
      <c r="K309" s="10">
        <v>15471</v>
      </c>
      <c r="L309" s="10">
        <v>226</v>
      </c>
      <c r="M309" s="10">
        <v>7582</v>
      </c>
      <c r="N309" s="10">
        <v>-605</v>
      </c>
      <c r="O309" s="10">
        <v>7203</v>
      </c>
      <c r="P309" s="10">
        <v>26</v>
      </c>
      <c r="Q309" s="10">
        <v>2269</v>
      </c>
      <c r="R309" s="10">
        <v>790</v>
      </c>
      <c r="S309" s="10">
        <v>-1190</v>
      </c>
      <c r="T309" s="10">
        <v>1895</v>
      </c>
      <c r="U309" s="11">
        <v>-400</v>
      </c>
      <c r="V309" s="13"/>
      <c r="W309" s="13"/>
      <c r="X309" s="13"/>
      <c r="Y309" s="13"/>
      <c r="Z309" s="13"/>
      <c r="AA309" s="13"/>
    </row>
    <row r="310" spans="1:27" ht="13.2" x14ac:dyDescent="0.25">
      <c r="A310" s="15">
        <v>44199</v>
      </c>
      <c r="B310" s="4">
        <v>22734</v>
      </c>
      <c r="C310" s="4">
        <v>631937</v>
      </c>
      <c r="D310" s="4">
        <v>110679</v>
      </c>
      <c r="E310" s="4">
        <v>765350</v>
      </c>
      <c r="F310" s="4">
        <v>3345</v>
      </c>
      <c r="G310" s="4">
        <v>170510</v>
      </c>
      <c r="H310" s="4">
        <v>10978</v>
      </c>
      <c r="I310" s="4">
        <v>4410</v>
      </c>
      <c r="J310" s="4">
        <v>189243</v>
      </c>
      <c r="K310" s="4">
        <v>15388</v>
      </c>
      <c r="L310" s="4">
        <v>179</v>
      </c>
      <c r="M310" s="4">
        <v>6419</v>
      </c>
      <c r="N310" s="4">
        <v>279</v>
      </c>
      <c r="O310" s="4">
        <v>6877</v>
      </c>
      <c r="P310" s="4">
        <v>11</v>
      </c>
      <c r="Q310" s="4">
        <v>1729</v>
      </c>
      <c r="R310" s="4">
        <v>106</v>
      </c>
      <c r="S310" s="4">
        <v>-189</v>
      </c>
      <c r="T310" s="4">
        <v>1657</v>
      </c>
      <c r="U310" s="4">
        <v>-83</v>
      </c>
    </row>
    <row r="311" spans="1:27" ht="13.2" x14ac:dyDescent="0.25">
      <c r="A311" s="15">
        <v>44200</v>
      </c>
      <c r="B311" s="4">
        <v>22911</v>
      </c>
      <c r="C311" s="4">
        <v>639103</v>
      </c>
      <c r="D311" s="4">
        <v>110089</v>
      </c>
      <c r="E311" s="4">
        <v>772103</v>
      </c>
      <c r="F311" s="4">
        <v>3369</v>
      </c>
      <c r="G311" s="4">
        <v>173036</v>
      </c>
      <c r="H311" s="4">
        <v>10371</v>
      </c>
      <c r="I311" s="4">
        <v>4299</v>
      </c>
      <c r="J311" s="4">
        <v>191075</v>
      </c>
      <c r="K311" s="4">
        <v>14670</v>
      </c>
      <c r="L311" s="4">
        <v>177</v>
      </c>
      <c r="M311" s="4">
        <v>7166</v>
      </c>
      <c r="N311" s="4">
        <v>-590</v>
      </c>
      <c r="O311" s="4">
        <v>6753</v>
      </c>
      <c r="P311" s="4">
        <v>24</v>
      </c>
      <c r="Q311" s="4">
        <v>2526</v>
      </c>
      <c r="R311" s="4">
        <v>-607</v>
      </c>
      <c r="S311" s="4">
        <v>-111</v>
      </c>
      <c r="T311" s="4">
        <v>1832</v>
      </c>
      <c r="U311" s="4">
        <v>-718</v>
      </c>
    </row>
    <row r="312" spans="1:27" ht="13.2" x14ac:dyDescent="0.25">
      <c r="A312" s="15">
        <v>44201</v>
      </c>
      <c r="B312" s="4">
        <v>23109</v>
      </c>
      <c r="C312" s="4">
        <v>645746</v>
      </c>
      <c r="D312" s="4">
        <v>110693</v>
      </c>
      <c r="E312" s="4">
        <v>779548</v>
      </c>
      <c r="F312" s="4">
        <v>3392</v>
      </c>
      <c r="G312" s="4">
        <v>174131</v>
      </c>
      <c r="H312" s="4">
        <v>10897</v>
      </c>
      <c r="I312" s="4">
        <v>4479</v>
      </c>
      <c r="J312" s="4">
        <v>192899</v>
      </c>
      <c r="K312" s="4">
        <v>15376</v>
      </c>
      <c r="L312" s="4">
        <v>198</v>
      </c>
      <c r="M312" s="4">
        <v>6643</v>
      </c>
      <c r="N312" s="4">
        <v>604</v>
      </c>
      <c r="O312" s="4">
        <v>7445</v>
      </c>
      <c r="P312" s="4">
        <v>23</v>
      </c>
      <c r="Q312" s="4">
        <v>1095</v>
      </c>
      <c r="R312" s="4">
        <v>526</v>
      </c>
      <c r="S312" s="4">
        <v>180</v>
      </c>
      <c r="T312" s="4">
        <v>1824</v>
      </c>
      <c r="U312" s="4">
        <v>706</v>
      </c>
    </row>
    <row r="313" spans="1:27" ht="15.75" customHeight="1" x14ac:dyDescent="0.3">
      <c r="A313" s="15">
        <v>44202</v>
      </c>
      <c r="B313" s="10">
        <v>23296</v>
      </c>
      <c r="C313" s="10">
        <v>652513</v>
      </c>
      <c r="D313" s="10">
        <v>112593</v>
      </c>
      <c r="E313" s="10">
        <v>788402</v>
      </c>
      <c r="F313" s="10">
        <v>3410</v>
      </c>
      <c r="G313" s="10">
        <v>175441</v>
      </c>
      <c r="H313" s="10">
        <v>12196</v>
      </c>
      <c r="I313" s="10">
        <v>4254</v>
      </c>
      <c r="J313" s="10">
        <v>195301</v>
      </c>
      <c r="K313" s="10">
        <v>16450</v>
      </c>
      <c r="L313" s="10">
        <v>187</v>
      </c>
      <c r="M313" s="10">
        <v>6767</v>
      </c>
      <c r="N313" s="10">
        <v>1900</v>
      </c>
      <c r="O313" s="10">
        <v>8854</v>
      </c>
      <c r="P313" s="10">
        <v>18</v>
      </c>
      <c r="Q313" s="10">
        <v>1310</v>
      </c>
      <c r="R313" s="10">
        <v>1299</v>
      </c>
      <c r="S313" s="10">
        <v>-225</v>
      </c>
      <c r="T313" s="10">
        <v>2402</v>
      </c>
      <c r="U313" s="11">
        <v>1074</v>
      </c>
      <c r="V313" s="13"/>
      <c r="W313" s="13"/>
      <c r="X313" s="13"/>
      <c r="Y313" s="13"/>
      <c r="Z313" s="13"/>
      <c r="AA313" s="13"/>
    </row>
    <row r="314" spans="1:27" ht="15.75" customHeight="1" x14ac:dyDescent="0.3">
      <c r="A314" s="15">
        <v>44203</v>
      </c>
      <c r="B314" s="10">
        <v>23520</v>
      </c>
      <c r="C314" s="10">
        <v>659437</v>
      </c>
      <c r="D314" s="10">
        <v>114766</v>
      </c>
      <c r="E314" s="10">
        <v>797723</v>
      </c>
      <c r="F314" s="10">
        <v>3435</v>
      </c>
      <c r="G314" s="10">
        <v>176882</v>
      </c>
      <c r="H314" s="10">
        <v>12781</v>
      </c>
      <c r="I314" s="10">
        <v>4601</v>
      </c>
      <c r="J314" s="10">
        <v>197699</v>
      </c>
      <c r="K314" s="10">
        <v>17382</v>
      </c>
      <c r="L314" s="10">
        <v>224</v>
      </c>
      <c r="M314" s="10">
        <v>6924</v>
      </c>
      <c r="N314" s="10">
        <v>2173</v>
      </c>
      <c r="O314" s="10">
        <v>9321</v>
      </c>
      <c r="P314" s="10">
        <v>25</v>
      </c>
      <c r="Q314" s="10">
        <v>1441</v>
      </c>
      <c r="R314" s="10">
        <v>585</v>
      </c>
      <c r="S314" s="10">
        <v>347</v>
      </c>
      <c r="T314" s="10">
        <v>2398</v>
      </c>
      <c r="U314" s="11">
        <v>932</v>
      </c>
      <c r="V314" s="13"/>
      <c r="W314" s="13"/>
      <c r="X314" s="13"/>
      <c r="Y314" s="13"/>
      <c r="Z314" s="13"/>
      <c r="AA314" s="13"/>
    </row>
    <row r="315" spans="1:27" ht="13.2" x14ac:dyDescent="0.25">
      <c r="A315" s="15">
        <v>44204</v>
      </c>
      <c r="B315" s="4">
        <v>23753</v>
      </c>
      <c r="C315" s="4">
        <v>666883</v>
      </c>
      <c r="D315" s="4">
        <v>117704</v>
      </c>
      <c r="E315" s="4">
        <v>808340</v>
      </c>
      <c r="F315" s="4">
        <v>3463</v>
      </c>
      <c r="G315" s="4">
        <v>179562</v>
      </c>
      <c r="H315" s="4">
        <v>13397</v>
      </c>
      <c r="I315" s="4">
        <v>4236</v>
      </c>
      <c r="J315" s="4">
        <v>200658</v>
      </c>
      <c r="K315" s="4">
        <v>17633</v>
      </c>
      <c r="L315" s="4">
        <v>233</v>
      </c>
      <c r="M315" s="4">
        <v>7446</v>
      </c>
      <c r="N315" s="4">
        <v>2938</v>
      </c>
      <c r="O315" s="4">
        <v>10617</v>
      </c>
      <c r="P315" s="4">
        <v>28</v>
      </c>
      <c r="Q315" s="4">
        <v>2680</v>
      </c>
      <c r="R315" s="4">
        <v>616</v>
      </c>
      <c r="S315" s="4">
        <v>-365</v>
      </c>
      <c r="T315" s="4">
        <v>2959</v>
      </c>
      <c r="U315" s="4">
        <v>251</v>
      </c>
    </row>
    <row r="316" spans="1:27" ht="15.75" customHeight="1" x14ac:dyDescent="0.3">
      <c r="A316" s="15">
        <v>44205</v>
      </c>
      <c r="B316" s="16">
        <v>23947</v>
      </c>
      <c r="C316" s="16">
        <v>673511</v>
      </c>
      <c r="D316" s="10">
        <v>120928</v>
      </c>
      <c r="E316" s="11">
        <v>818386</v>
      </c>
      <c r="F316" s="10">
        <v>3485</v>
      </c>
      <c r="G316" s="10">
        <v>181613</v>
      </c>
      <c r="H316" s="10">
        <v>13076</v>
      </c>
      <c r="I316" s="10">
        <v>5237</v>
      </c>
      <c r="J316" s="10">
        <v>203411</v>
      </c>
      <c r="K316" s="10">
        <v>18313</v>
      </c>
      <c r="L316" s="10">
        <v>194</v>
      </c>
      <c r="M316" s="10">
        <v>6628</v>
      </c>
      <c r="N316" s="10">
        <v>3224</v>
      </c>
      <c r="O316" s="10">
        <v>10046</v>
      </c>
      <c r="P316" s="10">
        <v>22</v>
      </c>
      <c r="Q316" s="10">
        <v>2051</v>
      </c>
      <c r="R316" s="10">
        <v>-321</v>
      </c>
      <c r="S316" s="10">
        <v>1001</v>
      </c>
      <c r="T316" s="10">
        <v>2753</v>
      </c>
      <c r="U316" s="11">
        <v>680</v>
      </c>
      <c r="V316" s="13"/>
      <c r="W316" s="13"/>
      <c r="X316" s="13"/>
      <c r="Y316" s="13"/>
      <c r="Z316" s="13"/>
      <c r="AA316" s="13"/>
    </row>
    <row r="317" spans="1:27" ht="13.2" x14ac:dyDescent="0.25">
      <c r="A317" s="15">
        <v>44206</v>
      </c>
      <c r="B317" s="4">
        <v>24129</v>
      </c>
      <c r="C317" s="4">
        <v>681024</v>
      </c>
      <c r="D317" s="4">
        <v>122873</v>
      </c>
      <c r="E317" s="4">
        <v>828026</v>
      </c>
      <c r="F317" s="4">
        <v>3517</v>
      </c>
      <c r="G317" s="4">
        <v>184576</v>
      </c>
      <c r="H317" s="4">
        <v>13166</v>
      </c>
      <c r="I317" s="4">
        <v>4863</v>
      </c>
      <c r="J317" s="4">
        <v>206122</v>
      </c>
      <c r="K317" s="4">
        <v>18029</v>
      </c>
      <c r="L317" s="4">
        <v>182</v>
      </c>
      <c r="M317" s="4">
        <v>7513</v>
      </c>
      <c r="N317" s="4">
        <v>1945</v>
      </c>
      <c r="O317" s="4">
        <v>9640</v>
      </c>
      <c r="P317" s="4">
        <v>32</v>
      </c>
      <c r="Q317" s="4">
        <v>2963</v>
      </c>
      <c r="R317" s="4">
        <v>90</v>
      </c>
      <c r="S317" s="4">
        <v>-374</v>
      </c>
      <c r="T317" s="4">
        <v>2711</v>
      </c>
      <c r="U317" s="4">
        <v>-284</v>
      </c>
    </row>
    <row r="318" spans="1:27" ht="13.2" x14ac:dyDescent="0.25">
      <c r="A318" s="15">
        <v>44207</v>
      </c>
      <c r="B318" s="4">
        <v>24343</v>
      </c>
      <c r="C318" s="4">
        <v>688739</v>
      </c>
      <c r="D318" s="4">
        <v>123636</v>
      </c>
      <c r="E318" s="4">
        <v>836718</v>
      </c>
      <c r="F318" s="4">
        <v>3551</v>
      </c>
      <c r="G318" s="4">
        <v>187086</v>
      </c>
      <c r="H318" s="4">
        <v>13541</v>
      </c>
      <c r="I318" s="4">
        <v>4405</v>
      </c>
      <c r="J318" s="4">
        <v>208583</v>
      </c>
      <c r="K318" s="4">
        <v>17946</v>
      </c>
      <c r="L318" s="4">
        <v>214</v>
      </c>
      <c r="M318" s="4">
        <v>7715</v>
      </c>
      <c r="N318" s="4">
        <v>763</v>
      </c>
      <c r="O318" s="4">
        <v>8692</v>
      </c>
      <c r="P318" s="4">
        <v>34</v>
      </c>
      <c r="Q318" s="4">
        <v>2510</v>
      </c>
      <c r="R318" s="4">
        <v>375</v>
      </c>
      <c r="S318" s="4">
        <v>-458</v>
      </c>
      <c r="T318" s="4">
        <v>2461</v>
      </c>
      <c r="U318" s="4">
        <v>-83</v>
      </c>
    </row>
    <row r="319" spans="1:27" ht="13.2" x14ac:dyDescent="0.25">
      <c r="A319" s="15">
        <v>44208</v>
      </c>
      <c r="B319" s="4">
        <v>24645</v>
      </c>
      <c r="C319" s="4">
        <v>695807</v>
      </c>
      <c r="D319" s="4">
        <v>126313</v>
      </c>
      <c r="E319" s="4">
        <v>846765</v>
      </c>
      <c r="F319" s="4">
        <v>3589</v>
      </c>
      <c r="G319" s="4">
        <v>188675</v>
      </c>
      <c r="H319" s="4">
        <v>14591</v>
      </c>
      <c r="I319" s="4">
        <v>4397</v>
      </c>
      <c r="J319" s="4">
        <v>211252</v>
      </c>
      <c r="K319" s="4">
        <v>18988</v>
      </c>
      <c r="L319" s="4">
        <v>302</v>
      </c>
      <c r="M319" s="4">
        <v>7068</v>
      </c>
      <c r="N319" s="4">
        <v>2677</v>
      </c>
      <c r="O319" s="4">
        <v>10047</v>
      </c>
      <c r="P319" s="4">
        <v>38</v>
      </c>
      <c r="Q319" s="4">
        <v>1589</v>
      </c>
      <c r="R319" s="4">
        <v>1050</v>
      </c>
      <c r="S319" s="4">
        <v>-8</v>
      </c>
      <c r="T319" s="4">
        <v>2669</v>
      </c>
      <c r="U319" s="4">
        <v>1042</v>
      </c>
    </row>
    <row r="320" spans="1:27" ht="13.2" x14ac:dyDescent="0.25">
      <c r="A320" s="15">
        <v>44209</v>
      </c>
      <c r="B320" s="4">
        <v>24951</v>
      </c>
      <c r="C320" s="4">
        <v>703464</v>
      </c>
      <c r="D320" s="4">
        <v>129628</v>
      </c>
      <c r="E320" s="4">
        <v>858043</v>
      </c>
      <c r="F320" s="4">
        <v>3634</v>
      </c>
      <c r="G320" s="4">
        <v>191635</v>
      </c>
      <c r="H320" s="4">
        <v>15009</v>
      </c>
      <c r="I320" s="4">
        <v>4450</v>
      </c>
      <c r="J320" s="4">
        <v>214728</v>
      </c>
      <c r="K320" s="4">
        <v>19459</v>
      </c>
      <c r="L320" s="4">
        <v>306</v>
      </c>
      <c r="M320" s="4">
        <v>7657</v>
      </c>
      <c r="N320" s="4">
        <v>3315</v>
      </c>
      <c r="O320" s="4">
        <v>11278</v>
      </c>
      <c r="P320" s="4">
        <v>45</v>
      </c>
      <c r="Q320" s="4">
        <v>2960</v>
      </c>
      <c r="R320" s="4">
        <v>418</v>
      </c>
      <c r="S320" s="4">
        <v>53</v>
      </c>
      <c r="T320" s="4">
        <v>3476</v>
      </c>
      <c r="U320" s="4">
        <v>471</v>
      </c>
    </row>
    <row r="321" spans="1:27" ht="13.2" x14ac:dyDescent="0.25">
      <c r="A321" s="15">
        <v>44210</v>
      </c>
      <c r="B321" s="4">
        <v>25246</v>
      </c>
      <c r="C321" s="4">
        <v>711205</v>
      </c>
      <c r="D321" s="4">
        <v>133149</v>
      </c>
      <c r="E321" s="4">
        <v>869600</v>
      </c>
      <c r="F321" s="4">
        <v>3675</v>
      </c>
      <c r="G321" s="4">
        <v>193719</v>
      </c>
      <c r="H321" s="4">
        <v>15852</v>
      </c>
      <c r="I321" s="4">
        <v>4647</v>
      </c>
      <c r="J321" s="4">
        <v>217893</v>
      </c>
      <c r="K321" s="4">
        <v>20499</v>
      </c>
      <c r="L321" s="4">
        <v>295</v>
      </c>
      <c r="M321" s="4">
        <v>7741</v>
      </c>
      <c r="N321" s="4">
        <v>3521</v>
      </c>
      <c r="O321" s="4">
        <v>11557</v>
      </c>
      <c r="P321" s="4">
        <v>41</v>
      </c>
      <c r="Q321" s="4">
        <v>2084</v>
      </c>
      <c r="R321" s="4">
        <v>843</v>
      </c>
      <c r="S321" s="4">
        <v>197</v>
      </c>
      <c r="T321" s="4">
        <v>3165</v>
      </c>
      <c r="U321" s="4">
        <v>1040</v>
      </c>
    </row>
    <row r="322" spans="1:27" ht="15.75" customHeight="1" x14ac:dyDescent="0.3">
      <c r="A322" s="15">
        <v>44211</v>
      </c>
      <c r="B322" s="10">
        <v>25484</v>
      </c>
      <c r="C322" s="10">
        <v>718696</v>
      </c>
      <c r="D322" s="10">
        <v>138238</v>
      </c>
      <c r="E322" s="10">
        <v>882418</v>
      </c>
      <c r="F322" s="10">
        <v>3710</v>
      </c>
      <c r="G322" s="10">
        <v>195924</v>
      </c>
      <c r="H322" s="10">
        <v>15553</v>
      </c>
      <c r="I322" s="10">
        <v>5247</v>
      </c>
      <c r="J322" s="10">
        <v>220434</v>
      </c>
      <c r="K322" s="10">
        <v>20800</v>
      </c>
      <c r="L322" s="10">
        <v>238</v>
      </c>
      <c r="M322" s="10">
        <v>7491</v>
      </c>
      <c r="N322" s="10">
        <v>5089</v>
      </c>
      <c r="O322" s="10">
        <v>12818</v>
      </c>
      <c r="P322" s="10">
        <v>35</v>
      </c>
      <c r="Q322" s="10">
        <v>2205</v>
      </c>
      <c r="R322" s="10">
        <v>-299</v>
      </c>
      <c r="S322" s="10">
        <v>600</v>
      </c>
      <c r="T322" s="10">
        <v>2541</v>
      </c>
      <c r="U322" s="11">
        <v>301</v>
      </c>
      <c r="V322" s="13"/>
      <c r="W322" s="13"/>
      <c r="X322" s="13"/>
      <c r="Y322" s="13"/>
      <c r="Z322" s="13"/>
      <c r="AA322" s="13"/>
    </row>
    <row r="323" spans="1:27" ht="13.2" x14ac:dyDescent="0.25">
      <c r="A323" s="15">
        <v>44212</v>
      </c>
      <c r="B323" s="4">
        <v>25767</v>
      </c>
      <c r="C323" s="4">
        <v>727358</v>
      </c>
      <c r="D323" s="4">
        <v>143517</v>
      </c>
      <c r="E323" s="4">
        <v>896642</v>
      </c>
      <c r="F323" s="4">
        <v>3745</v>
      </c>
      <c r="G323" s="4">
        <v>198136</v>
      </c>
      <c r="H323" s="4">
        <v>17524</v>
      </c>
      <c r="I323" s="4">
        <v>4565</v>
      </c>
      <c r="J323" s="4">
        <v>223970</v>
      </c>
      <c r="K323" s="4">
        <v>22089</v>
      </c>
      <c r="L323" s="4">
        <v>283</v>
      </c>
      <c r="M323" s="4">
        <v>8662</v>
      </c>
      <c r="N323" s="4">
        <v>5279</v>
      </c>
      <c r="O323" s="4">
        <v>14224</v>
      </c>
      <c r="P323" s="4">
        <v>35</v>
      </c>
      <c r="Q323" s="4">
        <v>2212</v>
      </c>
      <c r="R323" s="4">
        <v>1971</v>
      </c>
      <c r="S323" s="4">
        <v>-682</v>
      </c>
      <c r="T323" s="4">
        <v>3536</v>
      </c>
      <c r="U323" s="4">
        <v>1289</v>
      </c>
    </row>
    <row r="324" spans="1:27" ht="15.75" customHeight="1" x14ac:dyDescent="0.3">
      <c r="A324" s="15">
        <v>44213</v>
      </c>
      <c r="B324" s="10">
        <v>25987</v>
      </c>
      <c r="C324" s="10">
        <v>736460</v>
      </c>
      <c r="D324" s="10">
        <v>145482</v>
      </c>
      <c r="E324" s="10">
        <v>907929</v>
      </c>
      <c r="F324" s="10">
        <v>3779</v>
      </c>
      <c r="G324" s="10">
        <v>201907</v>
      </c>
      <c r="H324" s="10">
        <v>16741</v>
      </c>
      <c r="I324" s="10">
        <v>4938</v>
      </c>
      <c r="J324" s="10">
        <v>227365</v>
      </c>
      <c r="K324" s="10">
        <v>21679</v>
      </c>
      <c r="L324" s="10">
        <v>220</v>
      </c>
      <c r="M324" s="10">
        <v>9102</v>
      </c>
      <c r="N324" s="10">
        <v>1965</v>
      </c>
      <c r="O324" s="10">
        <v>11287</v>
      </c>
      <c r="P324" s="10">
        <v>34</v>
      </c>
      <c r="Q324" s="10">
        <v>3771</v>
      </c>
      <c r="R324" s="10">
        <v>-783</v>
      </c>
      <c r="S324" s="10">
        <v>373</v>
      </c>
      <c r="T324" s="10">
        <v>3395</v>
      </c>
      <c r="U324" s="11">
        <v>-410</v>
      </c>
      <c r="V324" s="13"/>
      <c r="W324" s="13"/>
      <c r="X324" s="13"/>
      <c r="Y324" s="13"/>
      <c r="Z324" s="13"/>
      <c r="AA324" s="13"/>
    </row>
    <row r="325" spans="1:27" ht="13.2" x14ac:dyDescent="0.25">
      <c r="A325" s="15">
        <v>44214</v>
      </c>
      <c r="B325" s="4">
        <v>26282</v>
      </c>
      <c r="C325" s="4">
        <v>745935</v>
      </c>
      <c r="D325" s="4">
        <v>144798</v>
      </c>
      <c r="E325" s="4">
        <v>917015</v>
      </c>
      <c r="F325" s="4">
        <v>3815</v>
      </c>
      <c r="G325" s="4">
        <v>204711</v>
      </c>
      <c r="H325" s="4">
        <v>16419</v>
      </c>
      <c r="I325" s="4">
        <v>4781</v>
      </c>
      <c r="J325" s="4">
        <v>229726</v>
      </c>
      <c r="K325" s="4">
        <v>21200</v>
      </c>
      <c r="L325" s="4">
        <v>295</v>
      </c>
      <c r="M325" s="4">
        <v>9475</v>
      </c>
      <c r="N325" s="4">
        <v>-684</v>
      </c>
      <c r="O325" s="4">
        <v>9086</v>
      </c>
      <c r="P325" s="4">
        <v>36</v>
      </c>
      <c r="Q325" s="4">
        <v>2804</v>
      </c>
      <c r="R325" s="4">
        <v>-322</v>
      </c>
      <c r="S325" s="4">
        <v>-157</v>
      </c>
      <c r="T325" s="4">
        <v>2361</v>
      </c>
      <c r="U325" s="4">
        <v>-479</v>
      </c>
    </row>
    <row r="326" spans="1:27" ht="13.2" x14ac:dyDescent="0.25">
      <c r="A326" s="15">
        <v>44215</v>
      </c>
      <c r="B326" s="4">
        <v>26590</v>
      </c>
      <c r="C326" s="4">
        <v>753948</v>
      </c>
      <c r="D326" s="4">
        <v>146842</v>
      </c>
      <c r="E326" s="4">
        <v>927380</v>
      </c>
      <c r="F326" s="4">
        <v>3836</v>
      </c>
      <c r="G326" s="4">
        <v>209238</v>
      </c>
      <c r="H326" s="4">
        <v>14604</v>
      </c>
      <c r="I326" s="4">
        <v>4611</v>
      </c>
      <c r="J326" s="4">
        <v>232289</v>
      </c>
      <c r="K326" s="4">
        <v>19215</v>
      </c>
      <c r="L326" s="4">
        <v>308</v>
      </c>
      <c r="M326" s="4">
        <v>8013</v>
      </c>
      <c r="N326" s="4">
        <v>2044</v>
      </c>
      <c r="O326" s="4">
        <v>10365</v>
      </c>
      <c r="P326" s="4">
        <v>21</v>
      </c>
      <c r="Q326" s="4">
        <v>4527</v>
      </c>
      <c r="R326" s="4">
        <v>-1815</v>
      </c>
      <c r="S326" s="4">
        <v>-170</v>
      </c>
      <c r="T326" s="4">
        <v>2563</v>
      </c>
      <c r="U326" s="4">
        <v>-1985</v>
      </c>
    </row>
    <row r="327" spans="1:27" ht="15.75" customHeight="1" x14ac:dyDescent="0.3">
      <c r="A327" s="15">
        <v>44216</v>
      </c>
      <c r="B327" s="10">
        <v>26857</v>
      </c>
      <c r="C327" s="10">
        <v>763703</v>
      </c>
      <c r="D327" s="10">
        <v>149388</v>
      </c>
      <c r="E327" s="10">
        <v>939948</v>
      </c>
      <c r="F327" s="10">
        <v>3868</v>
      </c>
      <c r="G327" s="10">
        <v>210983</v>
      </c>
      <c r="H327" s="10">
        <v>16389</v>
      </c>
      <c r="I327" s="10">
        <v>4835</v>
      </c>
      <c r="J327" s="10">
        <v>236075</v>
      </c>
      <c r="K327" s="10">
        <v>21224</v>
      </c>
      <c r="L327" s="10">
        <v>267</v>
      </c>
      <c r="M327" s="10">
        <v>9755</v>
      </c>
      <c r="N327" s="10">
        <v>2546</v>
      </c>
      <c r="O327" s="10">
        <v>12568</v>
      </c>
      <c r="P327" s="10">
        <v>32</v>
      </c>
      <c r="Q327" s="10">
        <v>1745</v>
      </c>
      <c r="R327" s="10">
        <v>1785</v>
      </c>
      <c r="S327" s="10">
        <v>224</v>
      </c>
      <c r="T327" s="10">
        <v>3786</v>
      </c>
      <c r="U327" s="11">
        <v>2009</v>
      </c>
      <c r="V327" s="13"/>
      <c r="W327" s="13"/>
      <c r="X327" s="13"/>
      <c r="Y327" s="13"/>
      <c r="Z327" s="13"/>
      <c r="AA327" s="13"/>
    </row>
    <row r="328" spans="1:27" ht="13.2" x14ac:dyDescent="0.25">
      <c r="A328" s="15">
        <v>44217</v>
      </c>
      <c r="B328" s="4">
        <v>27203</v>
      </c>
      <c r="C328" s="4">
        <v>772790</v>
      </c>
      <c r="D328" s="4">
        <v>151658</v>
      </c>
      <c r="E328" s="4">
        <v>951651</v>
      </c>
      <c r="F328" s="4">
        <v>3900</v>
      </c>
      <c r="G328" s="4">
        <v>213570</v>
      </c>
      <c r="H328" s="4">
        <v>16966</v>
      </c>
      <c r="I328" s="4">
        <v>4790</v>
      </c>
      <c r="J328" s="4">
        <v>239226</v>
      </c>
      <c r="K328" s="4">
        <v>21756</v>
      </c>
      <c r="L328" s="4">
        <v>346</v>
      </c>
      <c r="M328" s="4">
        <v>9087</v>
      </c>
      <c r="N328" s="4">
        <v>2270</v>
      </c>
      <c r="O328" s="4">
        <v>11703</v>
      </c>
      <c r="P328" s="4">
        <v>32</v>
      </c>
      <c r="Q328" s="4">
        <v>2587</v>
      </c>
      <c r="R328" s="4">
        <v>577</v>
      </c>
      <c r="S328" s="4">
        <v>-45</v>
      </c>
      <c r="T328" s="4">
        <v>3151</v>
      </c>
      <c r="U328" s="4">
        <v>532</v>
      </c>
    </row>
    <row r="329" spans="1:27" ht="13.2" x14ac:dyDescent="0.25">
      <c r="A329" s="15">
        <v>44218</v>
      </c>
      <c r="B329" s="4">
        <v>27453</v>
      </c>
      <c r="C329" s="4">
        <v>781147</v>
      </c>
      <c r="D329" s="4">
        <v>156683</v>
      </c>
      <c r="E329" s="4">
        <v>965283</v>
      </c>
      <c r="F329" s="4">
        <v>3940</v>
      </c>
      <c r="G329" s="4">
        <v>215719</v>
      </c>
      <c r="H329" s="4">
        <v>17752</v>
      </c>
      <c r="I329" s="4">
        <v>5607</v>
      </c>
      <c r="J329" s="4">
        <v>243018</v>
      </c>
      <c r="K329" s="4">
        <v>23359</v>
      </c>
      <c r="L329" s="4">
        <v>250</v>
      </c>
      <c r="M329" s="4">
        <v>8357</v>
      </c>
      <c r="N329" s="4">
        <v>5025</v>
      </c>
      <c r="O329" s="4">
        <v>13632</v>
      </c>
      <c r="P329" s="4">
        <v>40</v>
      </c>
      <c r="Q329" s="4">
        <v>2149</v>
      </c>
      <c r="R329" s="4">
        <v>786</v>
      </c>
      <c r="S329" s="4">
        <v>817</v>
      </c>
      <c r="T329" s="4">
        <v>3792</v>
      </c>
      <c r="U329" s="4">
        <v>1603</v>
      </c>
    </row>
    <row r="330" spans="1:27" ht="13.2" x14ac:dyDescent="0.25">
      <c r="A330" s="15">
        <v>44219</v>
      </c>
      <c r="B330" s="4">
        <v>27664</v>
      </c>
      <c r="C330" s="4">
        <v>791059</v>
      </c>
      <c r="D330" s="4">
        <v>158751</v>
      </c>
      <c r="E330" s="4">
        <v>977474</v>
      </c>
      <c r="F330" s="4">
        <v>3980</v>
      </c>
      <c r="G330" s="4">
        <v>219287</v>
      </c>
      <c r="H330" s="4">
        <v>18657</v>
      </c>
      <c r="I330" s="4">
        <v>4379</v>
      </c>
      <c r="J330" s="4">
        <v>246303</v>
      </c>
      <c r="K330" s="4">
        <v>23036</v>
      </c>
      <c r="L330" s="4">
        <v>211</v>
      </c>
      <c r="M330" s="4">
        <v>9912</v>
      </c>
      <c r="N330" s="4">
        <v>2068</v>
      </c>
      <c r="O330" s="4">
        <v>12191</v>
      </c>
      <c r="P330" s="4">
        <v>40</v>
      </c>
      <c r="Q330" s="4">
        <v>3568</v>
      </c>
      <c r="R330" s="4">
        <v>905</v>
      </c>
      <c r="S330" s="4">
        <v>-1228</v>
      </c>
      <c r="T330" s="4">
        <v>3285</v>
      </c>
      <c r="U330" s="4">
        <v>-323</v>
      </c>
    </row>
    <row r="331" spans="1:27" ht="15.75" customHeight="1" x14ac:dyDescent="0.3">
      <c r="A331" s="15">
        <v>44220</v>
      </c>
      <c r="B331" s="10">
        <v>27835</v>
      </c>
      <c r="C331" s="10">
        <v>798810</v>
      </c>
      <c r="D331" s="10">
        <v>162617</v>
      </c>
      <c r="E331" s="10">
        <v>989262</v>
      </c>
      <c r="F331" s="10">
        <v>4024</v>
      </c>
      <c r="G331" s="10">
        <v>221567</v>
      </c>
      <c r="H331" s="10">
        <v>19554</v>
      </c>
      <c r="I331" s="10">
        <v>4670</v>
      </c>
      <c r="J331" s="10">
        <v>249815</v>
      </c>
      <c r="K331" s="10">
        <v>24224</v>
      </c>
      <c r="L331" s="10">
        <v>171</v>
      </c>
      <c r="M331" s="10">
        <v>7751</v>
      </c>
      <c r="N331" s="10">
        <v>3866</v>
      </c>
      <c r="O331" s="10">
        <v>11788</v>
      </c>
      <c r="P331" s="10">
        <v>44</v>
      </c>
      <c r="Q331" s="10">
        <v>2280</v>
      </c>
      <c r="R331" s="10">
        <v>897</v>
      </c>
      <c r="S331" s="10">
        <v>291</v>
      </c>
      <c r="T331" s="10">
        <v>3512</v>
      </c>
      <c r="U331" s="11">
        <v>1188</v>
      </c>
      <c r="V331" s="13"/>
      <c r="W331" s="13"/>
      <c r="X331" s="13"/>
      <c r="Y331" s="13"/>
      <c r="Z331" s="13"/>
      <c r="AA331" s="13"/>
    </row>
    <row r="332" spans="1:27" ht="13.2" x14ac:dyDescent="0.25">
      <c r="A332" s="15">
        <v>44221</v>
      </c>
      <c r="B332" s="4">
        <v>28132</v>
      </c>
      <c r="C332" s="4">
        <v>809488</v>
      </c>
      <c r="D332" s="4">
        <v>161636</v>
      </c>
      <c r="E332" s="4">
        <v>999256</v>
      </c>
      <c r="F332" s="4">
        <v>4063</v>
      </c>
      <c r="G332" s="4">
        <v>224071</v>
      </c>
      <c r="H332" s="4">
        <v>19869</v>
      </c>
      <c r="I332" s="4">
        <v>4263</v>
      </c>
      <c r="J332" s="4">
        <v>252266</v>
      </c>
      <c r="K332" s="4">
        <v>24132</v>
      </c>
      <c r="L332" s="4">
        <v>297</v>
      </c>
      <c r="M332" s="4">
        <v>10678</v>
      </c>
      <c r="N332" s="4">
        <v>-981</v>
      </c>
      <c r="O332" s="4">
        <v>9994</v>
      </c>
      <c r="P332" s="4">
        <v>39</v>
      </c>
      <c r="Q332" s="4">
        <v>2504</v>
      </c>
      <c r="R332" s="4">
        <v>315</v>
      </c>
      <c r="S332" s="4">
        <v>-407</v>
      </c>
      <c r="T332" s="4">
        <v>2451</v>
      </c>
      <c r="U332" s="4">
        <v>-92</v>
      </c>
    </row>
    <row r="333" spans="1:27" ht="13.2" x14ac:dyDescent="0.25">
      <c r="A333" s="15">
        <v>44222</v>
      </c>
      <c r="B333" s="4">
        <v>28468</v>
      </c>
      <c r="C333" s="4">
        <v>820356</v>
      </c>
      <c r="D333" s="4">
        <v>163526</v>
      </c>
      <c r="E333" s="4">
        <v>1012350</v>
      </c>
      <c r="F333" s="4">
        <v>4108</v>
      </c>
      <c r="G333" s="4">
        <v>227010</v>
      </c>
      <c r="H333" s="4">
        <v>19432</v>
      </c>
      <c r="I333" s="4">
        <v>4030</v>
      </c>
      <c r="J333" s="4">
        <v>254580</v>
      </c>
      <c r="K333" s="4">
        <v>23462</v>
      </c>
      <c r="L333" s="4">
        <v>336</v>
      </c>
      <c r="M333" s="4">
        <v>10868</v>
      </c>
      <c r="N333" s="4">
        <v>1890</v>
      </c>
      <c r="O333" s="4">
        <v>13094</v>
      </c>
      <c r="P333" s="4">
        <v>45</v>
      </c>
      <c r="Q333" s="4">
        <v>2939</v>
      </c>
      <c r="R333" s="4">
        <v>-437</v>
      </c>
      <c r="S333" s="4">
        <v>-233</v>
      </c>
      <c r="T333" s="4">
        <v>2314</v>
      </c>
      <c r="U333" s="4">
        <v>-670</v>
      </c>
    </row>
    <row r="334" spans="1:27" ht="13.2" x14ac:dyDescent="0.25">
      <c r="A334" s="15">
        <v>44223</v>
      </c>
      <c r="B334" s="4">
        <v>28855</v>
      </c>
      <c r="C334" s="4">
        <v>831330</v>
      </c>
      <c r="D334" s="4">
        <v>164113</v>
      </c>
      <c r="E334" s="4">
        <v>1024298</v>
      </c>
      <c r="F334" s="4">
        <v>4134</v>
      </c>
      <c r="G334" s="4">
        <v>229981</v>
      </c>
      <c r="H334" s="4">
        <v>18528</v>
      </c>
      <c r="I334" s="4">
        <v>3773</v>
      </c>
      <c r="J334" s="4">
        <v>256416</v>
      </c>
      <c r="K334" s="4">
        <v>22301</v>
      </c>
      <c r="L334" s="4">
        <v>387</v>
      </c>
      <c r="M334" s="4">
        <v>10974</v>
      </c>
      <c r="N334" s="4">
        <v>587</v>
      </c>
      <c r="O334" s="4">
        <v>11948</v>
      </c>
      <c r="P334" s="4">
        <v>26</v>
      </c>
      <c r="Q334" s="4">
        <v>2971</v>
      </c>
      <c r="R334" s="4">
        <v>-904</v>
      </c>
      <c r="S334" s="4">
        <v>-257</v>
      </c>
      <c r="T334" s="4">
        <v>1836</v>
      </c>
      <c r="U334" s="4">
        <v>-1161</v>
      </c>
    </row>
    <row r="335" spans="1:27" ht="15.75" customHeight="1" x14ac:dyDescent="0.3">
      <c r="A335" s="15">
        <v>44224</v>
      </c>
      <c r="B335" s="10">
        <v>29331</v>
      </c>
      <c r="C335" s="10">
        <v>842122</v>
      </c>
      <c r="D335" s="10">
        <v>166540</v>
      </c>
      <c r="E335" s="10">
        <v>1037993</v>
      </c>
      <c r="F335" s="10">
        <v>4185</v>
      </c>
      <c r="G335" s="10">
        <v>232701</v>
      </c>
      <c r="H335" s="10">
        <v>18473</v>
      </c>
      <c r="I335" s="10">
        <v>3946</v>
      </c>
      <c r="J335" s="10">
        <v>259305</v>
      </c>
      <c r="K335" s="10">
        <v>22419</v>
      </c>
      <c r="L335" s="10">
        <v>476</v>
      </c>
      <c r="M335" s="10">
        <v>10792</v>
      </c>
      <c r="N335" s="10">
        <v>2427</v>
      </c>
      <c r="O335" s="10">
        <v>13695</v>
      </c>
      <c r="P335" s="10">
        <v>51</v>
      </c>
      <c r="Q335" s="10">
        <v>2720</v>
      </c>
      <c r="R335" s="10">
        <v>-55</v>
      </c>
      <c r="S335" s="10">
        <v>173</v>
      </c>
      <c r="T335" s="10">
        <v>2889</v>
      </c>
      <c r="U335" s="11">
        <v>118</v>
      </c>
      <c r="V335" s="13"/>
      <c r="W335" s="13"/>
      <c r="X335" s="13"/>
      <c r="Y335" s="13"/>
      <c r="Z335" s="13"/>
      <c r="AA335" s="13"/>
    </row>
    <row r="336" spans="1:27" ht="13.2" x14ac:dyDescent="0.25">
      <c r="A336" s="15">
        <v>44225</v>
      </c>
      <c r="B336" s="4">
        <v>29518</v>
      </c>
      <c r="C336" s="4">
        <v>852260</v>
      </c>
      <c r="D336" s="4">
        <v>170017</v>
      </c>
      <c r="E336" s="4">
        <v>1051795</v>
      </c>
      <c r="F336" s="4">
        <v>4224</v>
      </c>
      <c r="G336" s="4">
        <v>235140</v>
      </c>
      <c r="H336" s="4">
        <v>19381</v>
      </c>
      <c r="I336" s="4">
        <v>4008</v>
      </c>
      <c r="J336" s="4">
        <v>262753</v>
      </c>
      <c r="K336" s="4">
        <v>23389</v>
      </c>
      <c r="L336" s="4">
        <v>187</v>
      </c>
      <c r="M336" s="4">
        <v>10138</v>
      </c>
      <c r="N336" s="4">
        <v>3477</v>
      </c>
      <c r="O336" s="4">
        <v>13802</v>
      </c>
      <c r="P336" s="4">
        <v>39</v>
      </c>
      <c r="Q336" s="4">
        <v>2439</v>
      </c>
      <c r="R336" s="4">
        <v>908</v>
      </c>
      <c r="S336" s="4">
        <v>62</v>
      </c>
      <c r="T336" s="4">
        <v>3448</v>
      </c>
      <c r="U336" s="4">
        <v>970</v>
      </c>
    </row>
    <row r="337" spans="1:27" ht="15.75" customHeight="1" x14ac:dyDescent="0.3">
      <c r="A337" s="15">
        <v>44226</v>
      </c>
      <c r="B337" s="10">
        <v>29728</v>
      </c>
      <c r="C337" s="10">
        <v>862502</v>
      </c>
      <c r="D337" s="10">
        <v>174083</v>
      </c>
      <c r="E337" s="10">
        <v>1066313</v>
      </c>
      <c r="F337" s="10">
        <v>4254</v>
      </c>
      <c r="G337" s="10">
        <v>238395</v>
      </c>
      <c r="H337" s="10">
        <v>20539</v>
      </c>
      <c r="I337" s="10">
        <v>3056</v>
      </c>
      <c r="J337" s="10">
        <v>266244</v>
      </c>
      <c r="K337" s="10">
        <v>23595</v>
      </c>
      <c r="L337" s="10">
        <v>210</v>
      </c>
      <c r="M337" s="10">
        <v>10242</v>
      </c>
      <c r="N337" s="10">
        <v>4066</v>
      </c>
      <c r="O337" s="10">
        <v>14518</v>
      </c>
      <c r="P337" s="19">
        <v>39</v>
      </c>
      <c r="Q337" s="10">
        <v>3255</v>
      </c>
      <c r="R337" s="10">
        <v>1158</v>
      </c>
      <c r="S337" s="10">
        <v>-952</v>
      </c>
      <c r="T337" s="10">
        <v>3491</v>
      </c>
      <c r="U337" s="11">
        <v>206</v>
      </c>
      <c r="V337" s="13"/>
      <c r="W337" s="13"/>
      <c r="X337" s="13"/>
      <c r="Y337" s="13"/>
      <c r="Z337" s="13"/>
      <c r="AA337" s="13"/>
    </row>
    <row r="338" spans="1:27" ht="13.2" x14ac:dyDescent="0.25">
      <c r="A338" s="15">
        <v>44227</v>
      </c>
      <c r="B338" s="4">
        <v>29998</v>
      </c>
      <c r="C338" s="4">
        <v>873221</v>
      </c>
      <c r="D338" s="4">
        <v>175095</v>
      </c>
      <c r="E338" s="4">
        <v>1078314</v>
      </c>
      <c r="F338" s="4">
        <v>4267</v>
      </c>
      <c r="G338" s="4">
        <v>242069</v>
      </c>
      <c r="H338" s="4">
        <v>19272</v>
      </c>
      <c r="I338" s="4">
        <v>4110</v>
      </c>
      <c r="J338" s="4">
        <v>269718</v>
      </c>
      <c r="K338" s="4">
        <v>23382</v>
      </c>
      <c r="L338" s="4">
        <v>270</v>
      </c>
      <c r="M338" s="4">
        <v>10719</v>
      </c>
      <c r="N338" s="4">
        <v>1012</v>
      </c>
      <c r="O338" s="4">
        <v>12001</v>
      </c>
      <c r="P338" s="4">
        <v>13</v>
      </c>
      <c r="Q338" s="4">
        <v>3674</v>
      </c>
      <c r="R338" s="4">
        <v>-1267</v>
      </c>
      <c r="S338" s="4">
        <v>1054</v>
      </c>
      <c r="T338" s="4">
        <v>3474</v>
      </c>
      <c r="U338" s="4">
        <v>-213</v>
      </c>
    </row>
    <row r="339" spans="1:27" ht="13.2" x14ac:dyDescent="0.25">
      <c r="A339" s="15">
        <v>44228</v>
      </c>
      <c r="B339" s="4">
        <v>30277</v>
      </c>
      <c r="C339" s="4">
        <v>883682</v>
      </c>
      <c r="D339" s="4">
        <v>175349</v>
      </c>
      <c r="E339" s="4">
        <v>1089308</v>
      </c>
      <c r="F339" s="4">
        <v>4337</v>
      </c>
      <c r="G339" s="4">
        <v>244202</v>
      </c>
      <c r="H339" s="4">
        <v>19824</v>
      </c>
      <c r="I339" s="4">
        <v>4969</v>
      </c>
      <c r="J339" s="4">
        <v>273332</v>
      </c>
      <c r="K339" s="4">
        <v>24793</v>
      </c>
      <c r="L339" s="4">
        <v>279</v>
      </c>
      <c r="M339" s="4">
        <v>10461</v>
      </c>
      <c r="N339" s="4">
        <v>254</v>
      </c>
      <c r="O339" s="4">
        <v>10994</v>
      </c>
      <c r="P339" s="4">
        <v>70</v>
      </c>
      <c r="Q339" s="4">
        <v>2133</v>
      </c>
      <c r="R339" s="4">
        <v>552</v>
      </c>
      <c r="S339" s="4">
        <v>859</v>
      </c>
      <c r="T339" s="4">
        <v>3614</v>
      </c>
      <c r="U339" s="4">
        <v>1411</v>
      </c>
    </row>
    <row r="340" spans="1:27" ht="13.2" x14ac:dyDescent="0.25">
      <c r="A340" s="15">
        <v>44229</v>
      </c>
      <c r="B340" s="4">
        <v>30581</v>
      </c>
      <c r="C340" s="4">
        <v>896530</v>
      </c>
      <c r="D340" s="4">
        <v>172576</v>
      </c>
      <c r="E340" s="4">
        <v>1099687</v>
      </c>
      <c r="F340" s="4">
        <v>4379</v>
      </c>
      <c r="G340" s="4">
        <v>248515</v>
      </c>
      <c r="H340" s="4">
        <v>18925</v>
      </c>
      <c r="I340" s="4">
        <v>4875</v>
      </c>
      <c r="J340" s="4">
        <v>276694</v>
      </c>
      <c r="K340" s="4">
        <v>23800</v>
      </c>
      <c r="L340" s="4">
        <v>304</v>
      </c>
      <c r="M340" s="4">
        <v>12848</v>
      </c>
      <c r="N340" s="4">
        <v>-2773</v>
      </c>
      <c r="O340" s="4">
        <v>10379</v>
      </c>
      <c r="P340" s="4">
        <v>42</v>
      </c>
      <c r="Q340" s="4">
        <v>4313</v>
      </c>
      <c r="R340" s="4">
        <v>-899</v>
      </c>
      <c r="S340" s="4">
        <v>-94</v>
      </c>
      <c r="T340" s="4">
        <v>3362</v>
      </c>
      <c r="U340" s="4">
        <v>-993</v>
      </c>
    </row>
    <row r="341" spans="1:27" ht="15.75" customHeight="1" x14ac:dyDescent="0.3">
      <c r="A341" s="15">
        <v>44230</v>
      </c>
      <c r="B341" s="10">
        <v>30770</v>
      </c>
      <c r="C341" s="10">
        <v>905665</v>
      </c>
      <c r="D341" s="10">
        <v>175236</v>
      </c>
      <c r="E341" s="10">
        <v>1111671</v>
      </c>
      <c r="F341" s="10">
        <v>4420</v>
      </c>
      <c r="G341" s="10">
        <v>249810</v>
      </c>
      <c r="H341" s="10">
        <v>21863</v>
      </c>
      <c r="I341" s="10">
        <v>4168</v>
      </c>
      <c r="J341" s="10">
        <v>280261</v>
      </c>
      <c r="K341" s="10">
        <v>26031</v>
      </c>
      <c r="L341" s="10">
        <v>189</v>
      </c>
      <c r="M341" s="10">
        <v>9135</v>
      </c>
      <c r="N341" s="10">
        <v>2660</v>
      </c>
      <c r="O341" s="10">
        <v>11984</v>
      </c>
      <c r="P341" s="10">
        <v>41</v>
      </c>
      <c r="Q341" s="10">
        <v>1295</v>
      </c>
      <c r="R341" s="10">
        <v>2938</v>
      </c>
      <c r="S341" s="10">
        <v>-707</v>
      </c>
      <c r="T341" s="10">
        <v>3567</v>
      </c>
      <c r="U341" s="11">
        <v>2231</v>
      </c>
      <c r="V341" s="13"/>
      <c r="W341" s="13"/>
      <c r="X341" s="13"/>
      <c r="Y341" s="13"/>
      <c r="Z341" s="13"/>
      <c r="AA341" s="13"/>
    </row>
    <row r="342" spans="1:27" ht="15.75" customHeight="1" x14ac:dyDescent="0.3">
      <c r="A342" s="15">
        <v>44231</v>
      </c>
      <c r="B342" s="10">
        <v>31001</v>
      </c>
      <c r="C342" s="10">
        <v>917036</v>
      </c>
      <c r="D342" s="10">
        <v>175068</v>
      </c>
      <c r="E342" s="10">
        <v>1123105</v>
      </c>
      <c r="F342" s="10">
        <v>4461</v>
      </c>
      <c r="G342" s="10">
        <v>254155</v>
      </c>
      <c r="H342" s="10">
        <v>20419</v>
      </c>
      <c r="I342" s="10">
        <v>4858</v>
      </c>
      <c r="J342" s="10">
        <v>283893</v>
      </c>
      <c r="K342" s="10">
        <v>25277</v>
      </c>
      <c r="L342" s="10">
        <v>231</v>
      </c>
      <c r="M342" s="10">
        <v>11371</v>
      </c>
      <c r="N342" s="10">
        <v>-168</v>
      </c>
      <c r="O342" s="10">
        <v>11434</v>
      </c>
      <c r="P342" s="10">
        <v>41</v>
      </c>
      <c r="Q342" s="10">
        <v>4345</v>
      </c>
      <c r="R342" s="10">
        <v>-1444</v>
      </c>
      <c r="S342" s="10">
        <v>690</v>
      </c>
      <c r="T342" s="10">
        <v>3632</v>
      </c>
      <c r="U342" s="11">
        <v>-754</v>
      </c>
      <c r="V342" s="13"/>
      <c r="W342" s="13"/>
      <c r="X342" s="13"/>
      <c r="Y342" s="13"/>
      <c r="Z342" s="13"/>
      <c r="AA342" s="13"/>
    </row>
    <row r="343" spans="1:27" ht="13.2" x14ac:dyDescent="0.25">
      <c r="A343" s="15">
        <v>44232</v>
      </c>
      <c r="B343" s="4">
        <v>31202</v>
      </c>
      <c r="C343" s="4">
        <v>926980</v>
      </c>
      <c r="D343" s="4">
        <v>176672</v>
      </c>
      <c r="E343" s="4">
        <v>1134854</v>
      </c>
      <c r="F343" s="4">
        <v>4502</v>
      </c>
      <c r="G343" s="4">
        <v>256702</v>
      </c>
      <c r="H343" s="4">
        <v>21191</v>
      </c>
      <c r="I343" s="4">
        <v>4838</v>
      </c>
      <c r="J343" s="4">
        <v>287233</v>
      </c>
      <c r="K343" s="4">
        <v>26029</v>
      </c>
      <c r="L343" s="4">
        <v>201</v>
      </c>
      <c r="M343" s="4">
        <v>9944</v>
      </c>
      <c r="N343" s="4">
        <v>1604</v>
      </c>
      <c r="O343" s="4">
        <v>11749</v>
      </c>
      <c r="P343" s="4">
        <v>41</v>
      </c>
      <c r="Q343" s="4">
        <v>2547</v>
      </c>
      <c r="R343" s="4">
        <v>772</v>
      </c>
      <c r="S343" s="4">
        <v>-20</v>
      </c>
      <c r="T343" s="4">
        <v>3340</v>
      </c>
      <c r="U343" s="4">
        <v>752</v>
      </c>
    </row>
    <row r="344" spans="1:27" ht="15.75" customHeight="1" x14ac:dyDescent="0.3">
      <c r="A344" s="15">
        <v>44233</v>
      </c>
      <c r="B344" s="10">
        <v>31393</v>
      </c>
      <c r="C344" s="10">
        <v>939184</v>
      </c>
      <c r="D344" s="10">
        <v>176433</v>
      </c>
      <c r="E344" s="10">
        <v>1147010</v>
      </c>
      <c r="F344" s="10">
        <v>4541</v>
      </c>
      <c r="G344" s="10">
        <v>261027</v>
      </c>
      <c r="H344" s="10">
        <v>19325</v>
      </c>
      <c r="I344" s="10">
        <v>4719</v>
      </c>
      <c r="J344" s="10">
        <v>289612</v>
      </c>
      <c r="K344" s="10">
        <v>24044</v>
      </c>
      <c r="L344" s="10">
        <v>191</v>
      </c>
      <c r="M344" s="10">
        <v>12204</v>
      </c>
      <c r="N344" s="10">
        <v>-239</v>
      </c>
      <c r="O344" s="10">
        <v>12156</v>
      </c>
      <c r="P344" s="10">
        <v>39</v>
      </c>
      <c r="Q344" s="10">
        <v>4325</v>
      </c>
      <c r="R344" s="10">
        <v>-1866</v>
      </c>
      <c r="S344" s="10">
        <v>-119</v>
      </c>
      <c r="T344" s="10">
        <v>2379</v>
      </c>
      <c r="U344" s="11">
        <v>-1985</v>
      </c>
      <c r="V344" s="13"/>
      <c r="W344" s="13"/>
      <c r="X344" s="13"/>
      <c r="Y344" s="13"/>
      <c r="Z344" s="13"/>
      <c r="AA344" s="13"/>
    </row>
    <row r="345" spans="1:27" ht="13.2" x14ac:dyDescent="0.25">
      <c r="A345" s="15">
        <v>44234</v>
      </c>
      <c r="B345" s="4">
        <v>31556</v>
      </c>
      <c r="C345" s="4">
        <v>949990</v>
      </c>
      <c r="D345" s="4">
        <v>176291</v>
      </c>
      <c r="E345" s="4">
        <v>1157837</v>
      </c>
      <c r="F345" s="4">
        <v>4587</v>
      </c>
      <c r="G345" s="4">
        <v>265369</v>
      </c>
      <c r="H345" s="4">
        <v>17958</v>
      </c>
      <c r="I345" s="4">
        <v>5911</v>
      </c>
      <c r="J345" s="4">
        <v>293825</v>
      </c>
      <c r="K345" s="4">
        <v>23869</v>
      </c>
      <c r="L345" s="4">
        <v>163</v>
      </c>
      <c r="M345" s="4">
        <v>10806</v>
      </c>
      <c r="N345" s="4">
        <v>-142</v>
      </c>
      <c r="O345" s="4">
        <v>10827</v>
      </c>
      <c r="P345" s="4">
        <v>46</v>
      </c>
      <c r="Q345" s="4">
        <v>4342</v>
      </c>
      <c r="R345" s="4">
        <v>-1367</v>
      </c>
      <c r="S345" s="4">
        <v>1192</v>
      </c>
      <c r="T345" s="4">
        <v>4213</v>
      </c>
      <c r="U345" s="4">
        <v>-175</v>
      </c>
    </row>
    <row r="346" spans="1:27" ht="13.2" x14ac:dyDescent="0.25">
      <c r="A346" s="15">
        <v>44235</v>
      </c>
      <c r="B346" s="4">
        <v>31763</v>
      </c>
      <c r="C346" s="4">
        <v>963028</v>
      </c>
      <c r="D346" s="4">
        <v>171288</v>
      </c>
      <c r="E346" s="4">
        <v>1166079</v>
      </c>
      <c r="F346" s="4">
        <v>4631</v>
      </c>
      <c r="G346" s="4">
        <v>268785</v>
      </c>
      <c r="H346" s="4">
        <v>17766</v>
      </c>
      <c r="I346" s="4">
        <v>5787</v>
      </c>
      <c r="J346" s="4">
        <v>296969</v>
      </c>
      <c r="K346" s="4">
        <v>23553</v>
      </c>
      <c r="L346" s="4">
        <v>207</v>
      </c>
      <c r="M346" s="4">
        <v>13038</v>
      </c>
      <c r="N346" s="4">
        <v>-5003</v>
      </c>
      <c r="O346" s="4">
        <v>8242</v>
      </c>
      <c r="P346" s="4">
        <v>44</v>
      </c>
      <c r="Q346" s="4">
        <v>3416</v>
      </c>
      <c r="R346" s="4">
        <v>-192</v>
      </c>
      <c r="S346" s="4">
        <v>-124</v>
      </c>
      <c r="T346" s="4">
        <v>3144</v>
      </c>
      <c r="U346" s="4">
        <v>-316</v>
      </c>
    </row>
    <row r="347" spans="1:27" ht="13.2" x14ac:dyDescent="0.25">
      <c r="A347" s="15">
        <v>44236</v>
      </c>
      <c r="B347" s="4">
        <v>31976</v>
      </c>
      <c r="C347" s="4">
        <v>973452</v>
      </c>
      <c r="D347" s="4">
        <v>169351</v>
      </c>
      <c r="E347" s="4">
        <v>1174779</v>
      </c>
      <c r="F347" s="4">
        <v>4681</v>
      </c>
      <c r="G347" s="4">
        <v>271573</v>
      </c>
      <c r="H347" s="4">
        <v>18174</v>
      </c>
      <c r="I347" s="4">
        <v>5978</v>
      </c>
      <c r="J347" s="4">
        <v>300406</v>
      </c>
      <c r="K347" s="4">
        <v>24152</v>
      </c>
      <c r="L347" s="4">
        <v>213</v>
      </c>
      <c r="M347" s="4">
        <v>10424</v>
      </c>
      <c r="N347" s="4">
        <v>-1937</v>
      </c>
      <c r="O347" s="4">
        <v>8700</v>
      </c>
      <c r="P347" s="4">
        <v>50</v>
      </c>
      <c r="Q347" s="4">
        <v>2788</v>
      </c>
      <c r="R347" s="4">
        <v>408</v>
      </c>
      <c r="S347" s="4">
        <v>191</v>
      </c>
      <c r="T347" s="4">
        <v>3437</v>
      </c>
      <c r="U347" s="4">
        <v>599</v>
      </c>
    </row>
    <row r="348" spans="1:27" ht="13.2" x14ac:dyDescent="0.25">
      <c r="A348" s="15">
        <v>44237</v>
      </c>
      <c r="B348" s="4">
        <v>32167</v>
      </c>
      <c r="C348" s="4">
        <v>982972</v>
      </c>
      <c r="D348" s="4">
        <v>168416</v>
      </c>
      <c r="E348" s="4">
        <v>1183555</v>
      </c>
      <c r="F348" s="4">
        <v>4725</v>
      </c>
      <c r="G348" s="4">
        <v>274817</v>
      </c>
      <c r="H348" s="4">
        <v>16676</v>
      </c>
      <c r="I348" s="4">
        <v>7497</v>
      </c>
      <c r="J348" s="4">
        <v>303715</v>
      </c>
      <c r="K348" s="4">
        <v>24173</v>
      </c>
      <c r="L348" s="4">
        <v>191</v>
      </c>
      <c r="M348" s="4">
        <v>9520</v>
      </c>
      <c r="N348" s="4">
        <v>-935</v>
      </c>
      <c r="O348" s="4">
        <v>8776</v>
      </c>
      <c r="P348" s="4">
        <v>44</v>
      </c>
      <c r="Q348" s="4">
        <v>3244</v>
      </c>
      <c r="R348" s="4">
        <v>-1498</v>
      </c>
      <c r="S348" s="4">
        <v>1519</v>
      </c>
      <c r="T348" s="4">
        <v>3309</v>
      </c>
      <c r="U348" s="4">
        <v>21</v>
      </c>
    </row>
    <row r="349" spans="1:27" ht="13.2" x14ac:dyDescent="0.25">
      <c r="A349" s="15">
        <v>44238</v>
      </c>
      <c r="B349" s="4">
        <v>32381</v>
      </c>
      <c r="C349" s="4">
        <v>993117</v>
      </c>
      <c r="D349" s="4">
        <v>166492</v>
      </c>
      <c r="E349" s="4">
        <v>1191990</v>
      </c>
      <c r="F349" s="4">
        <v>4748</v>
      </c>
      <c r="G349" s="4">
        <v>278822</v>
      </c>
      <c r="H349" s="4">
        <v>14119</v>
      </c>
      <c r="I349" s="4">
        <v>8540</v>
      </c>
      <c r="J349" s="4">
        <v>306229</v>
      </c>
      <c r="K349" s="4">
        <v>22659</v>
      </c>
      <c r="L349" s="4">
        <v>214</v>
      </c>
      <c r="M349" s="4">
        <v>10145</v>
      </c>
      <c r="N349" s="4">
        <v>-1924</v>
      </c>
      <c r="O349" s="4">
        <v>8435</v>
      </c>
      <c r="P349" s="4">
        <v>23</v>
      </c>
      <c r="Q349" s="4">
        <v>4005</v>
      </c>
      <c r="R349" s="4">
        <v>-2557</v>
      </c>
      <c r="S349" s="4">
        <v>1043</v>
      </c>
      <c r="T349" s="4">
        <v>2514</v>
      </c>
      <c r="U349" s="4">
        <v>-1514</v>
      </c>
    </row>
    <row r="350" spans="1:27" ht="15.75" customHeight="1" x14ac:dyDescent="0.3">
      <c r="A350" s="15">
        <v>44239</v>
      </c>
      <c r="B350" s="10">
        <v>32656</v>
      </c>
      <c r="C350" s="10">
        <v>1004117</v>
      </c>
      <c r="D350" s="10">
        <v>165086</v>
      </c>
      <c r="E350" s="10">
        <v>1201859</v>
      </c>
      <c r="F350" s="10">
        <v>4798</v>
      </c>
      <c r="G350" s="10">
        <v>284579</v>
      </c>
      <c r="H350" s="10">
        <v>10774</v>
      </c>
      <c r="I350" s="10">
        <v>9888</v>
      </c>
      <c r="J350" s="10">
        <v>310039</v>
      </c>
      <c r="K350" s="10">
        <v>20662</v>
      </c>
      <c r="L350" s="10">
        <v>275</v>
      </c>
      <c r="M350" s="10">
        <v>11000</v>
      </c>
      <c r="N350" s="10">
        <v>-1406</v>
      </c>
      <c r="O350" s="10">
        <v>9869</v>
      </c>
      <c r="P350" s="10">
        <v>50</v>
      </c>
      <c r="Q350" s="10">
        <v>5757</v>
      </c>
      <c r="R350" s="10">
        <v>-3345</v>
      </c>
      <c r="S350" s="10">
        <v>1348</v>
      </c>
      <c r="T350" s="10">
        <v>3810</v>
      </c>
      <c r="U350" s="11">
        <v>-1997</v>
      </c>
      <c r="V350" s="13"/>
      <c r="W350" s="13"/>
      <c r="X350" s="13"/>
      <c r="Y350" s="13"/>
      <c r="Z350" s="13"/>
      <c r="AA350" s="13"/>
    </row>
    <row r="351" spans="1:27" ht="13.2" x14ac:dyDescent="0.25">
      <c r="A351" s="15">
        <v>44240</v>
      </c>
      <c r="B351" s="4">
        <v>32936</v>
      </c>
      <c r="C351" s="4">
        <v>1016036</v>
      </c>
      <c r="D351" s="4">
        <v>161731</v>
      </c>
      <c r="E351" s="4">
        <v>1210703</v>
      </c>
      <c r="F351" s="4">
        <v>4850</v>
      </c>
      <c r="G351" s="4">
        <v>289189</v>
      </c>
      <c r="H351" s="4">
        <v>9644</v>
      </c>
      <c r="I351" s="4">
        <v>9374</v>
      </c>
      <c r="J351" s="4">
        <v>313057</v>
      </c>
      <c r="K351" s="4">
        <v>19018</v>
      </c>
      <c r="L351" s="4">
        <v>280</v>
      </c>
      <c r="M351" s="4">
        <v>11919</v>
      </c>
      <c r="N351" s="4">
        <v>-3355</v>
      </c>
      <c r="O351" s="4">
        <v>8844</v>
      </c>
      <c r="P351" s="4">
        <v>52</v>
      </c>
      <c r="Q351" s="4">
        <v>4610</v>
      </c>
      <c r="R351" s="4">
        <v>-1130</v>
      </c>
      <c r="S351" s="4">
        <v>-514</v>
      </c>
      <c r="T351" s="4">
        <v>3018</v>
      </c>
      <c r="U351" s="4">
        <v>-1644</v>
      </c>
    </row>
    <row r="352" spans="1:27" ht="15.75" customHeight="1" x14ac:dyDescent="0.3">
      <c r="A352" s="15">
        <v>44241</v>
      </c>
      <c r="B352" s="10">
        <v>33183</v>
      </c>
      <c r="C352" s="10">
        <v>1025273</v>
      </c>
      <c r="D352" s="10">
        <v>159012</v>
      </c>
      <c r="E352" s="10">
        <v>1217468</v>
      </c>
      <c r="F352" s="10">
        <v>4895</v>
      </c>
      <c r="G352" s="10">
        <v>293538</v>
      </c>
      <c r="H352" s="10">
        <v>9017</v>
      </c>
      <c r="I352" s="10">
        <v>8103</v>
      </c>
      <c r="J352" s="10">
        <v>315553</v>
      </c>
      <c r="K352" s="10">
        <v>17120</v>
      </c>
      <c r="L352" s="10">
        <v>247</v>
      </c>
      <c r="M352" s="10">
        <v>9237</v>
      </c>
      <c r="N352" s="10">
        <v>-2719</v>
      </c>
      <c r="O352" s="10">
        <v>6765</v>
      </c>
      <c r="P352" s="10">
        <v>45</v>
      </c>
      <c r="Q352" s="10">
        <v>4349</v>
      </c>
      <c r="R352" s="10">
        <v>-627</v>
      </c>
      <c r="S352" s="10">
        <v>-1271</v>
      </c>
      <c r="T352" s="10">
        <v>2496</v>
      </c>
      <c r="U352" s="11">
        <v>-1898</v>
      </c>
      <c r="V352" s="13"/>
      <c r="W352" s="13"/>
      <c r="X352" s="13"/>
      <c r="Y352" s="13"/>
      <c r="Z352" s="13"/>
      <c r="AA352" s="13"/>
    </row>
    <row r="353" spans="1:27" ht="13.2" x14ac:dyDescent="0.25">
      <c r="A353" s="15">
        <v>44242</v>
      </c>
      <c r="B353" s="4">
        <v>33367</v>
      </c>
      <c r="C353" s="4">
        <v>1032065</v>
      </c>
      <c r="D353" s="4">
        <v>158498</v>
      </c>
      <c r="E353" s="4">
        <v>1223930</v>
      </c>
      <c r="F353" s="4">
        <v>4940</v>
      </c>
      <c r="G353" s="4">
        <v>295623</v>
      </c>
      <c r="H353" s="4">
        <v>8881</v>
      </c>
      <c r="I353" s="4">
        <v>7988</v>
      </c>
      <c r="J353" s="4">
        <v>317432</v>
      </c>
      <c r="K353" s="4">
        <v>16869</v>
      </c>
      <c r="L353" s="4">
        <v>184</v>
      </c>
      <c r="M353" s="4">
        <v>6792</v>
      </c>
      <c r="N353" s="4">
        <v>-514</v>
      </c>
      <c r="O353" s="4">
        <v>6462</v>
      </c>
      <c r="P353" s="4">
        <v>45</v>
      </c>
      <c r="Q353" s="4">
        <v>2085</v>
      </c>
      <c r="R353" s="4">
        <v>-136</v>
      </c>
      <c r="S353" s="4">
        <v>-115</v>
      </c>
      <c r="T353" s="4">
        <v>1879</v>
      </c>
      <c r="U353" s="4">
        <v>-251</v>
      </c>
    </row>
    <row r="354" spans="1:27" ht="13.2" x14ac:dyDescent="0.25">
      <c r="A354" s="15">
        <v>44243</v>
      </c>
      <c r="B354" s="4">
        <v>33596</v>
      </c>
      <c r="C354" s="4">
        <v>1039674</v>
      </c>
      <c r="D354" s="4">
        <v>160689</v>
      </c>
      <c r="E354" s="4">
        <v>1233959</v>
      </c>
      <c r="F354" s="4">
        <v>4987</v>
      </c>
      <c r="G354" s="4">
        <v>297695</v>
      </c>
      <c r="H354" s="4">
        <v>9042</v>
      </c>
      <c r="I354" s="4">
        <v>7569</v>
      </c>
      <c r="J354" s="4">
        <v>319293</v>
      </c>
      <c r="K354" s="4">
        <v>16611</v>
      </c>
      <c r="L354" s="4">
        <v>229</v>
      </c>
      <c r="M354" s="4">
        <v>7609</v>
      </c>
      <c r="N354" s="4">
        <v>2191</v>
      </c>
      <c r="O354" s="4">
        <v>10029</v>
      </c>
      <c r="P354" s="4">
        <v>47</v>
      </c>
      <c r="Q354" s="4">
        <v>2072</v>
      </c>
      <c r="R354" s="4">
        <v>161</v>
      </c>
      <c r="S354" s="4">
        <v>-419</v>
      </c>
      <c r="T354" s="4">
        <v>1861</v>
      </c>
      <c r="U354" s="4">
        <v>-258</v>
      </c>
    </row>
    <row r="355" spans="1:27" ht="15.75" customHeight="1" x14ac:dyDescent="0.3">
      <c r="A355" s="15">
        <v>44244</v>
      </c>
      <c r="B355" s="10">
        <v>33788</v>
      </c>
      <c r="C355" s="10">
        <v>1047676</v>
      </c>
      <c r="D355" s="10">
        <v>162182</v>
      </c>
      <c r="E355" s="10">
        <v>1243646</v>
      </c>
      <c r="F355" s="10">
        <v>5026</v>
      </c>
      <c r="G355" s="10">
        <v>299795</v>
      </c>
      <c r="H355" s="10">
        <v>8467</v>
      </c>
      <c r="I355" s="10">
        <v>7450</v>
      </c>
      <c r="J355" s="10">
        <v>320738</v>
      </c>
      <c r="K355" s="10">
        <v>15917</v>
      </c>
      <c r="L355" s="10">
        <v>192</v>
      </c>
      <c r="M355" s="10">
        <v>8002</v>
      </c>
      <c r="N355" s="10">
        <v>1493</v>
      </c>
      <c r="O355" s="10">
        <v>9687</v>
      </c>
      <c r="P355" s="10">
        <v>39</v>
      </c>
      <c r="Q355" s="10">
        <v>2100</v>
      </c>
      <c r="R355" s="10">
        <v>-575</v>
      </c>
      <c r="S355" s="10">
        <v>-119</v>
      </c>
      <c r="T355" s="10">
        <v>1445</v>
      </c>
      <c r="U355" s="11">
        <v>-694</v>
      </c>
      <c r="V355" s="13"/>
      <c r="W355" s="13"/>
      <c r="X355" s="13"/>
      <c r="Y355" s="13"/>
      <c r="Z355" s="13"/>
      <c r="AA355" s="13"/>
    </row>
    <row r="356" spans="1:27" ht="13.2" x14ac:dyDescent="0.25">
      <c r="A356" s="15">
        <v>44245</v>
      </c>
      <c r="B356" s="4">
        <v>33969</v>
      </c>
      <c r="C356" s="4">
        <v>1058222</v>
      </c>
      <c r="D356" s="4">
        <v>160494</v>
      </c>
      <c r="E356" s="4">
        <v>1252685</v>
      </c>
      <c r="F356" s="4">
        <v>5044</v>
      </c>
      <c r="G356" s="4">
        <v>302451</v>
      </c>
      <c r="H356" s="4">
        <v>7067</v>
      </c>
      <c r="I356" s="4">
        <v>6549</v>
      </c>
      <c r="J356" s="4">
        <v>321111</v>
      </c>
      <c r="K356" s="4">
        <v>13616</v>
      </c>
      <c r="L356" s="4">
        <v>181</v>
      </c>
      <c r="M356" s="4">
        <v>10546</v>
      </c>
      <c r="N356" s="4">
        <v>-1688</v>
      </c>
      <c r="O356" s="4">
        <v>9039</v>
      </c>
      <c r="P356" s="4">
        <v>18</v>
      </c>
      <c r="Q356" s="4">
        <v>2656</v>
      </c>
      <c r="R356" s="4">
        <v>-1400</v>
      </c>
      <c r="S356" s="4">
        <v>-901</v>
      </c>
      <c r="T356" s="4">
        <v>373</v>
      </c>
      <c r="U356" s="4">
        <v>-2301</v>
      </c>
    </row>
    <row r="357" spans="1:27" ht="15.75" customHeight="1" x14ac:dyDescent="0.3">
      <c r="A357" s="15">
        <v>44246</v>
      </c>
      <c r="B357" s="10">
        <v>34152</v>
      </c>
      <c r="C357" s="10">
        <v>1069005</v>
      </c>
      <c r="D357" s="10">
        <v>160142</v>
      </c>
      <c r="E357" s="10">
        <v>1263299</v>
      </c>
      <c r="F357" s="10">
        <v>5081</v>
      </c>
      <c r="G357" s="10">
        <v>304995</v>
      </c>
      <c r="H357" s="10">
        <v>7323</v>
      </c>
      <c r="I357" s="10">
        <v>5632</v>
      </c>
      <c r="J357" s="10">
        <v>323031</v>
      </c>
      <c r="K357" s="10">
        <v>12955</v>
      </c>
      <c r="L357" s="10">
        <v>183</v>
      </c>
      <c r="M357" s="10">
        <v>10783</v>
      </c>
      <c r="N357" s="10">
        <v>-352</v>
      </c>
      <c r="O357" s="10">
        <v>10614</v>
      </c>
      <c r="P357" s="10">
        <v>37</v>
      </c>
      <c r="Q357" s="10">
        <v>2544</v>
      </c>
      <c r="R357" s="10">
        <v>256</v>
      </c>
      <c r="S357" s="10">
        <v>-917</v>
      </c>
      <c r="T357" s="10">
        <v>1920</v>
      </c>
      <c r="U357" s="11">
        <v>-661</v>
      </c>
      <c r="V357" s="13"/>
      <c r="W357" s="13"/>
      <c r="X357" s="13"/>
      <c r="Y357" s="13"/>
      <c r="Z357" s="13"/>
      <c r="AA357" s="13"/>
    </row>
    <row r="358" spans="1:27" ht="15.75" customHeight="1" x14ac:dyDescent="0.3">
      <c r="A358" s="15">
        <v>44247</v>
      </c>
      <c r="B358" s="10">
        <v>34316</v>
      </c>
      <c r="C358" s="10">
        <v>1078840</v>
      </c>
      <c r="D358" s="10">
        <v>158197</v>
      </c>
      <c r="E358" s="10">
        <v>1271353</v>
      </c>
      <c r="F358" s="10">
        <v>5121</v>
      </c>
      <c r="G358" s="10">
        <v>307759</v>
      </c>
      <c r="H358" s="10">
        <v>7165</v>
      </c>
      <c r="I358" s="10">
        <v>5858</v>
      </c>
      <c r="J358" s="10">
        <v>325903</v>
      </c>
      <c r="K358" s="10">
        <v>13023</v>
      </c>
      <c r="L358" s="10">
        <v>164</v>
      </c>
      <c r="M358" s="10">
        <v>9835</v>
      </c>
      <c r="N358" s="10">
        <v>-1945</v>
      </c>
      <c r="O358" s="10">
        <v>8054</v>
      </c>
      <c r="P358" s="10">
        <v>40</v>
      </c>
      <c r="Q358" s="10">
        <v>2764</v>
      </c>
      <c r="R358" s="10">
        <v>-158</v>
      </c>
      <c r="S358" s="10">
        <v>226</v>
      </c>
      <c r="T358" s="10">
        <v>2872</v>
      </c>
      <c r="U358" s="11">
        <v>68</v>
      </c>
      <c r="V358" s="13"/>
      <c r="W358" s="13"/>
      <c r="X358" s="13"/>
      <c r="Y358" s="13"/>
      <c r="Z358" s="13"/>
      <c r="AA358" s="13"/>
    </row>
    <row r="359" spans="1:27" ht="13.2" x14ac:dyDescent="0.25">
      <c r="A359" s="15">
        <v>44248</v>
      </c>
      <c r="B359" s="4">
        <v>34489</v>
      </c>
      <c r="C359" s="4">
        <v>1087076</v>
      </c>
      <c r="D359" s="4">
        <v>157088</v>
      </c>
      <c r="E359" s="4">
        <v>1278653</v>
      </c>
      <c r="F359" s="4">
        <v>5172</v>
      </c>
      <c r="G359" s="4">
        <v>310412</v>
      </c>
      <c r="H359" s="4">
        <v>7137</v>
      </c>
      <c r="I359" s="4">
        <v>5902</v>
      </c>
      <c r="J359" s="4">
        <v>328623</v>
      </c>
      <c r="K359" s="4">
        <v>13039</v>
      </c>
      <c r="L359" s="4">
        <v>173</v>
      </c>
      <c r="M359" s="4">
        <v>8236</v>
      </c>
      <c r="N359" s="4">
        <v>-1109</v>
      </c>
      <c r="O359" s="4">
        <v>7300</v>
      </c>
      <c r="P359" s="4">
        <v>51</v>
      </c>
      <c r="Q359" s="4">
        <v>2653</v>
      </c>
      <c r="R359" s="4">
        <v>-28</v>
      </c>
      <c r="S359" s="4">
        <v>44</v>
      </c>
      <c r="T359" s="4">
        <v>2720</v>
      </c>
      <c r="U359" s="4">
        <v>16</v>
      </c>
    </row>
    <row r="360" spans="1:27" ht="13.2" x14ac:dyDescent="0.25">
      <c r="A360" s="15">
        <v>44249</v>
      </c>
      <c r="B360" s="4">
        <v>34691</v>
      </c>
      <c r="C360" s="4">
        <v>1096994</v>
      </c>
      <c r="D360" s="4">
        <v>157148</v>
      </c>
      <c r="E360" s="4">
        <v>1288833</v>
      </c>
      <c r="F360" s="4">
        <v>5206</v>
      </c>
      <c r="G360" s="4">
        <v>312748</v>
      </c>
      <c r="H360" s="4">
        <v>7528</v>
      </c>
      <c r="I360" s="4">
        <v>5612</v>
      </c>
      <c r="J360" s="4">
        <v>331094</v>
      </c>
      <c r="K360" s="4">
        <v>13140</v>
      </c>
      <c r="L360" s="4">
        <v>202</v>
      </c>
      <c r="M360" s="4">
        <v>9918</v>
      </c>
      <c r="N360" s="4">
        <v>60</v>
      </c>
      <c r="O360" s="4">
        <v>10180</v>
      </c>
      <c r="P360" s="4">
        <v>34</v>
      </c>
      <c r="Q360" s="4">
        <v>2336</v>
      </c>
      <c r="R360" s="4">
        <v>391</v>
      </c>
      <c r="S360" s="4">
        <v>-290</v>
      </c>
      <c r="T360" s="4">
        <v>2471</v>
      </c>
      <c r="U360" s="4">
        <v>101</v>
      </c>
    </row>
    <row r="361" spans="1:27" ht="13.2" x14ac:dyDescent="0.25">
      <c r="A361" s="15">
        <v>44250</v>
      </c>
      <c r="B361" s="4">
        <v>35014</v>
      </c>
      <c r="C361" s="4">
        <v>1104990</v>
      </c>
      <c r="D361" s="4">
        <v>158604</v>
      </c>
      <c r="E361" s="4">
        <v>1298608</v>
      </c>
      <c r="F361" s="4">
        <v>5248</v>
      </c>
      <c r="G361" s="4">
        <v>314563</v>
      </c>
      <c r="H361" s="4">
        <v>7126</v>
      </c>
      <c r="I361" s="4">
        <v>4939</v>
      </c>
      <c r="J361" s="4">
        <v>331876</v>
      </c>
      <c r="K361" s="4">
        <v>12065</v>
      </c>
      <c r="L361" s="4">
        <v>323</v>
      </c>
      <c r="M361" s="4">
        <v>7996</v>
      </c>
      <c r="N361" s="4">
        <v>1456</v>
      </c>
      <c r="O361" s="4">
        <v>9775</v>
      </c>
      <c r="P361" s="4">
        <v>42</v>
      </c>
      <c r="Q361" s="4">
        <v>1815</v>
      </c>
      <c r="R361" s="4">
        <v>-402</v>
      </c>
      <c r="S361" s="4">
        <v>-673</v>
      </c>
      <c r="T361" s="4">
        <v>782</v>
      </c>
      <c r="U361" s="4">
        <v>-1075</v>
      </c>
    </row>
    <row r="362" spans="1:27" ht="13.2" x14ac:dyDescent="0.25">
      <c r="A362" s="15">
        <v>44251</v>
      </c>
      <c r="B362" s="4">
        <v>35254</v>
      </c>
      <c r="C362" s="4">
        <v>1112725</v>
      </c>
      <c r="D362" s="4">
        <v>158162</v>
      </c>
      <c r="E362" s="4">
        <v>1306141</v>
      </c>
      <c r="F362" s="4">
        <v>5301</v>
      </c>
      <c r="G362" s="4">
        <v>317003</v>
      </c>
      <c r="H362" s="4">
        <v>6008</v>
      </c>
      <c r="I362" s="4">
        <v>4346</v>
      </c>
      <c r="J362" s="4">
        <v>332658</v>
      </c>
      <c r="K362" s="4">
        <v>10354</v>
      </c>
      <c r="L362" s="4">
        <v>240</v>
      </c>
      <c r="M362" s="4">
        <v>7735</v>
      </c>
      <c r="N362" s="4">
        <v>-442</v>
      </c>
      <c r="O362" s="4">
        <v>7533</v>
      </c>
      <c r="P362" s="4">
        <v>53</v>
      </c>
      <c r="Q362" s="4">
        <v>2440</v>
      </c>
      <c r="R362" s="4">
        <v>-1118</v>
      </c>
      <c r="S362" s="4">
        <v>-593</v>
      </c>
      <c r="T362" s="4">
        <v>782</v>
      </c>
      <c r="U362" s="4">
        <v>-1711</v>
      </c>
    </row>
    <row r="363" spans="1:27" ht="15.75" customHeight="1" x14ac:dyDescent="0.3">
      <c r="A363" s="15">
        <v>44252</v>
      </c>
      <c r="B363" s="10">
        <v>35518</v>
      </c>
      <c r="C363" s="10">
        <v>1121411</v>
      </c>
      <c r="D363" s="10">
        <v>157705</v>
      </c>
      <c r="E363" s="10">
        <v>1314634</v>
      </c>
      <c r="F363" s="10">
        <v>5346</v>
      </c>
      <c r="G363" s="10">
        <v>319326</v>
      </c>
      <c r="H363" s="10">
        <v>5499</v>
      </c>
      <c r="I363" s="10">
        <v>4068</v>
      </c>
      <c r="J363" s="10">
        <v>334239</v>
      </c>
      <c r="K363" s="10">
        <v>9567</v>
      </c>
      <c r="L363" s="10">
        <v>264</v>
      </c>
      <c r="M363" s="10">
        <v>8686</v>
      </c>
      <c r="N363" s="10">
        <v>-457</v>
      </c>
      <c r="O363" s="10">
        <v>8493</v>
      </c>
      <c r="P363" s="10">
        <v>45</v>
      </c>
      <c r="Q363" s="10">
        <v>2323</v>
      </c>
      <c r="R363" s="10">
        <v>-509</v>
      </c>
      <c r="S363" s="10">
        <v>-278</v>
      </c>
      <c r="T363" s="10">
        <v>1581</v>
      </c>
      <c r="U363" s="11">
        <v>-787</v>
      </c>
      <c r="V363" s="13"/>
      <c r="W363" s="13"/>
      <c r="X363" s="13"/>
      <c r="Y363" s="13"/>
      <c r="Z363" s="13"/>
      <c r="AA363" s="13"/>
    </row>
    <row r="364" spans="1:27" ht="13.2" x14ac:dyDescent="0.25">
      <c r="A364" s="15">
        <v>44253</v>
      </c>
      <c r="B364" s="21">
        <v>35786</v>
      </c>
      <c r="C364" s="21">
        <v>1128672</v>
      </c>
      <c r="D364" s="4">
        <v>158408</v>
      </c>
      <c r="E364" s="4">
        <v>1322866</v>
      </c>
      <c r="F364" s="4">
        <v>5385</v>
      </c>
      <c r="G364" s="4">
        <v>321038</v>
      </c>
      <c r="H364" s="4">
        <v>5560</v>
      </c>
      <c r="I364" s="4">
        <v>3917</v>
      </c>
      <c r="J364" s="4">
        <v>335900</v>
      </c>
      <c r="K364" s="4">
        <v>9477</v>
      </c>
      <c r="L364" s="21">
        <v>268</v>
      </c>
      <c r="M364" s="21">
        <v>7261</v>
      </c>
      <c r="N364" s="21">
        <v>703</v>
      </c>
      <c r="O364" s="21">
        <v>8232</v>
      </c>
      <c r="P364" s="21">
        <v>39</v>
      </c>
      <c r="Q364" s="21">
        <v>1712</v>
      </c>
      <c r="R364" s="21">
        <v>61</v>
      </c>
      <c r="S364" s="21">
        <v>-151</v>
      </c>
      <c r="T364" s="21">
        <v>1661</v>
      </c>
      <c r="U364" s="21">
        <v>-90</v>
      </c>
    </row>
    <row r="365" spans="1:27" ht="15.75" customHeight="1" x14ac:dyDescent="0.3">
      <c r="A365" s="15">
        <v>44254</v>
      </c>
      <c r="B365" s="10">
        <v>35981</v>
      </c>
      <c r="C365" s="10">
        <v>1136054</v>
      </c>
      <c r="D365" s="10">
        <v>157039</v>
      </c>
      <c r="E365" s="10">
        <v>1329074</v>
      </c>
      <c r="F365" s="10">
        <v>5439</v>
      </c>
      <c r="G365" s="10">
        <v>322285</v>
      </c>
      <c r="H365" s="10">
        <v>5885</v>
      </c>
      <c r="I365" s="10">
        <v>4028</v>
      </c>
      <c r="J365" s="10">
        <v>337637</v>
      </c>
      <c r="K365" s="10">
        <v>9913</v>
      </c>
      <c r="L365" s="10">
        <v>195</v>
      </c>
      <c r="M365" s="10">
        <v>7382</v>
      </c>
      <c r="N365" s="10">
        <v>-1369</v>
      </c>
      <c r="O365" s="10">
        <v>6208</v>
      </c>
      <c r="P365" s="10">
        <v>54</v>
      </c>
      <c r="Q365" s="10">
        <v>1247</v>
      </c>
      <c r="R365" s="10">
        <v>325</v>
      </c>
      <c r="S365" s="10">
        <v>111</v>
      </c>
      <c r="T365" s="10">
        <v>1737</v>
      </c>
      <c r="U365" s="11">
        <v>436</v>
      </c>
      <c r="V365" s="13"/>
      <c r="W365" s="13"/>
      <c r="X365" s="13"/>
      <c r="Y365" s="13"/>
      <c r="Z365" s="13"/>
      <c r="AA365" s="13"/>
    </row>
    <row r="366" spans="1:27" ht="13.2" x14ac:dyDescent="0.25">
      <c r="A366" s="15">
        <v>44255</v>
      </c>
      <c r="B366" s="4">
        <v>36166</v>
      </c>
      <c r="C366" s="4">
        <v>1142703</v>
      </c>
      <c r="D366" s="4">
        <v>155765</v>
      </c>
      <c r="E366" s="4">
        <v>1334634</v>
      </c>
      <c r="F366" s="4">
        <v>5478</v>
      </c>
      <c r="G366" s="4">
        <v>323892</v>
      </c>
      <c r="H366" s="4">
        <v>5940</v>
      </c>
      <c r="I366" s="4">
        <v>4425</v>
      </c>
      <c r="J366" s="4">
        <v>339735</v>
      </c>
      <c r="K366" s="4">
        <v>10365</v>
      </c>
      <c r="L366" s="4">
        <v>185</v>
      </c>
      <c r="M366" s="4">
        <v>6649</v>
      </c>
      <c r="N366" s="4">
        <v>-1274</v>
      </c>
      <c r="O366" s="4">
        <v>5560</v>
      </c>
      <c r="P366" s="4">
        <v>39</v>
      </c>
      <c r="Q366" s="4">
        <v>1607</v>
      </c>
      <c r="R366" s="4">
        <v>55</v>
      </c>
      <c r="S366" s="4">
        <v>397</v>
      </c>
      <c r="T366" s="4">
        <v>2098</v>
      </c>
      <c r="U366" s="4">
        <v>452</v>
      </c>
    </row>
    <row r="367" spans="1:27" ht="15.75" customHeight="1" x14ac:dyDescent="0.3">
      <c r="A367" s="15">
        <v>44256</v>
      </c>
      <c r="B367" s="4">
        <v>36325</v>
      </c>
      <c r="C367" s="4">
        <v>1151915</v>
      </c>
      <c r="D367" s="4">
        <v>153074</v>
      </c>
      <c r="E367" s="4">
        <v>1341314</v>
      </c>
      <c r="F367" s="4">
        <v>5528</v>
      </c>
      <c r="G367" s="22">
        <v>326509</v>
      </c>
      <c r="H367" s="22">
        <v>5891</v>
      </c>
      <c r="I367" s="4">
        <v>3865</v>
      </c>
      <c r="J367" s="22">
        <v>341793</v>
      </c>
      <c r="K367" s="4">
        <v>9756</v>
      </c>
      <c r="L367" s="21">
        <v>159</v>
      </c>
      <c r="M367" s="21">
        <v>9212</v>
      </c>
      <c r="N367" s="21">
        <v>-2691</v>
      </c>
      <c r="O367" s="21">
        <v>6680</v>
      </c>
      <c r="P367" s="11">
        <v>50</v>
      </c>
      <c r="Q367" s="11">
        <v>2617</v>
      </c>
      <c r="R367" s="11">
        <v>-49</v>
      </c>
      <c r="S367" s="11">
        <v>-560</v>
      </c>
      <c r="T367" s="11">
        <v>2058</v>
      </c>
      <c r="U367" s="11">
        <v>-609</v>
      </c>
    </row>
    <row r="368" spans="1:27" ht="15.75" customHeight="1" x14ac:dyDescent="0.3">
      <c r="A368" s="15">
        <v>44257</v>
      </c>
      <c r="B368" s="23">
        <v>36518</v>
      </c>
      <c r="C368" s="23">
        <v>1160863</v>
      </c>
      <c r="D368" s="23">
        <v>149645</v>
      </c>
      <c r="E368" s="23">
        <v>1347026</v>
      </c>
      <c r="F368" s="10">
        <v>5568</v>
      </c>
      <c r="G368" s="10">
        <v>328526</v>
      </c>
      <c r="H368" s="10">
        <v>5072</v>
      </c>
      <c r="I368" s="10">
        <v>3205</v>
      </c>
      <c r="J368" s="10">
        <v>342371</v>
      </c>
      <c r="K368" s="10">
        <v>8277</v>
      </c>
      <c r="L368" s="11">
        <v>193</v>
      </c>
      <c r="M368" s="11">
        <v>8948</v>
      </c>
      <c r="N368" s="11">
        <v>-3429</v>
      </c>
      <c r="O368" s="11">
        <v>5712</v>
      </c>
      <c r="P368" s="11">
        <v>40</v>
      </c>
      <c r="Q368" s="11">
        <v>2017</v>
      </c>
      <c r="R368" s="11">
        <v>-819</v>
      </c>
      <c r="S368" s="11">
        <v>-660</v>
      </c>
      <c r="T368" s="11">
        <v>578</v>
      </c>
      <c r="U368" s="11">
        <v>-1479</v>
      </c>
    </row>
    <row r="369" spans="1:27" ht="15.75" customHeight="1" x14ac:dyDescent="0.3">
      <c r="A369" s="15">
        <v>44258</v>
      </c>
      <c r="B369" s="4">
        <v>36721</v>
      </c>
      <c r="C369" s="4">
        <v>1169916</v>
      </c>
      <c r="D369" s="4">
        <v>147197</v>
      </c>
      <c r="E369" s="4">
        <v>1353834</v>
      </c>
      <c r="F369" s="11">
        <v>5613</v>
      </c>
      <c r="G369" s="11">
        <v>331016</v>
      </c>
      <c r="H369" s="11">
        <v>3742</v>
      </c>
      <c r="I369" s="11">
        <v>3437</v>
      </c>
      <c r="J369" s="24">
        <v>343808</v>
      </c>
      <c r="K369" s="11">
        <v>7179</v>
      </c>
      <c r="L369" s="4">
        <v>203</v>
      </c>
      <c r="M369" s="4">
        <v>9053</v>
      </c>
      <c r="N369" s="4">
        <v>-2448</v>
      </c>
      <c r="O369" s="4">
        <v>6808</v>
      </c>
      <c r="P369" s="4">
        <v>45</v>
      </c>
      <c r="Q369" s="4">
        <v>2490</v>
      </c>
      <c r="R369" s="4">
        <v>-1330</v>
      </c>
      <c r="S369" s="4">
        <v>232</v>
      </c>
      <c r="T369" s="4">
        <v>1437</v>
      </c>
      <c r="U369" s="4">
        <v>-1098</v>
      </c>
    </row>
    <row r="370" spans="1:27" ht="15.75" customHeight="1" x14ac:dyDescent="0.3">
      <c r="A370" s="15">
        <v>44259</v>
      </c>
      <c r="B370" s="4">
        <v>36897</v>
      </c>
      <c r="C370" s="4">
        <v>1176356</v>
      </c>
      <c r="D370" s="4">
        <v>147845</v>
      </c>
      <c r="E370" s="4">
        <v>1361098</v>
      </c>
      <c r="F370" s="10">
        <v>5657</v>
      </c>
      <c r="G370" s="10">
        <v>332758</v>
      </c>
      <c r="H370" s="10">
        <v>3940</v>
      </c>
      <c r="I370" s="10">
        <v>3461</v>
      </c>
      <c r="J370" s="10">
        <v>345816</v>
      </c>
      <c r="K370" s="10">
        <v>7401</v>
      </c>
      <c r="L370" s="4">
        <v>176</v>
      </c>
      <c r="M370" s="4">
        <v>6440</v>
      </c>
      <c r="N370" s="4">
        <v>648</v>
      </c>
      <c r="O370" s="4">
        <v>7264</v>
      </c>
      <c r="P370" s="11">
        <v>44</v>
      </c>
      <c r="Q370" s="11">
        <v>1742</v>
      </c>
      <c r="R370" s="11">
        <v>198</v>
      </c>
      <c r="S370" s="11">
        <v>24</v>
      </c>
      <c r="T370" s="11">
        <v>2008</v>
      </c>
      <c r="U370" s="11">
        <v>222</v>
      </c>
    </row>
    <row r="371" spans="1:27" ht="13.2" x14ac:dyDescent="0.25">
      <c r="A371" s="15">
        <v>44260</v>
      </c>
      <c r="B371" s="4">
        <v>37026</v>
      </c>
      <c r="C371" s="4">
        <v>1182687</v>
      </c>
      <c r="D371" s="5">
        <v>148380</v>
      </c>
      <c r="E371" s="5">
        <v>1368093</v>
      </c>
      <c r="F371" s="4">
        <v>5702</v>
      </c>
      <c r="G371" s="4">
        <v>334100</v>
      </c>
      <c r="H371" s="4">
        <v>4026</v>
      </c>
      <c r="I371" s="4">
        <v>3147</v>
      </c>
      <c r="J371" s="4">
        <v>346975</v>
      </c>
      <c r="K371" s="4">
        <v>7173</v>
      </c>
      <c r="L371" s="4">
        <v>129</v>
      </c>
      <c r="M371" s="4">
        <v>6331</v>
      </c>
      <c r="N371" s="4">
        <v>535</v>
      </c>
      <c r="O371" s="4">
        <v>6995</v>
      </c>
      <c r="P371" s="4">
        <v>45</v>
      </c>
      <c r="Q371" s="4">
        <v>1342</v>
      </c>
      <c r="R371" s="4">
        <v>86</v>
      </c>
      <c r="S371" s="4">
        <v>-314</v>
      </c>
      <c r="T371" s="4">
        <v>1159</v>
      </c>
      <c r="U371" s="4">
        <v>-228</v>
      </c>
    </row>
    <row r="372" spans="1:27" ht="15.75" customHeight="1" x14ac:dyDescent="0.3">
      <c r="A372" s="15">
        <v>44261</v>
      </c>
      <c r="B372" s="10">
        <v>37154</v>
      </c>
      <c r="C372" s="10">
        <v>1189510</v>
      </c>
      <c r="D372" s="10">
        <v>147172</v>
      </c>
      <c r="E372" s="10">
        <v>1373836</v>
      </c>
      <c r="F372" s="10">
        <v>5748</v>
      </c>
      <c r="G372" s="10">
        <v>335617</v>
      </c>
      <c r="H372" s="10">
        <v>4228</v>
      </c>
      <c r="I372" s="10">
        <v>2998</v>
      </c>
      <c r="J372" s="10">
        <v>348591</v>
      </c>
      <c r="K372" s="10">
        <v>7226</v>
      </c>
      <c r="L372" s="10">
        <v>128</v>
      </c>
      <c r="M372" s="10">
        <v>6823</v>
      </c>
      <c r="N372" s="10">
        <v>-1208</v>
      </c>
      <c r="O372" s="10">
        <v>5743</v>
      </c>
      <c r="P372" s="10">
        <v>46</v>
      </c>
      <c r="Q372" s="10">
        <v>1517</v>
      </c>
      <c r="R372" s="10">
        <v>202</v>
      </c>
      <c r="S372" s="10">
        <v>-149</v>
      </c>
      <c r="T372" s="10">
        <v>1616</v>
      </c>
      <c r="U372" s="11">
        <v>53</v>
      </c>
      <c r="V372" s="13"/>
      <c r="W372" s="13"/>
      <c r="X372" s="13"/>
      <c r="Y372" s="13"/>
      <c r="Z372" s="13"/>
      <c r="AA372" s="13"/>
    </row>
    <row r="373" spans="1:27" ht="13.2" x14ac:dyDescent="0.25">
      <c r="A373" s="15">
        <v>44262</v>
      </c>
      <c r="B373" s="4">
        <v>37266</v>
      </c>
      <c r="C373" s="4">
        <v>1194656</v>
      </c>
      <c r="D373" s="4">
        <v>147740</v>
      </c>
      <c r="E373" s="4">
        <v>1379662</v>
      </c>
      <c r="F373" s="4">
        <v>5790</v>
      </c>
      <c r="G373" s="4">
        <v>337426</v>
      </c>
      <c r="H373" s="4">
        <v>4194</v>
      </c>
      <c r="I373" s="4">
        <v>3015</v>
      </c>
      <c r="J373" s="4">
        <v>350425</v>
      </c>
      <c r="K373" s="4">
        <v>7209</v>
      </c>
      <c r="L373" s="4">
        <v>112</v>
      </c>
      <c r="M373" s="4">
        <v>5146</v>
      </c>
      <c r="N373" s="4">
        <v>568</v>
      </c>
      <c r="O373" s="4">
        <v>5826</v>
      </c>
      <c r="P373" s="4">
        <v>42</v>
      </c>
      <c r="Q373" s="4">
        <v>1809</v>
      </c>
      <c r="R373" s="4">
        <v>-34</v>
      </c>
      <c r="S373" s="4">
        <v>17</v>
      </c>
      <c r="T373" s="4">
        <v>1834</v>
      </c>
      <c r="U373" s="4">
        <v>-17</v>
      </c>
    </row>
    <row r="374" spans="1:27" ht="13.2" x14ac:dyDescent="0.25">
      <c r="A374" s="15">
        <v>44263</v>
      </c>
      <c r="B374" s="4">
        <v>37547</v>
      </c>
      <c r="C374" s="4">
        <v>1203381</v>
      </c>
      <c r="D374" s="4">
        <v>145628</v>
      </c>
      <c r="E374" s="4">
        <v>1386556</v>
      </c>
      <c r="F374" s="4">
        <v>5838</v>
      </c>
      <c r="G374" s="4">
        <v>338931</v>
      </c>
      <c r="H374" s="4">
        <v>4494</v>
      </c>
      <c r="I374" s="4">
        <v>2945</v>
      </c>
      <c r="J374" s="4">
        <v>352208</v>
      </c>
      <c r="K374" s="4">
        <v>7439</v>
      </c>
      <c r="L374" s="4">
        <v>281</v>
      </c>
      <c r="M374" s="4">
        <v>8725</v>
      </c>
      <c r="N374" s="4">
        <v>-2112</v>
      </c>
      <c r="O374" s="4">
        <v>6894</v>
      </c>
      <c r="P374" s="4">
        <v>48</v>
      </c>
      <c r="Q374" s="4">
        <v>1505</v>
      </c>
      <c r="R374" s="4">
        <v>300</v>
      </c>
      <c r="S374" s="4">
        <v>-70</v>
      </c>
      <c r="T374" s="4">
        <v>1783</v>
      </c>
      <c r="U374" s="4">
        <v>230</v>
      </c>
    </row>
    <row r="375" spans="1:27" ht="13.2" x14ac:dyDescent="0.25">
      <c r="A375" s="15">
        <v>44264</v>
      </c>
      <c r="B375" s="4">
        <v>37757</v>
      </c>
      <c r="C375" s="4">
        <v>1210877</v>
      </c>
      <c r="D375" s="4">
        <v>144311</v>
      </c>
      <c r="E375" s="4">
        <v>1392945</v>
      </c>
      <c r="F375" s="4">
        <v>5883</v>
      </c>
      <c r="G375" s="4">
        <v>340587</v>
      </c>
      <c r="H375" s="4">
        <v>3856</v>
      </c>
      <c r="I375" s="4">
        <v>2749</v>
      </c>
      <c r="J375" s="4">
        <v>353075</v>
      </c>
      <c r="K375" s="4">
        <v>6605</v>
      </c>
      <c r="L375" s="4">
        <v>210</v>
      </c>
      <c r="M375" s="4">
        <v>7496</v>
      </c>
      <c r="N375" s="4">
        <v>-1317</v>
      </c>
      <c r="O375" s="4">
        <v>6389</v>
      </c>
      <c r="P375" s="4">
        <v>45</v>
      </c>
      <c r="Q375" s="4">
        <v>1656</v>
      </c>
      <c r="R375" s="4">
        <v>-638</v>
      </c>
      <c r="S375" s="4">
        <v>-196</v>
      </c>
      <c r="T375" s="4">
        <v>867</v>
      </c>
      <c r="U375" s="4">
        <v>-834</v>
      </c>
    </row>
    <row r="376" spans="1:27" ht="15.75" customHeight="1" x14ac:dyDescent="0.3">
      <c r="A376" s="15">
        <v>44265</v>
      </c>
      <c r="B376" s="4">
        <v>37932</v>
      </c>
      <c r="C376" s="4">
        <v>1216433</v>
      </c>
      <c r="D376" s="4">
        <v>144213</v>
      </c>
      <c r="E376" s="4">
        <v>1398578</v>
      </c>
      <c r="F376" s="4">
        <v>5923</v>
      </c>
      <c r="G376" s="22">
        <v>341398</v>
      </c>
      <c r="H376" s="22">
        <v>3691</v>
      </c>
      <c r="I376" s="22">
        <v>3103</v>
      </c>
      <c r="J376" s="22">
        <v>354115</v>
      </c>
      <c r="K376" s="10">
        <v>6794</v>
      </c>
      <c r="L376" s="21">
        <v>175</v>
      </c>
      <c r="M376" s="21">
        <v>5556</v>
      </c>
      <c r="N376" s="21">
        <v>-98</v>
      </c>
      <c r="O376" s="21">
        <v>5633</v>
      </c>
      <c r="P376" s="21">
        <v>40</v>
      </c>
      <c r="Q376" s="21">
        <v>811</v>
      </c>
      <c r="R376" s="21">
        <v>-165</v>
      </c>
      <c r="S376" s="21">
        <v>354</v>
      </c>
      <c r="T376" s="21">
        <v>1040</v>
      </c>
      <c r="U376" s="21">
        <v>189</v>
      </c>
    </row>
    <row r="377" spans="1:27" ht="15.75" customHeight="1" x14ac:dyDescent="0.3">
      <c r="A377" s="15">
        <v>44266</v>
      </c>
      <c r="B377" s="10">
        <v>38049</v>
      </c>
      <c r="C377" s="10">
        <v>1224603</v>
      </c>
      <c r="D377" s="10">
        <v>141070</v>
      </c>
      <c r="E377" s="10">
        <v>1403722</v>
      </c>
      <c r="F377" s="10">
        <v>5943</v>
      </c>
      <c r="G377" s="10">
        <v>342306</v>
      </c>
      <c r="H377" s="10">
        <v>4253</v>
      </c>
      <c r="I377" s="10">
        <v>3367</v>
      </c>
      <c r="J377" s="10">
        <v>355869</v>
      </c>
      <c r="K377" s="10">
        <v>7620</v>
      </c>
      <c r="L377" s="10">
        <v>117</v>
      </c>
      <c r="M377" s="10">
        <v>8170</v>
      </c>
      <c r="N377" s="10">
        <v>-3143</v>
      </c>
      <c r="O377" s="10">
        <v>5144</v>
      </c>
      <c r="P377" s="10">
        <v>20</v>
      </c>
      <c r="Q377" s="10">
        <v>908</v>
      </c>
      <c r="R377" s="10">
        <v>562</v>
      </c>
      <c r="S377" s="10">
        <v>264</v>
      </c>
      <c r="T377" s="10">
        <v>1754</v>
      </c>
      <c r="U377" s="11">
        <v>826</v>
      </c>
      <c r="V377" s="13"/>
      <c r="W377" s="13"/>
      <c r="X377" s="13"/>
      <c r="Y377" s="13"/>
      <c r="Z377" s="13"/>
      <c r="AA377" s="13"/>
    </row>
    <row r="378" spans="1:27" ht="13.2" x14ac:dyDescent="0.25">
      <c r="A378" s="15">
        <v>44267</v>
      </c>
      <c r="B378" s="4">
        <v>38229</v>
      </c>
      <c r="C378" s="4">
        <v>1231454</v>
      </c>
      <c r="D378" s="4">
        <v>140451</v>
      </c>
      <c r="E378" s="4">
        <v>1410134</v>
      </c>
      <c r="F378" s="4">
        <v>5969</v>
      </c>
      <c r="G378" s="4">
        <v>343351</v>
      </c>
      <c r="H378" s="4">
        <v>4670</v>
      </c>
      <c r="I378" s="4">
        <v>3752</v>
      </c>
      <c r="J378" s="4">
        <v>357742</v>
      </c>
      <c r="K378" s="4">
        <v>8422</v>
      </c>
      <c r="L378" s="4">
        <v>180</v>
      </c>
      <c r="M378" s="4">
        <v>6851</v>
      </c>
      <c r="N378" s="4">
        <v>-619</v>
      </c>
      <c r="O378" s="4">
        <v>6412</v>
      </c>
      <c r="P378" s="4">
        <v>26</v>
      </c>
      <c r="Q378" s="4">
        <v>1045</v>
      </c>
      <c r="R378" s="4">
        <v>417</v>
      </c>
      <c r="S378" s="4">
        <v>385</v>
      </c>
      <c r="T378" s="4">
        <v>1873</v>
      </c>
      <c r="U378" s="4">
        <v>802</v>
      </c>
    </row>
    <row r="379" spans="1:27" ht="15.75" customHeight="1" x14ac:dyDescent="0.3">
      <c r="A379" s="15">
        <v>44268</v>
      </c>
      <c r="B379" s="10">
        <v>38329</v>
      </c>
      <c r="C379" s="10">
        <v>1237470</v>
      </c>
      <c r="D379" s="10">
        <v>138942</v>
      </c>
      <c r="E379" s="10">
        <v>1414741</v>
      </c>
      <c r="F379" s="10">
        <v>5991</v>
      </c>
      <c r="G379" s="10">
        <v>345202</v>
      </c>
      <c r="H379" s="10">
        <v>4226</v>
      </c>
      <c r="I379" s="10">
        <v>3357</v>
      </c>
      <c r="J379" s="10">
        <v>358776</v>
      </c>
      <c r="K379" s="10">
        <v>7583</v>
      </c>
      <c r="L379" s="10">
        <v>100</v>
      </c>
      <c r="M379" s="10">
        <v>6016</v>
      </c>
      <c r="N379" s="10">
        <v>-1509</v>
      </c>
      <c r="O379" s="10">
        <v>4607</v>
      </c>
      <c r="P379" s="10">
        <v>22</v>
      </c>
      <c r="Q379" s="10">
        <v>1851</v>
      </c>
      <c r="R379" s="10">
        <v>-444</v>
      </c>
      <c r="S379" s="10">
        <v>-395</v>
      </c>
      <c r="T379" s="10">
        <v>1034</v>
      </c>
      <c r="U379" s="11">
        <v>-839</v>
      </c>
      <c r="V379" s="13"/>
      <c r="W379" s="13"/>
      <c r="X379" s="13"/>
      <c r="Y379" s="13"/>
      <c r="Z379" s="13"/>
      <c r="AA379" s="13"/>
    </row>
    <row r="380" spans="1:27" ht="13.2" x14ac:dyDescent="0.25">
      <c r="A380" s="15">
        <v>44269</v>
      </c>
      <c r="B380" s="21">
        <v>38426</v>
      </c>
      <c r="C380" s="21">
        <v>1243117</v>
      </c>
      <c r="D380" s="21">
        <v>137912</v>
      </c>
      <c r="E380" s="21">
        <v>1419455</v>
      </c>
      <c r="F380" s="21">
        <v>6026</v>
      </c>
      <c r="G380" s="21">
        <v>347210</v>
      </c>
      <c r="H380" s="21">
        <v>3443</v>
      </c>
      <c r="I380" s="21">
        <v>3301</v>
      </c>
      <c r="J380" s="21">
        <v>359980</v>
      </c>
      <c r="K380" s="21">
        <v>6744</v>
      </c>
      <c r="L380" s="21">
        <v>97</v>
      </c>
      <c r="M380" s="21">
        <v>5647</v>
      </c>
      <c r="N380" s="21">
        <v>-1030</v>
      </c>
      <c r="O380" s="21">
        <v>4714</v>
      </c>
      <c r="P380" s="21">
        <v>35</v>
      </c>
      <c r="Q380" s="21">
        <v>2008</v>
      </c>
      <c r="R380" s="21">
        <v>-783</v>
      </c>
      <c r="S380" s="21">
        <v>-56</v>
      </c>
      <c r="T380" s="21">
        <v>1204</v>
      </c>
      <c r="U380" s="21">
        <v>-839</v>
      </c>
    </row>
    <row r="381" spans="1:27" ht="13.2" x14ac:dyDescent="0.25">
      <c r="A381" s="15">
        <v>44270</v>
      </c>
      <c r="B381" s="4">
        <v>38573</v>
      </c>
      <c r="C381" s="4">
        <v>1249947</v>
      </c>
      <c r="D381" s="4">
        <v>136524</v>
      </c>
      <c r="E381" s="4">
        <v>1425044</v>
      </c>
      <c r="F381" s="4">
        <v>6038</v>
      </c>
      <c r="G381" s="4">
        <v>349002</v>
      </c>
      <c r="H381" s="4">
        <v>3485</v>
      </c>
      <c r="I381" s="4">
        <v>3010</v>
      </c>
      <c r="J381" s="4">
        <v>361535</v>
      </c>
      <c r="K381" s="4">
        <v>6495</v>
      </c>
      <c r="L381" s="4">
        <v>147</v>
      </c>
      <c r="M381" s="4">
        <v>6830</v>
      </c>
      <c r="N381" s="4">
        <v>-1388</v>
      </c>
      <c r="O381" s="4">
        <v>5589</v>
      </c>
      <c r="P381" s="4">
        <v>12</v>
      </c>
      <c r="Q381" s="4">
        <v>1792</v>
      </c>
      <c r="R381" s="4">
        <v>42</v>
      </c>
      <c r="S381" s="4">
        <v>-291</v>
      </c>
      <c r="T381" s="4">
        <v>1555</v>
      </c>
      <c r="U381" s="4">
        <v>-249</v>
      </c>
    </row>
    <row r="382" spans="1:27" ht="13.2" x14ac:dyDescent="0.25">
      <c r="A382" s="15">
        <v>44271</v>
      </c>
      <c r="B382" s="4">
        <v>38753</v>
      </c>
      <c r="C382" s="4">
        <v>1257663</v>
      </c>
      <c r="D382" s="4">
        <v>134042</v>
      </c>
      <c r="E382" s="4">
        <v>1430458</v>
      </c>
      <c r="F382" s="4">
        <v>6062</v>
      </c>
      <c r="G382" s="4">
        <v>350561</v>
      </c>
      <c r="H382" s="4">
        <v>2996</v>
      </c>
      <c r="I382" s="4">
        <v>2751</v>
      </c>
      <c r="J382" s="4">
        <v>362370</v>
      </c>
      <c r="K382" s="4">
        <v>5747</v>
      </c>
      <c r="L382" s="4">
        <v>180</v>
      </c>
      <c r="M382" s="4">
        <v>7716</v>
      </c>
      <c r="N382" s="4">
        <v>-2482</v>
      </c>
      <c r="O382" s="4">
        <v>5414</v>
      </c>
      <c r="P382" s="4">
        <v>24</v>
      </c>
      <c r="Q382" s="4">
        <v>1559</v>
      </c>
      <c r="R382" s="4">
        <v>-489</v>
      </c>
      <c r="S382" s="4">
        <v>-259</v>
      </c>
      <c r="T382" s="4">
        <v>835</v>
      </c>
      <c r="U382" s="4">
        <v>-748</v>
      </c>
    </row>
    <row r="383" spans="1:27" ht="13.2" x14ac:dyDescent="0.25">
      <c r="A383" s="15">
        <v>44272</v>
      </c>
      <c r="B383" s="21">
        <v>38915</v>
      </c>
      <c r="C383" s="21">
        <v>1266673</v>
      </c>
      <c r="D383" s="21">
        <v>131695</v>
      </c>
      <c r="E383" s="21">
        <v>1437283</v>
      </c>
      <c r="F383" s="21">
        <v>6077</v>
      </c>
      <c r="G383" s="21">
        <v>351680</v>
      </c>
      <c r="H383" s="21">
        <v>2907</v>
      </c>
      <c r="I383" s="21">
        <v>3036</v>
      </c>
      <c r="J383" s="21">
        <v>363700</v>
      </c>
      <c r="K383" s="21">
        <v>5943</v>
      </c>
      <c r="L383" s="21">
        <v>162</v>
      </c>
      <c r="M383" s="21">
        <v>9010</v>
      </c>
      <c r="N383" s="21">
        <v>-2347</v>
      </c>
      <c r="O383" s="21">
        <v>6825</v>
      </c>
      <c r="P383" s="21">
        <v>15</v>
      </c>
      <c r="Q383" s="21">
        <v>1119</v>
      </c>
      <c r="R383" s="21">
        <v>-89</v>
      </c>
      <c r="S383" s="21">
        <v>285</v>
      </c>
      <c r="T383" s="21">
        <v>1330</v>
      </c>
      <c r="U383" s="21">
        <v>196</v>
      </c>
    </row>
    <row r="384" spans="1:27" ht="13.2" x14ac:dyDescent="0.25">
      <c r="A384" s="15">
        <v>44273</v>
      </c>
      <c r="B384" s="21">
        <v>39142</v>
      </c>
      <c r="C384" s="21">
        <v>1272958</v>
      </c>
      <c r="D384" s="21">
        <v>131753</v>
      </c>
      <c r="E384" s="21">
        <v>1443853</v>
      </c>
      <c r="F384" s="21">
        <v>6100</v>
      </c>
      <c r="G384" s="21">
        <v>352827</v>
      </c>
      <c r="H384" s="21">
        <v>3273</v>
      </c>
      <c r="I384" s="21">
        <v>3219</v>
      </c>
      <c r="J384" s="21">
        <v>365419</v>
      </c>
      <c r="K384" s="21">
        <v>6492</v>
      </c>
      <c r="L384" s="21">
        <v>227</v>
      </c>
      <c r="M384" s="21">
        <v>6285</v>
      </c>
      <c r="N384" s="21">
        <v>58</v>
      </c>
      <c r="O384" s="21">
        <v>6570</v>
      </c>
      <c r="P384" s="21">
        <v>23</v>
      </c>
      <c r="Q384" s="21">
        <v>1147</v>
      </c>
      <c r="R384" s="21">
        <v>366</v>
      </c>
      <c r="S384" s="21">
        <v>183</v>
      </c>
      <c r="T384" s="21">
        <v>1719</v>
      </c>
      <c r="U384" s="21">
        <v>549</v>
      </c>
    </row>
    <row r="385" spans="1:27" ht="13.2" x14ac:dyDescent="0.25">
      <c r="A385" s="15">
        <v>44274</v>
      </c>
      <c r="B385" s="4">
        <v>39339</v>
      </c>
      <c r="C385" s="4">
        <v>1278965</v>
      </c>
      <c r="D385" s="4">
        <v>131828</v>
      </c>
      <c r="E385" s="4">
        <v>1450132</v>
      </c>
      <c r="F385" s="4">
        <v>6120</v>
      </c>
      <c r="G385" s="4">
        <v>354036</v>
      </c>
      <c r="H385" s="4">
        <v>3483</v>
      </c>
      <c r="I385" s="4">
        <v>3368</v>
      </c>
      <c r="J385" s="4">
        <v>367007</v>
      </c>
      <c r="K385" s="4">
        <v>6851</v>
      </c>
      <c r="L385" s="4">
        <v>197</v>
      </c>
      <c r="M385" s="4">
        <v>6007</v>
      </c>
      <c r="N385" s="4">
        <v>75</v>
      </c>
      <c r="O385" s="4">
        <v>6279</v>
      </c>
      <c r="P385" s="4">
        <v>20</v>
      </c>
      <c r="Q385" s="4">
        <v>1209</v>
      </c>
      <c r="R385" s="4">
        <v>210</v>
      </c>
      <c r="S385" s="4">
        <v>149</v>
      </c>
      <c r="T385" s="4">
        <v>1588</v>
      </c>
      <c r="U385" s="4">
        <v>359</v>
      </c>
    </row>
    <row r="386" spans="1:27" ht="15.75" customHeight="1" x14ac:dyDescent="0.3">
      <c r="A386" s="15">
        <v>44275</v>
      </c>
      <c r="B386" s="11">
        <v>39447</v>
      </c>
      <c r="C386" s="11">
        <v>1284725</v>
      </c>
      <c r="D386" s="11">
        <v>131616</v>
      </c>
      <c r="E386" s="11">
        <v>1455788</v>
      </c>
      <c r="F386" s="10">
        <v>6143</v>
      </c>
      <c r="G386" s="10">
        <v>355221</v>
      </c>
      <c r="H386" s="10">
        <v>3894</v>
      </c>
      <c r="I386" s="10">
        <v>3686</v>
      </c>
      <c r="J386" s="11">
        <v>368944</v>
      </c>
      <c r="K386" s="11">
        <v>7580</v>
      </c>
      <c r="L386" s="11">
        <v>108</v>
      </c>
      <c r="M386" s="11">
        <v>5760</v>
      </c>
      <c r="N386" s="11">
        <v>-212</v>
      </c>
      <c r="O386" s="11">
        <v>5656</v>
      </c>
      <c r="P386" s="11">
        <v>23</v>
      </c>
      <c r="Q386" s="11">
        <v>1185</v>
      </c>
      <c r="R386" s="11">
        <v>411</v>
      </c>
      <c r="S386" s="11">
        <v>318</v>
      </c>
      <c r="T386" s="11">
        <v>1937</v>
      </c>
      <c r="U386" s="25">
        <v>729</v>
      </c>
    </row>
    <row r="387" spans="1:27" ht="13.2" x14ac:dyDescent="0.25">
      <c r="A387" s="15">
        <v>44276</v>
      </c>
      <c r="B387" s="4">
        <v>39550</v>
      </c>
      <c r="C387" s="4">
        <v>1290790</v>
      </c>
      <c r="D387" s="4">
        <v>129844</v>
      </c>
      <c r="E387" s="4">
        <v>1460184</v>
      </c>
      <c r="F387" s="4">
        <v>6160</v>
      </c>
      <c r="G387" s="4">
        <v>357100</v>
      </c>
      <c r="H387" s="4">
        <v>3859</v>
      </c>
      <c r="I387" s="4">
        <v>3463</v>
      </c>
      <c r="J387" s="4">
        <v>370582</v>
      </c>
      <c r="K387" s="4">
        <v>7322</v>
      </c>
      <c r="L387" s="4">
        <v>103</v>
      </c>
      <c r="M387" s="4">
        <v>6065</v>
      </c>
      <c r="N387" s="4">
        <v>-1772</v>
      </c>
      <c r="O387" s="4">
        <v>4396</v>
      </c>
      <c r="P387" s="4">
        <v>17</v>
      </c>
      <c r="Q387" s="4">
        <v>1879</v>
      </c>
      <c r="R387" s="4">
        <v>-35</v>
      </c>
      <c r="S387" s="4">
        <v>-223</v>
      </c>
      <c r="T387" s="4">
        <v>1638</v>
      </c>
      <c r="U387" s="4">
        <v>-258</v>
      </c>
    </row>
    <row r="388" spans="1:27" ht="15.75" customHeight="1" x14ac:dyDescent="0.3">
      <c r="A388" s="15">
        <v>44277</v>
      </c>
      <c r="B388" s="10">
        <v>39711</v>
      </c>
      <c r="C388" s="10">
        <v>1297967</v>
      </c>
      <c r="D388" s="10">
        <v>128250</v>
      </c>
      <c r="E388" s="10">
        <v>1465928</v>
      </c>
      <c r="F388" s="10">
        <v>6179</v>
      </c>
      <c r="G388" s="10">
        <v>358826</v>
      </c>
      <c r="H388" s="10">
        <v>3775</v>
      </c>
      <c r="I388" s="10">
        <v>3276</v>
      </c>
      <c r="J388" s="10">
        <v>372056</v>
      </c>
      <c r="K388" s="10">
        <v>7051</v>
      </c>
      <c r="L388" s="10">
        <v>161</v>
      </c>
      <c r="M388" s="10">
        <v>7177</v>
      </c>
      <c r="N388" s="10">
        <v>-1594</v>
      </c>
      <c r="O388" s="10">
        <v>5744</v>
      </c>
      <c r="P388" s="10">
        <v>19</v>
      </c>
      <c r="Q388" s="10">
        <v>1726</v>
      </c>
      <c r="R388" s="10">
        <v>-84</v>
      </c>
      <c r="S388" s="10">
        <v>-187</v>
      </c>
      <c r="T388" s="10">
        <v>1474</v>
      </c>
      <c r="U388" s="11">
        <v>-271</v>
      </c>
      <c r="V388" s="13"/>
      <c r="W388" s="13"/>
      <c r="X388" s="13"/>
      <c r="Y388" s="13"/>
      <c r="Z388" s="13"/>
      <c r="AA388" s="13"/>
    </row>
    <row r="389" spans="1:27" ht="13.2" x14ac:dyDescent="0.25">
      <c r="A389" s="15">
        <v>44278</v>
      </c>
      <c r="B389" s="4">
        <v>39865</v>
      </c>
      <c r="C389" s="4">
        <v>1304921</v>
      </c>
      <c r="D389" s="4">
        <v>126439</v>
      </c>
      <c r="E389" s="4">
        <v>1471225</v>
      </c>
      <c r="F389" s="4">
        <v>6206</v>
      </c>
      <c r="G389" s="4">
        <v>360479</v>
      </c>
      <c r="H389" s="4">
        <v>3107</v>
      </c>
      <c r="I389" s="4">
        <v>3079</v>
      </c>
      <c r="J389" s="4">
        <v>372871</v>
      </c>
      <c r="K389" s="4">
        <v>6186</v>
      </c>
      <c r="L389" s="4">
        <v>154</v>
      </c>
      <c r="M389" s="4">
        <v>6954</v>
      </c>
      <c r="N389" s="4">
        <v>-1811</v>
      </c>
      <c r="O389" s="4">
        <v>5297</v>
      </c>
      <c r="P389" s="4">
        <v>27</v>
      </c>
      <c r="Q389" s="4">
        <v>1653</v>
      </c>
      <c r="R389" s="4">
        <v>-668</v>
      </c>
      <c r="S389" s="4">
        <v>-197</v>
      </c>
      <c r="T389" s="4">
        <v>815</v>
      </c>
      <c r="U389" s="4">
        <v>-865</v>
      </c>
    </row>
    <row r="390" spans="1:27" ht="13.2" x14ac:dyDescent="0.25">
      <c r="A390" s="15">
        <v>44279</v>
      </c>
      <c r="B390" s="4">
        <v>39983</v>
      </c>
      <c r="C390" s="4">
        <v>1312543</v>
      </c>
      <c r="D390" s="4">
        <v>123926</v>
      </c>
      <c r="E390" s="4">
        <v>1476452</v>
      </c>
      <c r="F390" s="4">
        <v>6224</v>
      </c>
      <c r="G390" s="4">
        <v>362248</v>
      </c>
      <c r="H390" s="4">
        <v>2650</v>
      </c>
      <c r="I390" s="4">
        <v>2639</v>
      </c>
      <c r="J390" s="4">
        <v>373761</v>
      </c>
      <c r="K390" s="4">
        <v>5289</v>
      </c>
      <c r="L390" s="4">
        <v>118</v>
      </c>
      <c r="M390" s="4">
        <v>7622</v>
      </c>
      <c r="N390" s="4">
        <v>-2513</v>
      </c>
      <c r="O390" s="4">
        <v>5227</v>
      </c>
      <c r="P390" s="4">
        <v>18</v>
      </c>
      <c r="Q390" s="4">
        <v>1769</v>
      </c>
      <c r="R390" s="4">
        <v>-457</v>
      </c>
      <c r="S390" s="4">
        <v>-440</v>
      </c>
      <c r="T390" s="4">
        <v>890</v>
      </c>
      <c r="U390" s="4">
        <v>-897</v>
      </c>
    </row>
    <row r="391" spans="1:27" ht="13.2" x14ac:dyDescent="0.25">
      <c r="A391" s="15">
        <v>44280</v>
      </c>
      <c r="B391" s="4">
        <v>40081</v>
      </c>
      <c r="C391" s="4">
        <v>1317199</v>
      </c>
      <c r="D391" s="4">
        <v>125279</v>
      </c>
      <c r="E391" s="4">
        <v>1482559</v>
      </c>
      <c r="F391" s="4">
        <v>6241</v>
      </c>
      <c r="G391" s="4">
        <v>362975</v>
      </c>
      <c r="H391" s="4">
        <v>3222</v>
      </c>
      <c r="I391" s="4">
        <v>3049</v>
      </c>
      <c r="J391" s="4">
        <v>375487</v>
      </c>
      <c r="K391" s="4">
        <v>6271</v>
      </c>
      <c r="L391" s="4">
        <v>98</v>
      </c>
      <c r="M391" s="4">
        <v>4656</v>
      </c>
      <c r="N391" s="4">
        <v>1353</v>
      </c>
      <c r="O391" s="4">
        <v>6107</v>
      </c>
      <c r="P391" s="4">
        <v>17</v>
      </c>
      <c r="Q391" s="4">
        <v>727</v>
      </c>
      <c r="R391" s="4">
        <v>572</v>
      </c>
      <c r="S391" s="4">
        <v>410</v>
      </c>
      <c r="T391" s="4">
        <v>1726</v>
      </c>
      <c r="U391" s="4">
        <v>982</v>
      </c>
    </row>
    <row r="392" spans="1:27" ht="13.2" x14ac:dyDescent="0.25">
      <c r="A392" s="15">
        <v>44281</v>
      </c>
      <c r="B392" s="4">
        <v>40166</v>
      </c>
      <c r="C392" s="4">
        <v>1322878</v>
      </c>
      <c r="D392" s="4">
        <v>124497</v>
      </c>
      <c r="E392" s="4">
        <v>1487541</v>
      </c>
      <c r="F392" s="4">
        <v>6260</v>
      </c>
      <c r="G392" s="4">
        <v>363599</v>
      </c>
      <c r="H392" s="4">
        <v>3629</v>
      </c>
      <c r="I392" s="4">
        <v>3380</v>
      </c>
      <c r="J392" s="4">
        <v>376868</v>
      </c>
      <c r="K392" s="4">
        <v>7009</v>
      </c>
      <c r="L392" s="4">
        <v>85</v>
      </c>
      <c r="M392" s="4">
        <v>5679</v>
      </c>
      <c r="N392" s="4">
        <v>-782</v>
      </c>
      <c r="O392" s="4">
        <v>4982</v>
      </c>
      <c r="P392" s="4">
        <v>19</v>
      </c>
      <c r="Q392" s="4">
        <v>624</v>
      </c>
      <c r="R392" s="4">
        <v>407</v>
      </c>
      <c r="S392" s="4">
        <v>331</v>
      </c>
      <c r="T392" s="4">
        <v>1381</v>
      </c>
      <c r="U392" s="4">
        <v>738</v>
      </c>
    </row>
    <row r="393" spans="1:27" ht="13.2" x14ac:dyDescent="0.25">
      <c r="A393" s="15">
        <v>44282</v>
      </c>
      <c r="B393" s="4">
        <v>40364</v>
      </c>
      <c r="C393" s="4">
        <v>1327121</v>
      </c>
      <c r="D393" s="4">
        <v>124517</v>
      </c>
      <c r="E393" s="4">
        <v>1492002</v>
      </c>
      <c r="F393" s="4">
        <v>6281</v>
      </c>
      <c r="G393" s="4">
        <v>364251</v>
      </c>
      <c r="H393" s="4">
        <v>3932</v>
      </c>
      <c r="I393" s="4">
        <v>3758</v>
      </c>
      <c r="J393" s="4">
        <v>378222</v>
      </c>
      <c r="K393" s="4">
        <v>7690</v>
      </c>
      <c r="L393" s="4">
        <v>198</v>
      </c>
      <c r="M393" s="4">
        <v>4243</v>
      </c>
      <c r="N393" s="4">
        <v>20</v>
      </c>
      <c r="O393" s="4">
        <v>4461</v>
      </c>
      <c r="P393" s="4">
        <v>21</v>
      </c>
      <c r="Q393" s="4">
        <v>652</v>
      </c>
      <c r="R393" s="4">
        <v>303</v>
      </c>
      <c r="S393" s="4">
        <v>378</v>
      </c>
      <c r="T393" s="4">
        <v>1354</v>
      </c>
      <c r="U393" s="4">
        <v>681</v>
      </c>
    </row>
    <row r="394" spans="1:27" ht="15.75" customHeight="1" x14ac:dyDescent="0.3">
      <c r="A394" s="15">
        <v>44283</v>
      </c>
      <c r="B394" s="10">
        <v>40449</v>
      </c>
      <c r="C394" s="10">
        <v>1331400</v>
      </c>
      <c r="D394" s="10">
        <v>124236</v>
      </c>
      <c r="E394" s="10">
        <v>1496085</v>
      </c>
      <c r="F394" s="10">
        <v>6304</v>
      </c>
      <c r="G394" s="10">
        <v>365592</v>
      </c>
      <c r="H394" s="10">
        <v>3966</v>
      </c>
      <c r="I394" s="10">
        <v>3830</v>
      </c>
      <c r="J394" s="10">
        <v>379692</v>
      </c>
      <c r="K394" s="10">
        <v>7796</v>
      </c>
      <c r="L394" s="10">
        <v>85</v>
      </c>
      <c r="M394" s="10">
        <v>4279</v>
      </c>
      <c r="N394" s="10">
        <v>-281</v>
      </c>
      <c r="O394" s="10">
        <v>4083</v>
      </c>
      <c r="P394" s="10">
        <v>23</v>
      </c>
      <c r="Q394" s="10">
        <v>1341</v>
      </c>
      <c r="R394" s="10">
        <v>34</v>
      </c>
      <c r="S394" s="10">
        <v>72</v>
      </c>
      <c r="T394" s="10">
        <v>1470</v>
      </c>
      <c r="U394" s="11">
        <v>106</v>
      </c>
      <c r="V394" s="13"/>
      <c r="W394" s="13"/>
      <c r="X394" s="13"/>
      <c r="Y394" s="13"/>
      <c r="Z394" s="13"/>
      <c r="AA394" s="13"/>
    </row>
    <row r="395" spans="1:27" ht="13.2" x14ac:dyDescent="0.25">
      <c r="A395" s="15">
        <v>44284</v>
      </c>
      <c r="B395" s="4">
        <v>40581</v>
      </c>
      <c r="C395" s="4">
        <v>1336818</v>
      </c>
      <c r="D395" s="4">
        <v>123694</v>
      </c>
      <c r="E395" s="4">
        <v>1501093</v>
      </c>
      <c r="F395" s="4">
        <v>6324</v>
      </c>
      <c r="G395" s="4">
        <v>366615</v>
      </c>
      <c r="H395" s="4">
        <v>4034</v>
      </c>
      <c r="I395" s="4">
        <v>3733</v>
      </c>
      <c r="J395" s="4">
        <v>380706</v>
      </c>
      <c r="K395" s="4">
        <v>7767</v>
      </c>
      <c r="L395" s="4">
        <v>132</v>
      </c>
      <c r="M395" s="4">
        <v>5418</v>
      </c>
      <c r="N395" s="4">
        <v>-542</v>
      </c>
      <c r="O395" s="4">
        <v>5008</v>
      </c>
      <c r="P395" s="4">
        <v>20</v>
      </c>
      <c r="Q395" s="4">
        <v>1023</v>
      </c>
      <c r="R395" s="4">
        <v>68</v>
      </c>
      <c r="S395" s="4">
        <v>-97</v>
      </c>
      <c r="T395" s="4">
        <v>1014</v>
      </c>
      <c r="U395" s="4">
        <v>-29</v>
      </c>
    </row>
    <row r="396" spans="1:27" ht="13.2" x14ac:dyDescent="0.25">
      <c r="A396" s="15">
        <v>44285</v>
      </c>
      <c r="B396" s="4">
        <v>40754</v>
      </c>
      <c r="C396" s="4">
        <v>1342695</v>
      </c>
      <c r="D396" s="4">
        <v>122326</v>
      </c>
      <c r="E396" s="4">
        <v>1505775</v>
      </c>
      <c r="F396" s="4">
        <v>6327</v>
      </c>
      <c r="G396" s="4">
        <v>367819</v>
      </c>
      <c r="H396" s="4">
        <v>3419</v>
      </c>
      <c r="I396" s="4">
        <v>3525</v>
      </c>
      <c r="J396" s="4">
        <v>381090</v>
      </c>
      <c r="K396" s="4">
        <v>6944</v>
      </c>
      <c r="L396" s="4">
        <v>173</v>
      </c>
      <c r="M396" s="4">
        <v>5877</v>
      </c>
      <c r="N396" s="4">
        <v>-1368</v>
      </c>
      <c r="O396" s="4">
        <v>4682</v>
      </c>
      <c r="P396" s="4">
        <v>3</v>
      </c>
      <c r="Q396" s="4">
        <v>1204</v>
      </c>
      <c r="R396" s="4">
        <v>-615</v>
      </c>
      <c r="S396" s="4">
        <v>-208</v>
      </c>
      <c r="T396" s="4">
        <v>384</v>
      </c>
      <c r="U396" s="4">
        <v>-823</v>
      </c>
    </row>
    <row r="397" spans="1:27" ht="13.2" x14ac:dyDescent="0.25">
      <c r="A397" s="15">
        <v>44286</v>
      </c>
      <c r="B397" s="4">
        <v>40858</v>
      </c>
      <c r="C397" s="4">
        <v>1348330</v>
      </c>
      <c r="D397" s="4">
        <v>122524</v>
      </c>
      <c r="E397" s="4">
        <v>1511712</v>
      </c>
      <c r="F397" s="4">
        <v>6341</v>
      </c>
      <c r="G397" s="4">
        <v>369007</v>
      </c>
      <c r="H397" s="4">
        <v>3028</v>
      </c>
      <c r="I397" s="4">
        <v>3679</v>
      </c>
      <c r="J397" s="4">
        <v>382055</v>
      </c>
      <c r="K397" s="4">
        <v>6707</v>
      </c>
      <c r="L397" s="4">
        <v>104</v>
      </c>
      <c r="M397" s="4">
        <v>5635</v>
      </c>
      <c r="N397" s="4">
        <v>198</v>
      </c>
      <c r="O397" s="4">
        <v>5937</v>
      </c>
      <c r="P397" s="4">
        <v>14</v>
      </c>
      <c r="Q397" s="4">
        <v>1188</v>
      </c>
      <c r="R397" s="4">
        <v>-391</v>
      </c>
      <c r="S397" s="4">
        <v>154</v>
      </c>
      <c r="T397" s="4">
        <v>965</v>
      </c>
      <c r="U397" s="4">
        <v>-237</v>
      </c>
    </row>
    <row r="398" spans="1:27" ht="15.75" customHeight="1" x14ac:dyDescent="0.3">
      <c r="A398" s="15">
        <v>44287</v>
      </c>
      <c r="B398" s="11">
        <v>41054</v>
      </c>
      <c r="C398" s="11">
        <v>1355578</v>
      </c>
      <c r="D398" s="11">
        <v>121222</v>
      </c>
      <c r="E398" s="11">
        <v>1517854</v>
      </c>
      <c r="F398" s="10">
        <v>6344</v>
      </c>
      <c r="G398" s="10">
        <v>369929</v>
      </c>
      <c r="H398" s="10">
        <v>3447</v>
      </c>
      <c r="I398" s="10">
        <v>3672</v>
      </c>
      <c r="J398" s="10">
        <v>383392</v>
      </c>
      <c r="K398" s="11">
        <v>7119</v>
      </c>
      <c r="L398" s="11">
        <v>196</v>
      </c>
      <c r="M398" s="11">
        <v>7248</v>
      </c>
      <c r="N398" s="11">
        <v>-1302</v>
      </c>
      <c r="O398" s="11">
        <v>6142</v>
      </c>
      <c r="P398" s="11">
        <v>3</v>
      </c>
      <c r="Q398" s="11">
        <v>922</v>
      </c>
      <c r="R398" s="11">
        <v>419</v>
      </c>
      <c r="S398" s="11">
        <v>-7</v>
      </c>
      <c r="T398" s="11">
        <v>1337</v>
      </c>
      <c r="U398" s="25">
        <v>412</v>
      </c>
    </row>
    <row r="399" spans="1:27" ht="15.75" customHeight="1" x14ac:dyDescent="0.3">
      <c r="A399" s="15">
        <v>44288</v>
      </c>
      <c r="B399" s="4">
        <v>41151</v>
      </c>
      <c r="C399" s="4">
        <v>1361017</v>
      </c>
      <c r="D399" s="4">
        <v>121011</v>
      </c>
      <c r="E399" s="4">
        <v>1523179</v>
      </c>
      <c r="F399" s="10">
        <v>6351</v>
      </c>
      <c r="G399" s="10">
        <v>371254</v>
      </c>
      <c r="H399" s="10">
        <v>3433</v>
      </c>
      <c r="I399" s="10">
        <v>3594</v>
      </c>
      <c r="J399" s="10">
        <v>384632</v>
      </c>
      <c r="K399" s="21">
        <v>7027</v>
      </c>
      <c r="L399" s="21">
        <v>97</v>
      </c>
      <c r="M399" s="21">
        <v>5439</v>
      </c>
      <c r="N399" s="21">
        <v>-211</v>
      </c>
      <c r="O399" s="21">
        <v>5325</v>
      </c>
      <c r="P399" s="21">
        <v>7</v>
      </c>
      <c r="Q399" s="21">
        <v>1325</v>
      </c>
      <c r="R399" s="21">
        <v>-14</v>
      </c>
      <c r="S399" s="21">
        <v>-78</v>
      </c>
      <c r="T399" s="21">
        <v>1240</v>
      </c>
      <c r="U399" s="21">
        <v>-92</v>
      </c>
    </row>
    <row r="400" spans="1:27" ht="13.2" x14ac:dyDescent="0.25">
      <c r="A400" s="15">
        <v>44289</v>
      </c>
      <c r="B400" s="4">
        <v>41242</v>
      </c>
      <c r="C400" s="4">
        <v>1366214</v>
      </c>
      <c r="D400" s="4">
        <v>120068</v>
      </c>
      <c r="E400" s="4">
        <v>1527524</v>
      </c>
      <c r="F400" s="4">
        <v>6356</v>
      </c>
      <c r="G400" s="4">
        <v>372494</v>
      </c>
      <c r="H400" s="4">
        <v>3317</v>
      </c>
      <c r="I400" s="4">
        <v>3563</v>
      </c>
      <c r="J400" s="4">
        <v>385730</v>
      </c>
      <c r="K400" s="4">
        <v>6880</v>
      </c>
      <c r="L400" s="4">
        <v>91</v>
      </c>
      <c r="M400" s="4">
        <v>5197</v>
      </c>
      <c r="N400" s="4">
        <v>-943</v>
      </c>
      <c r="O400" s="4">
        <v>4345</v>
      </c>
      <c r="P400" s="4">
        <v>5</v>
      </c>
      <c r="Q400" s="4">
        <v>1240</v>
      </c>
      <c r="R400" s="4">
        <v>-116</v>
      </c>
      <c r="S400" s="4">
        <v>-31</v>
      </c>
      <c r="T400" s="4">
        <v>1098</v>
      </c>
      <c r="U400" s="4">
        <v>-147</v>
      </c>
    </row>
    <row r="401" spans="1:27" ht="15.75" customHeight="1" x14ac:dyDescent="0.3">
      <c r="A401" s="15">
        <v>44290</v>
      </c>
      <c r="B401" s="22">
        <v>41669</v>
      </c>
      <c r="C401" s="22">
        <v>1375877</v>
      </c>
      <c r="D401" s="10">
        <v>116709</v>
      </c>
      <c r="E401" s="10">
        <v>1534255</v>
      </c>
      <c r="F401" s="10">
        <v>6360</v>
      </c>
      <c r="G401" s="10">
        <v>373565</v>
      </c>
      <c r="H401" s="10">
        <v>3149</v>
      </c>
      <c r="I401" s="10">
        <v>3392</v>
      </c>
      <c r="J401" s="10">
        <v>386466</v>
      </c>
      <c r="K401" s="10">
        <v>6541</v>
      </c>
      <c r="L401" s="10">
        <v>427</v>
      </c>
      <c r="M401" s="10">
        <v>9663</v>
      </c>
      <c r="N401" s="10">
        <v>-3359</v>
      </c>
      <c r="O401" s="10">
        <v>6731</v>
      </c>
      <c r="P401" s="10">
        <v>4</v>
      </c>
      <c r="Q401" s="10">
        <v>1071</v>
      </c>
      <c r="R401" s="10">
        <v>-168</v>
      </c>
      <c r="S401" s="10">
        <v>-171</v>
      </c>
      <c r="T401" s="10">
        <v>736</v>
      </c>
      <c r="U401" s="11">
        <v>-339</v>
      </c>
      <c r="V401" s="13"/>
      <c r="W401" s="13"/>
      <c r="X401" s="13"/>
      <c r="Y401" s="13"/>
      <c r="Z401" s="13"/>
      <c r="AA401" s="13"/>
    </row>
    <row r="402" spans="1:27" ht="13.2" x14ac:dyDescent="0.25">
      <c r="A402" s="15">
        <v>44291</v>
      </c>
      <c r="B402" s="4">
        <v>41815</v>
      </c>
      <c r="C402" s="4">
        <v>1381677</v>
      </c>
      <c r="D402" s="4">
        <v>114475</v>
      </c>
      <c r="E402" s="4">
        <v>1537967</v>
      </c>
      <c r="F402" s="4">
        <v>6372</v>
      </c>
      <c r="G402" s="4">
        <v>374542</v>
      </c>
      <c r="H402" s="4">
        <v>2771</v>
      </c>
      <c r="I402" s="4">
        <v>3304</v>
      </c>
      <c r="J402" s="4">
        <v>386989</v>
      </c>
      <c r="K402" s="4">
        <v>6075</v>
      </c>
      <c r="L402" s="4">
        <v>146</v>
      </c>
      <c r="M402" s="4">
        <v>5800</v>
      </c>
      <c r="N402" s="4">
        <v>-2234</v>
      </c>
      <c r="O402" s="4">
        <v>3712</v>
      </c>
      <c r="P402" s="4">
        <v>12</v>
      </c>
      <c r="Q402" s="4">
        <v>977</v>
      </c>
      <c r="R402" s="4">
        <v>-378</v>
      </c>
      <c r="S402" s="4">
        <v>-88</v>
      </c>
      <c r="T402" s="4">
        <v>523</v>
      </c>
      <c r="U402" s="4">
        <v>-466</v>
      </c>
    </row>
    <row r="403" spans="1:27" ht="13.2" x14ac:dyDescent="0.25">
      <c r="A403" s="15">
        <v>44292</v>
      </c>
      <c r="B403" s="4">
        <v>41977</v>
      </c>
      <c r="C403" s="4">
        <v>1385973</v>
      </c>
      <c r="D403" s="4">
        <v>114566</v>
      </c>
      <c r="E403" s="4">
        <v>1542516</v>
      </c>
      <c r="F403" s="4">
        <v>6379</v>
      </c>
      <c r="G403" s="4">
        <v>375080</v>
      </c>
      <c r="H403" s="4">
        <v>2705</v>
      </c>
      <c r="I403" s="4">
        <v>3312</v>
      </c>
      <c r="J403" s="4">
        <v>387476</v>
      </c>
      <c r="K403" s="4">
        <v>6017</v>
      </c>
      <c r="L403" s="4">
        <v>162</v>
      </c>
      <c r="M403" s="4">
        <v>4296</v>
      </c>
      <c r="N403" s="4">
        <v>91</v>
      </c>
      <c r="O403" s="4">
        <v>4549</v>
      </c>
      <c r="P403" s="4">
        <v>7</v>
      </c>
      <c r="Q403" s="4">
        <v>538</v>
      </c>
      <c r="R403" s="4">
        <v>-66</v>
      </c>
      <c r="S403" s="4">
        <v>8</v>
      </c>
      <c r="T403" s="4">
        <v>487</v>
      </c>
      <c r="U403" s="4">
        <v>-58</v>
      </c>
    </row>
    <row r="404" spans="1:27" ht="13.2" x14ac:dyDescent="0.25">
      <c r="A404" s="15">
        <v>44293</v>
      </c>
      <c r="B404" s="21">
        <v>42064</v>
      </c>
      <c r="C404" s="21">
        <v>1391742</v>
      </c>
      <c r="D404" s="21">
        <v>113570</v>
      </c>
      <c r="E404" s="21">
        <v>1547376</v>
      </c>
      <c r="F404" s="21">
        <v>6391</v>
      </c>
      <c r="G404" s="21">
        <v>375651</v>
      </c>
      <c r="H404" s="21">
        <v>2814</v>
      </c>
      <c r="I404" s="21">
        <v>3482</v>
      </c>
      <c r="J404" s="21">
        <v>388338</v>
      </c>
      <c r="K404" s="21">
        <v>6296</v>
      </c>
      <c r="L404" s="21">
        <v>87</v>
      </c>
      <c r="M404" s="21">
        <v>5769</v>
      </c>
      <c r="N404" s="21">
        <v>-996</v>
      </c>
      <c r="O404" s="21">
        <v>4860</v>
      </c>
      <c r="P404" s="21">
        <v>12</v>
      </c>
      <c r="Q404" s="21">
        <v>571</v>
      </c>
      <c r="R404" s="21">
        <v>109</v>
      </c>
      <c r="S404" s="21">
        <v>170</v>
      </c>
      <c r="T404" s="21">
        <v>862</v>
      </c>
      <c r="U404" s="21">
        <v>279</v>
      </c>
    </row>
    <row r="405" spans="1:27" ht="13.2" x14ac:dyDescent="0.25">
      <c r="A405" s="15">
        <v>44294</v>
      </c>
      <c r="B405" s="21">
        <v>42227</v>
      </c>
      <c r="C405" s="21">
        <v>1399382</v>
      </c>
      <c r="D405" s="21">
        <v>111271</v>
      </c>
      <c r="E405" s="21">
        <v>1552880</v>
      </c>
      <c r="F405" s="21">
        <v>6410</v>
      </c>
      <c r="G405" s="21">
        <v>376270</v>
      </c>
      <c r="H405" s="21">
        <v>3244</v>
      </c>
      <c r="I405" s="21">
        <v>3653</v>
      </c>
      <c r="J405" s="21">
        <v>389577</v>
      </c>
      <c r="K405" s="21">
        <v>6897</v>
      </c>
      <c r="L405" s="21">
        <v>163</v>
      </c>
      <c r="M405" s="21">
        <v>7640</v>
      </c>
      <c r="N405" s="21">
        <v>-2299</v>
      </c>
      <c r="O405" s="21">
        <v>5504</v>
      </c>
      <c r="P405" s="21">
        <v>19</v>
      </c>
      <c r="Q405" s="21">
        <v>619</v>
      </c>
      <c r="R405" s="21">
        <v>430</v>
      </c>
      <c r="S405" s="21">
        <v>171</v>
      </c>
      <c r="T405" s="21">
        <v>1239</v>
      </c>
      <c r="U405" s="21">
        <v>601</v>
      </c>
    </row>
    <row r="406" spans="1:27" ht="13.2" x14ac:dyDescent="0.25">
      <c r="A406" s="15">
        <v>44295</v>
      </c>
      <c r="B406" s="4">
        <v>42348</v>
      </c>
      <c r="C406" s="4">
        <v>1405679</v>
      </c>
      <c r="D406" s="4">
        <v>110118</v>
      </c>
      <c r="E406" s="4">
        <v>1558145</v>
      </c>
      <c r="F406" s="4">
        <v>6424</v>
      </c>
      <c r="G406" s="4">
        <v>376959</v>
      </c>
      <c r="H406" s="4">
        <v>3506</v>
      </c>
      <c r="I406" s="4">
        <v>3701</v>
      </c>
      <c r="J406" s="4">
        <v>390590</v>
      </c>
      <c r="K406" s="4">
        <v>7207</v>
      </c>
      <c r="L406" s="4">
        <v>121</v>
      </c>
      <c r="M406" s="4">
        <v>6297</v>
      </c>
      <c r="N406" s="4">
        <v>-1153</v>
      </c>
      <c r="O406" s="4">
        <v>5265</v>
      </c>
      <c r="P406" s="4">
        <v>14</v>
      </c>
      <c r="Q406" s="4">
        <v>689</v>
      </c>
      <c r="R406" s="4">
        <v>262</v>
      </c>
      <c r="S406" s="4">
        <v>48</v>
      </c>
      <c r="T406" s="4">
        <v>1013</v>
      </c>
      <c r="U406" s="4">
        <v>310</v>
      </c>
    </row>
    <row r="407" spans="1:27" ht="13.2" x14ac:dyDescent="0.25">
      <c r="A407" s="15">
        <v>44296</v>
      </c>
      <c r="B407" s="4">
        <v>42443</v>
      </c>
      <c r="C407" s="4">
        <v>1409288</v>
      </c>
      <c r="D407" s="4">
        <v>111137</v>
      </c>
      <c r="E407" s="4">
        <v>1562868</v>
      </c>
      <c r="F407" s="4">
        <v>6435</v>
      </c>
      <c r="G407" s="4">
        <v>377797</v>
      </c>
      <c r="H407" s="4">
        <v>3716</v>
      </c>
      <c r="I407" s="4">
        <v>3619</v>
      </c>
      <c r="J407" s="4">
        <v>391567</v>
      </c>
      <c r="K407" s="4">
        <v>7335</v>
      </c>
      <c r="L407" s="4">
        <v>95</v>
      </c>
      <c r="M407" s="4">
        <v>3609</v>
      </c>
      <c r="N407" s="4">
        <v>1019</v>
      </c>
      <c r="O407" s="4">
        <v>4723</v>
      </c>
      <c r="P407" s="4">
        <v>11</v>
      </c>
      <c r="Q407" s="4">
        <v>838</v>
      </c>
      <c r="R407" s="4">
        <v>210</v>
      </c>
      <c r="S407" s="4">
        <v>-82</v>
      </c>
      <c r="T407" s="4">
        <v>977</v>
      </c>
      <c r="U407" s="4">
        <v>128</v>
      </c>
    </row>
    <row r="408" spans="1:27" ht="15.75" customHeight="1" x14ac:dyDescent="0.3">
      <c r="A408" s="15">
        <v>44297</v>
      </c>
      <c r="B408" s="10">
        <v>42530</v>
      </c>
      <c r="C408" s="10">
        <v>1414507</v>
      </c>
      <c r="D408" s="10">
        <v>109958</v>
      </c>
      <c r="E408" s="10">
        <v>1566995</v>
      </c>
      <c r="F408" s="10">
        <v>6450</v>
      </c>
      <c r="G408" s="10">
        <v>379210</v>
      </c>
      <c r="H408" s="10">
        <v>3617</v>
      </c>
      <c r="I408" s="10">
        <v>3321</v>
      </c>
      <c r="J408" s="10">
        <v>392598</v>
      </c>
      <c r="K408" s="10">
        <v>6938</v>
      </c>
      <c r="L408" s="10">
        <v>87</v>
      </c>
      <c r="M408" s="10">
        <v>5219</v>
      </c>
      <c r="N408" s="10">
        <v>-1179</v>
      </c>
      <c r="O408" s="10">
        <v>4127</v>
      </c>
      <c r="P408" s="10">
        <v>15</v>
      </c>
      <c r="Q408" s="10">
        <v>1413</v>
      </c>
      <c r="R408" s="10">
        <v>-99</v>
      </c>
      <c r="S408" s="10">
        <v>-298</v>
      </c>
      <c r="T408" s="10">
        <v>1031</v>
      </c>
      <c r="U408" s="11">
        <v>-397</v>
      </c>
      <c r="V408" s="13"/>
      <c r="W408" s="13"/>
      <c r="X408" s="13"/>
      <c r="Y408" s="13"/>
      <c r="Z408" s="13"/>
      <c r="AA408" s="13"/>
    </row>
    <row r="409" spans="1:27" ht="13.2" x14ac:dyDescent="0.25">
      <c r="A409" s="15">
        <v>44298</v>
      </c>
      <c r="B409" s="4">
        <v>42656</v>
      </c>
      <c r="C409" s="4">
        <v>1419796</v>
      </c>
      <c r="D409" s="4">
        <v>109372</v>
      </c>
      <c r="E409" s="4">
        <v>1571824</v>
      </c>
      <c r="F409" s="4">
        <v>6459</v>
      </c>
      <c r="G409" s="4">
        <v>380560</v>
      </c>
      <c r="H409" s="4">
        <v>3324</v>
      </c>
      <c r="I409" s="4">
        <v>2947</v>
      </c>
      <c r="J409" s="4">
        <v>393290</v>
      </c>
      <c r="K409" s="4">
        <v>6271</v>
      </c>
      <c r="L409" s="4">
        <v>126</v>
      </c>
      <c r="M409" s="4">
        <v>5289</v>
      </c>
      <c r="N409" s="4">
        <v>-586</v>
      </c>
      <c r="O409" s="4">
        <v>4829</v>
      </c>
      <c r="P409" s="4">
        <v>9</v>
      </c>
      <c r="Q409" s="4">
        <v>1350</v>
      </c>
      <c r="R409" s="4">
        <v>-293</v>
      </c>
      <c r="S409" s="4">
        <v>-374</v>
      </c>
      <c r="T409" s="4">
        <v>692</v>
      </c>
      <c r="U409" s="4">
        <v>-667</v>
      </c>
    </row>
    <row r="410" spans="1:27" ht="13.2" x14ac:dyDescent="0.25">
      <c r="A410" s="15">
        <v>44299</v>
      </c>
      <c r="B410" s="21">
        <v>42782</v>
      </c>
      <c r="C410" s="21">
        <v>1426145</v>
      </c>
      <c r="D410" s="21">
        <v>108599</v>
      </c>
      <c r="E410" s="21">
        <v>1577526</v>
      </c>
      <c r="F410" s="21">
        <v>6482</v>
      </c>
      <c r="G410" s="21">
        <v>381449</v>
      </c>
      <c r="H410" s="21">
        <v>3326</v>
      </c>
      <c r="I410" s="21">
        <v>2861</v>
      </c>
      <c r="J410" s="21">
        <v>394118</v>
      </c>
      <c r="K410" s="21">
        <v>6187</v>
      </c>
      <c r="L410" s="21">
        <v>126</v>
      </c>
      <c r="M410" s="21">
        <v>6349</v>
      </c>
      <c r="N410" s="21">
        <v>-773</v>
      </c>
      <c r="O410" s="21">
        <v>5702</v>
      </c>
      <c r="P410" s="21">
        <v>23</v>
      </c>
      <c r="Q410" s="21">
        <v>889</v>
      </c>
      <c r="R410" s="21">
        <v>2</v>
      </c>
      <c r="S410" s="21">
        <v>-86</v>
      </c>
      <c r="T410" s="21">
        <v>828</v>
      </c>
      <c r="U410" s="21">
        <v>-84</v>
      </c>
    </row>
    <row r="411" spans="1:27" ht="13.2" x14ac:dyDescent="0.25">
      <c r="A411" s="15">
        <v>44300</v>
      </c>
      <c r="B411" s="4">
        <v>42906</v>
      </c>
      <c r="C411" s="4">
        <v>1431892</v>
      </c>
      <c r="D411" s="4">
        <v>108384</v>
      </c>
      <c r="E411" s="4">
        <v>1583182</v>
      </c>
      <c r="F411" s="4">
        <v>6489</v>
      </c>
      <c r="G411" s="4">
        <v>382091</v>
      </c>
      <c r="H411" s="4">
        <v>3338</v>
      </c>
      <c r="I411" s="4">
        <v>2861</v>
      </c>
      <c r="J411" s="4">
        <v>394779</v>
      </c>
      <c r="K411" s="4">
        <v>6199</v>
      </c>
      <c r="L411" s="4">
        <v>124</v>
      </c>
      <c r="M411" s="4">
        <v>5747</v>
      </c>
      <c r="N411" s="4">
        <v>-215</v>
      </c>
      <c r="O411" s="4">
        <v>5656</v>
      </c>
      <c r="P411" s="4">
        <v>7</v>
      </c>
      <c r="Q411" s="4">
        <v>642</v>
      </c>
      <c r="R411" s="4">
        <v>12</v>
      </c>
      <c r="S411" s="4">
        <v>0</v>
      </c>
      <c r="T411" s="4">
        <v>661</v>
      </c>
      <c r="U411" s="4">
        <v>12</v>
      </c>
    </row>
    <row r="412" spans="1:27" ht="13.2" x14ac:dyDescent="0.25">
      <c r="A412" s="15">
        <v>44301</v>
      </c>
      <c r="B412" s="4">
        <v>43073</v>
      </c>
      <c r="C412" s="4">
        <v>1438254</v>
      </c>
      <c r="D412" s="4">
        <v>108032</v>
      </c>
      <c r="E412" s="4">
        <v>1589359</v>
      </c>
      <c r="F412" s="4">
        <v>6504</v>
      </c>
      <c r="G412" s="4">
        <v>382617</v>
      </c>
      <c r="H412" s="4">
        <v>3921</v>
      </c>
      <c r="I412" s="4">
        <v>3067</v>
      </c>
      <c r="J412" s="4">
        <v>396109</v>
      </c>
      <c r="K412" s="4">
        <v>6988</v>
      </c>
      <c r="L412" s="4">
        <v>167</v>
      </c>
      <c r="M412" s="4">
        <v>6362</v>
      </c>
      <c r="N412" s="4">
        <v>-352</v>
      </c>
      <c r="O412" s="4">
        <v>6177</v>
      </c>
      <c r="P412" s="4">
        <v>15</v>
      </c>
      <c r="Q412" s="4">
        <v>526</v>
      </c>
      <c r="R412" s="4">
        <v>583</v>
      </c>
      <c r="S412" s="4">
        <v>206</v>
      </c>
      <c r="T412" s="4">
        <v>1330</v>
      </c>
      <c r="U412" s="4">
        <v>789</v>
      </c>
    </row>
    <row r="413" spans="1:27" ht="13.2" x14ac:dyDescent="0.25">
      <c r="A413" s="15">
        <v>44302</v>
      </c>
      <c r="B413" s="21">
        <v>43196</v>
      </c>
      <c r="C413" s="21">
        <v>1444229</v>
      </c>
      <c r="D413" s="21">
        <v>107297</v>
      </c>
      <c r="E413" s="21">
        <v>1594722</v>
      </c>
      <c r="F413" s="21">
        <v>6513</v>
      </c>
      <c r="G413" s="21">
        <v>383655</v>
      </c>
      <c r="H413" s="21">
        <v>3607</v>
      </c>
      <c r="I413" s="21">
        <v>3313</v>
      </c>
      <c r="J413" s="21">
        <v>397088</v>
      </c>
      <c r="K413" s="21">
        <v>6920</v>
      </c>
      <c r="L413" s="21">
        <v>123</v>
      </c>
      <c r="M413" s="21">
        <v>5975</v>
      </c>
      <c r="N413" s="21">
        <v>-735</v>
      </c>
      <c r="O413" s="21">
        <v>5363</v>
      </c>
      <c r="P413" s="21">
        <v>9</v>
      </c>
      <c r="Q413" s="21">
        <v>1038</v>
      </c>
      <c r="R413" s="21">
        <v>-314</v>
      </c>
      <c r="S413" s="21">
        <v>246</v>
      </c>
      <c r="T413" s="21">
        <v>979</v>
      </c>
      <c r="U413" s="21">
        <v>-68</v>
      </c>
    </row>
    <row r="414" spans="1:27" ht="13.2" x14ac:dyDescent="0.25">
      <c r="A414" s="15">
        <v>44303</v>
      </c>
      <c r="B414" s="4">
        <v>43328</v>
      </c>
      <c r="C414" s="4">
        <v>1450192</v>
      </c>
      <c r="D414" s="4">
        <v>106243</v>
      </c>
      <c r="E414" s="4">
        <v>1599763</v>
      </c>
      <c r="F414" s="4">
        <v>6520</v>
      </c>
      <c r="G414" s="4">
        <v>384652</v>
      </c>
      <c r="H414" s="4">
        <v>3512</v>
      </c>
      <c r="I414" s="4">
        <v>3441</v>
      </c>
      <c r="J414" s="4">
        <v>398125</v>
      </c>
      <c r="K414" s="4">
        <v>6953</v>
      </c>
      <c r="L414" s="4">
        <v>132</v>
      </c>
      <c r="M414" s="4">
        <v>5963</v>
      </c>
      <c r="N414" s="4">
        <v>-1054</v>
      </c>
      <c r="O414" s="4">
        <v>5041</v>
      </c>
      <c r="P414" s="4">
        <v>7</v>
      </c>
      <c r="Q414" s="4">
        <v>997</v>
      </c>
      <c r="R414" s="4">
        <v>-95</v>
      </c>
      <c r="S414" s="4">
        <v>128</v>
      </c>
      <c r="T414" s="4">
        <v>1037</v>
      </c>
      <c r="U414" s="4">
        <v>33</v>
      </c>
    </row>
    <row r="415" spans="1:27" ht="15.75" customHeight="1" x14ac:dyDescent="0.3">
      <c r="A415" s="15">
        <v>44304</v>
      </c>
      <c r="B415" s="10">
        <v>43424</v>
      </c>
      <c r="C415" s="10">
        <v>1455065</v>
      </c>
      <c r="D415" s="10">
        <v>105859</v>
      </c>
      <c r="E415" s="10">
        <v>1604348</v>
      </c>
      <c r="F415" s="10">
        <v>6536</v>
      </c>
      <c r="G415" s="10">
        <v>385615</v>
      </c>
      <c r="H415" s="10">
        <v>3313</v>
      </c>
      <c r="I415" s="10">
        <v>3611</v>
      </c>
      <c r="J415" s="10">
        <v>399075</v>
      </c>
      <c r="K415" s="10">
        <v>6924</v>
      </c>
      <c r="L415" s="10">
        <v>96</v>
      </c>
      <c r="M415" s="10">
        <v>4873</v>
      </c>
      <c r="N415" s="10">
        <v>-384</v>
      </c>
      <c r="O415" s="10">
        <v>4585</v>
      </c>
      <c r="P415" s="10">
        <v>16</v>
      </c>
      <c r="Q415" s="10">
        <v>963</v>
      </c>
      <c r="R415" s="10">
        <v>-199</v>
      </c>
      <c r="S415" s="10">
        <v>170</v>
      </c>
      <c r="T415" s="10">
        <v>950</v>
      </c>
      <c r="U415" s="11">
        <v>-29</v>
      </c>
      <c r="V415" s="13"/>
      <c r="W415" s="13"/>
      <c r="X415" s="13"/>
      <c r="Y415" s="13"/>
      <c r="Z415" s="13"/>
      <c r="AA415" s="13"/>
    </row>
    <row r="416" spans="1:27" ht="13.2" x14ac:dyDescent="0.25">
      <c r="A416" s="15">
        <v>44305</v>
      </c>
      <c r="B416" s="4">
        <v>43567</v>
      </c>
      <c r="C416" s="4">
        <v>1461414</v>
      </c>
      <c r="D416" s="4">
        <v>104319</v>
      </c>
      <c r="E416" s="4">
        <v>1609300</v>
      </c>
      <c r="F416" s="4">
        <v>6558</v>
      </c>
      <c r="G416" s="4">
        <v>386606</v>
      </c>
      <c r="H416" s="4">
        <v>3218</v>
      </c>
      <c r="I416" s="4">
        <v>3666</v>
      </c>
      <c r="J416" s="4">
        <v>400048</v>
      </c>
      <c r="K416" s="4">
        <v>6884</v>
      </c>
      <c r="L416" s="4">
        <v>143</v>
      </c>
      <c r="M416" s="4">
        <v>6349</v>
      </c>
      <c r="N416" s="4">
        <v>-1540</v>
      </c>
      <c r="O416" s="4">
        <v>4952</v>
      </c>
      <c r="P416" s="4">
        <v>22</v>
      </c>
      <c r="Q416" s="4">
        <v>991</v>
      </c>
      <c r="R416" s="4">
        <v>-95</v>
      </c>
      <c r="S416" s="4">
        <v>55</v>
      </c>
      <c r="T416" s="4">
        <v>973</v>
      </c>
      <c r="U416" s="4">
        <v>-40</v>
      </c>
    </row>
    <row r="417" spans="1:27" ht="13.2" x14ac:dyDescent="0.25">
      <c r="A417" s="15">
        <v>44306</v>
      </c>
      <c r="B417" s="4">
        <v>43777</v>
      </c>
      <c r="C417" s="4">
        <v>1468142</v>
      </c>
      <c r="D417" s="4">
        <v>102930</v>
      </c>
      <c r="E417" s="4">
        <v>1614849</v>
      </c>
      <c r="F417" s="4">
        <v>6569</v>
      </c>
      <c r="G417" s="4">
        <v>387507</v>
      </c>
      <c r="H417" s="4">
        <v>2945</v>
      </c>
      <c r="I417" s="4">
        <v>3487</v>
      </c>
      <c r="J417" s="4">
        <v>400508</v>
      </c>
      <c r="K417" s="4">
        <v>6432</v>
      </c>
      <c r="L417" s="4">
        <v>210</v>
      </c>
      <c r="M417" s="4">
        <v>6728</v>
      </c>
      <c r="N417" s="4">
        <v>-1389</v>
      </c>
      <c r="O417" s="4">
        <v>5549</v>
      </c>
      <c r="P417" s="4">
        <v>11</v>
      </c>
      <c r="Q417" s="4">
        <v>901</v>
      </c>
      <c r="R417" s="4">
        <v>-273</v>
      </c>
      <c r="S417" s="4">
        <v>-179</v>
      </c>
      <c r="T417" s="4">
        <v>460</v>
      </c>
      <c r="U417" s="4">
        <v>-452</v>
      </c>
    </row>
    <row r="418" spans="1:27" ht="13.2" x14ac:dyDescent="0.25">
      <c r="A418" s="15">
        <v>44307</v>
      </c>
      <c r="B418" s="4">
        <v>44007</v>
      </c>
      <c r="C418" s="4">
        <v>1475456</v>
      </c>
      <c r="D418" s="4">
        <v>101106</v>
      </c>
      <c r="E418" s="4">
        <v>1620569</v>
      </c>
      <c r="F418" s="4">
        <v>6587</v>
      </c>
      <c r="G418" s="4">
        <v>388083</v>
      </c>
      <c r="H418" s="4">
        <v>2954</v>
      </c>
      <c r="I418" s="4">
        <v>3486</v>
      </c>
      <c r="J418" s="4">
        <v>401110</v>
      </c>
      <c r="K418" s="4">
        <v>6440</v>
      </c>
      <c r="L418" s="4">
        <v>230</v>
      </c>
      <c r="M418" s="4">
        <v>7314</v>
      </c>
      <c r="N418" s="4">
        <v>-1824</v>
      </c>
      <c r="O418" s="4">
        <v>5720</v>
      </c>
      <c r="P418" s="4">
        <v>18</v>
      </c>
      <c r="Q418" s="4">
        <v>576</v>
      </c>
      <c r="R418" s="4">
        <v>9</v>
      </c>
      <c r="S418" s="4">
        <v>-1</v>
      </c>
      <c r="T418" s="4">
        <v>602</v>
      </c>
      <c r="U418" s="4">
        <v>8</v>
      </c>
    </row>
    <row r="419" spans="1:27" ht="13.2" x14ac:dyDescent="0.25">
      <c r="A419" s="15">
        <v>44308</v>
      </c>
      <c r="B419" s="4">
        <v>44172</v>
      </c>
      <c r="C419" s="4">
        <v>1481449</v>
      </c>
      <c r="D419" s="4">
        <v>101191</v>
      </c>
      <c r="E419" s="4">
        <v>1626812</v>
      </c>
      <c r="F419" s="4">
        <v>6596</v>
      </c>
      <c r="G419" s="4">
        <v>388735</v>
      </c>
      <c r="H419" s="4">
        <v>3497</v>
      </c>
      <c r="I419" s="4">
        <v>3548</v>
      </c>
      <c r="J419" s="4">
        <v>402376</v>
      </c>
      <c r="K419" s="4">
        <v>7045</v>
      </c>
      <c r="L419" s="4">
        <v>165</v>
      </c>
      <c r="M419" s="4">
        <v>5993</v>
      </c>
      <c r="N419" s="4">
        <v>85</v>
      </c>
      <c r="O419" s="4">
        <v>6243</v>
      </c>
      <c r="P419" s="4">
        <v>9</v>
      </c>
      <c r="Q419" s="4">
        <v>652</v>
      </c>
      <c r="R419" s="4">
        <v>543</v>
      </c>
      <c r="S419" s="4">
        <v>62</v>
      </c>
      <c r="T419" s="4">
        <v>1266</v>
      </c>
      <c r="U419" s="4">
        <v>605</v>
      </c>
    </row>
    <row r="420" spans="1:27" ht="13.2" x14ac:dyDescent="0.25">
      <c r="A420" s="15">
        <v>44309</v>
      </c>
      <c r="B420" s="21">
        <v>44346</v>
      </c>
      <c r="C420" s="21">
        <v>1487369</v>
      </c>
      <c r="D420" s="21">
        <v>100533</v>
      </c>
      <c r="E420" s="21">
        <v>1632248</v>
      </c>
      <c r="F420" s="21">
        <v>6612</v>
      </c>
      <c r="G420" s="21">
        <v>389445</v>
      </c>
      <c r="H420" s="21">
        <v>3584</v>
      </c>
      <c r="I420" s="21">
        <v>3619</v>
      </c>
      <c r="J420" s="21">
        <v>403260</v>
      </c>
      <c r="K420" s="21">
        <v>7203</v>
      </c>
      <c r="L420" s="21">
        <v>174</v>
      </c>
      <c r="M420" s="21">
        <v>5920</v>
      </c>
      <c r="N420" s="21">
        <v>-658</v>
      </c>
      <c r="O420" s="21">
        <v>5436</v>
      </c>
      <c r="P420" s="21">
        <v>16</v>
      </c>
      <c r="Q420" s="21">
        <v>710</v>
      </c>
      <c r="R420" s="21">
        <v>87</v>
      </c>
      <c r="S420" s="21">
        <v>71</v>
      </c>
      <c r="T420" s="21">
        <v>884</v>
      </c>
      <c r="U420" s="21">
        <v>158</v>
      </c>
    </row>
    <row r="421" spans="1:27" ht="13.2" x14ac:dyDescent="0.25">
      <c r="A421" s="15">
        <v>44310</v>
      </c>
      <c r="B421" s="21">
        <v>44500</v>
      </c>
      <c r="C421" s="21">
        <v>1492322</v>
      </c>
      <c r="D421" s="21">
        <v>99970</v>
      </c>
      <c r="E421" s="21">
        <v>1636792</v>
      </c>
      <c r="F421" s="4">
        <v>6623</v>
      </c>
      <c r="G421" s="4">
        <v>390334</v>
      </c>
      <c r="H421" s="4">
        <v>3563</v>
      </c>
      <c r="I421" s="4">
        <v>3647</v>
      </c>
      <c r="J421" s="4">
        <v>404167</v>
      </c>
      <c r="K421" s="21">
        <v>7210</v>
      </c>
      <c r="L421" s="21">
        <v>154</v>
      </c>
      <c r="M421" s="21">
        <v>4953</v>
      </c>
      <c r="N421" s="21">
        <v>-563</v>
      </c>
      <c r="O421" s="21">
        <v>4544</v>
      </c>
      <c r="P421" s="21">
        <v>11</v>
      </c>
      <c r="Q421" s="21">
        <v>889</v>
      </c>
      <c r="R421" s="21">
        <v>-21</v>
      </c>
      <c r="S421" s="21">
        <v>28</v>
      </c>
      <c r="T421" s="21">
        <v>907</v>
      </c>
      <c r="U421" s="21">
        <v>7</v>
      </c>
    </row>
    <row r="422" spans="1:27" ht="15.75" customHeight="1" x14ac:dyDescent="0.3">
      <c r="A422" s="15">
        <v>44311</v>
      </c>
      <c r="B422" s="10">
        <v>44594</v>
      </c>
      <c r="C422" s="10">
        <v>1496126</v>
      </c>
      <c r="D422" s="10">
        <v>100474</v>
      </c>
      <c r="E422" s="10">
        <v>1641194</v>
      </c>
      <c r="F422" s="10">
        <v>6645</v>
      </c>
      <c r="G422" s="10">
        <v>391301</v>
      </c>
      <c r="H422" s="10">
        <v>3399</v>
      </c>
      <c r="I422" s="10">
        <v>3718</v>
      </c>
      <c r="J422" s="10">
        <v>405063</v>
      </c>
      <c r="K422" s="10">
        <v>7117</v>
      </c>
      <c r="L422" s="10">
        <v>94</v>
      </c>
      <c r="M422" s="10">
        <v>3804</v>
      </c>
      <c r="N422" s="10">
        <v>504</v>
      </c>
      <c r="O422" s="10">
        <v>4402</v>
      </c>
      <c r="P422" s="10">
        <v>22</v>
      </c>
      <c r="Q422" s="10">
        <v>967</v>
      </c>
      <c r="R422" s="10">
        <v>-164</v>
      </c>
      <c r="S422" s="10">
        <v>71</v>
      </c>
      <c r="T422" s="10">
        <v>896</v>
      </c>
      <c r="U422" s="11">
        <v>-93</v>
      </c>
      <c r="V422" s="13"/>
      <c r="W422" s="13"/>
      <c r="X422" s="13"/>
      <c r="Y422" s="13"/>
      <c r="Z422" s="13"/>
      <c r="AA422" s="13"/>
    </row>
    <row r="423" spans="1:27" ht="13.2" x14ac:dyDescent="0.25">
      <c r="A423" s="15">
        <v>44312</v>
      </c>
      <c r="B423" s="4">
        <v>44770</v>
      </c>
      <c r="C423" s="4">
        <v>1501715</v>
      </c>
      <c r="D423" s="4">
        <v>100652</v>
      </c>
      <c r="E423" s="4">
        <v>1647138</v>
      </c>
      <c r="F423" s="4">
        <v>6660</v>
      </c>
      <c r="G423" s="4">
        <v>392595</v>
      </c>
      <c r="H423" s="4">
        <v>3152</v>
      </c>
      <c r="I423" s="4">
        <v>3405</v>
      </c>
      <c r="J423" s="4">
        <v>405812</v>
      </c>
      <c r="K423" s="4">
        <v>6557</v>
      </c>
      <c r="L423" s="4">
        <v>176</v>
      </c>
      <c r="M423" s="4">
        <v>5589</v>
      </c>
      <c r="N423" s="4">
        <v>178</v>
      </c>
      <c r="O423" s="4">
        <v>5944</v>
      </c>
      <c r="P423" s="4">
        <v>15</v>
      </c>
      <c r="Q423" s="4">
        <v>1294</v>
      </c>
      <c r="R423" s="4">
        <v>-247</v>
      </c>
      <c r="S423" s="4">
        <v>-313</v>
      </c>
      <c r="T423" s="4">
        <v>749</v>
      </c>
      <c r="U423" s="4">
        <v>-560</v>
      </c>
    </row>
    <row r="424" spans="1:27" ht="13.2" x14ac:dyDescent="0.25">
      <c r="A424" s="15">
        <v>44313</v>
      </c>
      <c r="B424" s="4">
        <v>44939</v>
      </c>
      <c r="C424" s="4">
        <v>1506599</v>
      </c>
      <c r="D424" s="4">
        <v>100256</v>
      </c>
      <c r="E424" s="4">
        <v>1651794</v>
      </c>
      <c r="F424" s="4">
        <v>6679</v>
      </c>
      <c r="G424" s="4">
        <v>393205</v>
      </c>
      <c r="H424" s="4">
        <v>2999</v>
      </c>
      <c r="I424" s="4">
        <v>3322</v>
      </c>
      <c r="J424" s="4">
        <v>406205</v>
      </c>
      <c r="K424" s="4">
        <v>6321</v>
      </c>
      <c r="L424" s="4">
        <v>169</v>
      </c>
      <c r="M424" s="4">
        <v>4884</v>
      </c>
      <c r="N424" s="4">
        <v>-396</v>
      </c>
      <c r="O424" s="4">
        <v>4656</v>
      </c>
      <c r="P424" s="4">
        <v>19</v>
      </c>
      <c r="Q424" s="4">
        <v>610</v>
      </c>
      <c r="R424" s="4">
        <v>-153</v>
      </c>
      <c r="S424" s="4">
        <v>-83</v>
      </c>
      <c r="T424" s="4">
        <v>393</v>
      </c>
      <c r="U424" s="4">
        <v>-236</v>
      </c>
    </row>
    <row r="425" spans="1:27" ht="13.2" x14ac:dyDescent="0.25">
      <c r="A425" s="15">
        <v>44314</v>
      </c>
      <c r="B425" s="21">
        <v>45116</v>
      </c>
      <c r="C425" s="21">
        <v>1511417</v>
      </c>
      <c r="D425" s="21">
        <v>100502</v>
      </c>
      <c r="E425" s="21">
        <v>1657035</v>
      </c>
      <c r="F425" s="21">
        <v>6690</v>
      </c>
      <c r="G425" s="21">
        <v>393814</v>
      </c>
      <c r="H425" s="21">
        <v>2950</v>
      </c>
      <c r="I425" s="21">
        <v>3390</v>
      </c>
      <c r="J425" s="21">
        <v>406844</v>
      </c>
      <c r="K425" s="21">
        <v>6340</v>
      </c>
      <c r="L425" s="21">
        <v>177</v>
      </c>
      <c r="M425" s="21">
        <v>4818</v>
      </c>
      <c r="N425" s="21">
        <v>246</v>
      </c>
      <c r="O425" s="21">
        <v>5241</v>
      </c>
      <c r="P425" s="21">
        <v>11</v>
      </c>
      <c r="Q425" s="21">
        <v>609</v>
      </c>
      <c r="R425" s="21">
        <v>-49</v>
      </c>
      <c r="S425" s="21">
        <v>68</v>
      </c>
      <c r="T425" s="21">
        <v>639</v>
      </c>
      <c r="U425" s="21">
        <v>19</v>
      </c>
    </row>
    <row r="426" spans="1:27" ht="13.2" x14ac:dyDescent="0.25">
      <c r="A426" s="15">
        <v>44315</v>
      </c>
      <c r="B426" s="4">
        <v>45334</v>
      </c>
      <c r="C426" s="4">
        <v>1517432</v>
      </c>
      <c r="D426" s="4">
        <v>100102</v>
      </c>
      <c r="E426" s="4">
        <v>1662868</v>
      </c>
      <c r="F426" s="4">
        <v>6710</v>
      </c>
      <c r="G426" s="4">
        <v>394403</v>
      </c>
      <c r="H426" s="4">
        <v>3308</v>
      </c>
      <c r="I426" s="4">
        <v>3410</v>
      </c>
      <c r="J426" s="4">
        <v>407831</v>
      </c>
      <c r="K426" s="4">
        <v>6718</v>
      </c>
      <c r="L426" s="4">
        <v>218</v>
      </c>
      <c r="M426" s="4">
        <v>6015</v>
      </c>
      <c r="N426" s="4">
        <v>-400</v>
      </c>
      <c r="O426" s="4">
        <v>5833</v>
      </c>
      <c r="P426" s="4">
        <v>20</v>
      </c>
      <c r="Q426" s="4">
        <v>589</v>
      </c>
      <c r="R426" s="4">
        <v>358</v>
      </c>
      <c r="S426" s="4">
        <v>20</v>
      </c>
      <c r="T426" s="4">
        <v>987</v>
      </c>
      <c r="U426" s="4">
        <v>378</v>
      </c>
    </row>
    <row r="427" spans="1:27" ht="13.2" x14ac:dyDescent="0.25">
      <c r="A427" s="15">
        <v>44316</v>
      </c>
      <c r="B427" s="4">
        <v>45521</v>
      </c>
      <c r="C427" s="4">
        <v>1522634</v>
      </c>
      <c r="D427" s="4">
        <v>100213</v>
      </c>
      <c r="E427" s="4">
        <v>1668368</v>
      </c>
      <c r="F427" s="4">
        <v>6733</v>
      </c>
      <c r="G427" s="4">
        <v>394939</v>
      </c>
      <c r="H427" s="4">
        <v>3421</v>
      </c>
      <c r="I427" s="4">
        <v>3527</v>
      </c>
      <c r="J427" s="4">
        <v>408620</v>
      </c>
      <c r="K427" s="4">
        <v>6948</v>
      </c>
      <c r="L427" s="4">
        <v>187</v>
      </c>
      <c r="M427" s="4">
        <v>5202</v>
      </c>
      <c r="N427" s="4">
        <v>111</v>
      </c>
      <c r="O427" s="4">
        <v>5500</v>
      </c>
      <c r="P427" s="4">
        <v>23</v>
      </c>
      <c r="Q427" s="4">
        <v>536</v>
      </c>
      <c r="R427" s="4">
        <v>113</v>
      </c>
      <c r="S427" s="4">
        <v>117</v>
      </c>
      <c r="T427" s="4">
        <v>789</v>
      </c>
      <c r="U427" s="4">
        <v>230</v>
      </c>
    </row>
    <row r="428" spans="1:27" ht="13.2" x14ac:dyDescent="0.25">
      <c r="A428" s="15">
        <v>44317</v>
      </c>
      <c r="B428" s="4">
        <v>45652</v>
      </c>
      <c r="C428" s="4">
        <v>1526978</v>
      </c>
      <c r="D428" s="4">
        <v>100250</v>
      </c>
      <c r="E428" s="4">
        <v>1672880</v>
      </c>
      <c r="F428" s="4">
        <v>6747</v>
      </c>
      <c r="G428" s="4">
        <v>395644</v>
      </c>
      <c r="H428" s="4">
        <v>3533</v>
      </c>
      <c r="I428" s="4">
        <v>3622</v>
      </c>
      <c r="J428" s="4">
        <v>409546</v>
      </c>
      <c r="K428" s="4">
        <v>7155</v>
      </c>
      <c r="L428" s="4">
        <v>131</v>
      </c>
      <c r="M428" s="4">
        <v>4344</v>
      </c>
      <c r="N428" s="4">
        <v>37</v>
      </c>
      <c r="O428" s="4">
        <v>4512</v>
      </c>
      <c r="P428" s="4">
        <v>14</v>
      </c>
      <c r="Q428" s="4">
        <v>705</v>
      </c>
      <c r="R428" s="4">
        <v>112</v>
      </c>
      <c r="S428" s="4">
        <v>95</v>
      </c>
      <c r="T428" s="4">
        <v>926</v>
      </c>
      <c r="U428" s="4">
        <v>207</v>
      </c>
    </row>
    <row r="429" spans="1:27" ht="15.75" customHeight="1" x14ac:dyDescent="0.3">
      <c r="A429" s="15">
        <v>44318</v>
      </c>
      <c r="B429" s="10">
        <v>45796</v>
      </c>
      <c r="C429" s="10">
        <v>1530718</v>
      </c>
      <c r="D429" s="10">
        <v>100760</v>
      </c>
      <c r="E429" s="10">
        <v>1677274</v>
      </c>
      <c r="F429" s="10">
        <v>6767</v>
      </c>
      <c r="G429" s="10">
        <v>396594</v>
      </c>
      <c r="H429" s="10">
        <v>3450</v>
      </c>
      <c r="I429" s="10">
        <v>3589</v>
      </c>
      <c r="J429" s="10">
        <v>410400</v>
      </c>
      <c r="K429" s="10">
        <v>7039</v>
      </c>
      <c r="L429" s="10">
        <v>144</v>
      </c>
      <c r="M429" s="10">
        <v>3740</v>
      </c>
      <c r="N429" s="10">
        <v>510</v>
      </c>
      <c r="O429" s="10">
        <v>4394</v>
      </c>
      <c r="P429" s="10">
        <v>20</v>
      </c>
      <c r="Q429" s="10">
        <v>950</v>
      </c>
      <c r="R429" s="10">
        <v>-83</v>
      </c>
      <c r="S429" s="10">
        <v>-33</v>
      </c>
      <c r="T429" s="10">
        <v>854</v>
      </c>
      <c r="U429" s="11">
        <v>-116</v>
      </c>
      <c r="V429" s="13"/>
      <c r="W429" s="13"/>
      <c r="X429" s="13"/>
      <c r="Y429" s="13"/>
      <c r="Z429" s="13"/>
      <c r="AA429" s="13"/>
    </row>
    <row r="430" spans="1:27" ht="13.2" x14ac:dyDescent="0.25">
      <c r="A430" s="15">
        <v>44319</v>
      </c>
      <c r="B430" s="21">
        <v>45949</v>
      </c>
      <c r="C430" s="21">
        <v>1535491</v>
      </c>
      <c r="D430" s="21">
        <v>100564</v>
      </c>
      <c r="E430" s="21">
        <v>1682004</v>
      </c>
      <c r="F430" s="21">
        <v>6788</v>
      </c>
      <c r="G430" s="21">
        <v>397349</v>
      </c>
      <c r="H430" s="21">
        <v>3483</v>
      </c>
      <c r="I430" s="21">
        <v>3537</v>
      </c>
      <c r="J430" s="21">
        <v>411157</v>
      </c>
      <c r="K430" s="21">
        <v>7020</v>
      </c>
      <c r="L430" s="21">
        <v>153</v>
      </c>
      <c r="M430" s="21">
        <v>4773</v>
      </c>
      <c r="N430" s="21">
        <v>-196</v>
      </c>
      <c r="O430" s="21">
        <v>4730</v>
      </c>
      <c r="P430" s="21">
        <v>21</v>
      </c>
      <c r="Q430" s="21">
        <v>755</v>
      </c>
      <c r="R430" s="21">
        <v>33</v>
      </c>
      <c r="S430" s="21">
        <v>-52</v>
      </c>
      <c r="T430" s="21">
        <v>757</v>
      </c>
      <c r="U430" s="21">
        <v>-19</v>
      </c>
    </row>
    <row r="431" spans="1:27" ht="13.2" x14ac:dyDescent="0.25">
      <c r="A431" s="15">
        <v>44320</v>
      </c>
      <c r="B431" s="21">
        <v>46137</v>
      </c>
      <c r="C431" s="21">
        <v>1541149</v>
      </c>
      <c r="D431" s="21">
        <v>99087</v>
      </c>
      <c r="E431" s="21">
        <v>1686373</v>
      </c>
      <c r="F431" s="21">
        <v>6807</v>
      </c>
      <c r="G431" s="21">
        <v>397955</v>
      </c>
      <c r="H431" s="21">
        <v>3247</v>
      </c>
      <c r="I431" s="21">
        <v>3564</v>
      </c>
      <c r="J431" s="21">
        <v>411573</v>
      </c>
      <c r="K431" s="21">
        <v>6811</v>
      </c>
      <c r="L431" s="21">
        <v>188</v>
      </c>
      <c r="M431" s="21">
        <v>5658</v>
      </c>
      <c r="N431" s="21">
        <v>-1477</v>
      </c>
      <c r="O431" s="21">
        <v>4369</v>
      </c>
      <c r="P431" s="21">
        <v>19</v>
      </c>
      <c r="Q431" s="21">
        <v>606</v>
      </c>
      <c r="R431" s="21">
        <v>-236</v>
      </c>
      <c r="S431" s="21">
        <v>27</v>
      </c>
      <c r="T431" s="21">
        <v>416</v>
      </c>
      <c r="U431" s="21">
        <v>-209</v>
      </c>
    </row>
    <row r="432" spans="1:27" ht="13.2" x14ac:dyDescent="0.25">
      <c r="A432" s="15">
        <v>44321</v>
      </c>
      <c r="B432" s="4">
        <v>46349</v>
      </c>
      <c r="C432" s="4">
        <v>1547092</v>
      </c>
      <c r="D432" s="4">
        <v>98217</v>
      </c>
      <c r="E432" s="4">
        <v>1691658</v>
      </c>
      <c r="F432" s="4">
        <v>6830</v>
      </c>
      <c r="G432" s="4">
        <v>398610</v>
      </c>
      <c r="H432" s="4">
        <v>3240</v>
      </c>
      <c r="I432" s="4">
        <v>3738</v>
      </c>
      <c r="J432" s="4">
        <v>412418</v>
      </c>
      <c r="K432" s="4">
        <v>6978</v>
      </c>
      <c r="L432" s="4">
        <v>212</v>
      </c>
      <c r="M432" s="4">
        <v>5943</v>
      </c>
      <c r="N432" s="4">
        <v>-870</v>
      </c>
      <c r="O432" s="4">
        <v>5285</v>
      </c>
      <c r="P432" s="4">
        <v>23</v>
      </c>
      <c r="Q432" s="4">
        <v>655</v>
      </c>
      <c r="R432" s="4">
        <v>-7</v>
      </c>
      <c r="S432" s="4">
        <v>174</v>
      </c>
      <c r="T432" s="4">
        <v>845</v>
      </c>
      <c r="U432" s="4">
        <v>167</v>
      </c>
    </row>
    <row r="433" spans="1:27" ht="13.2" x14ac:dyDescent="0.25">
      <c r="A433" s="15">
        <v>44322</v>
      </c>
      <c r="B433" s="4">
        <v>46496</v>
      </c>
      <c r="C433" s="4">
        <v>1552532</v>
      </c>
      <c r="D433" s="4">
        <v>98277</v>
      </c>
      <c r="E433" s="4">
        <v>1697305</v>
      </c>
      <c r="F433" s="4">
        <v>6850</v>
      </c>
      <c r="G433" s="4">
        <v>399224</v>
      </c>
      <c r="H433" s="4">
        <v>3406</v>
      </c>
      <c r="I433" s="4">
        <v>3843</v>
      </c>
      <c r="J433" s="4">
        <v>413323</v>
      </c>
      <c r="K433" s="4">
        <v>7249</v>
      </c>
      <c r="L433" s="4">
        <v>147</v>
      </c>
      <c r="M433" s="4">
        <v>5440</v>
      </c>
      <c r="N433" s="4">
        <v>60</v>
      </c>
      <c r="O433" s="4">
        <v>5647</v>
      </c>
      <c r="P433" s="4">
        <v>20</v>
      </c>
      <c r="Q433" s="4">
        <v>614</v>
      </c>
      <c r="R433" s="4">
        <v>166</v>
      </c>
      <c r="S433" s="4">
        <v>105</v>
      </c>
      <c r="T433" s="4">
        <v>905</v>
      </c>
      <c r="U433" s="4">
        <v>271</v>
      </c>
    </row>
    <row r="434" spans="1:27" ht="13.2" x14ac:dyDescent="0.25">
      <c r="A434" s="15">
        <v>44323</v>
      </c>
      <c r="B434" s="4">
        <v>46663</v>
      </c>
      <c r="C434" s="4">
        <v>1558423</v>
      </c>
      <c r="D434" s="4">
        <v>98546</v>
      </c>
      <c r="E434" s="4">
        <v>1703632</v>
      </c>
      <c r="F434" s="4">
        <v>6872</v>
      </c>
      <c r="G434" s="4">
        <v>399821</v>
      </c>
      <c r="H434" s="4">
        <v>3485</v>
      </c>
      <c r="I434" s="4">
        <v>3928</v>
      </c>
      <c r="J434" s="4">
        <v>414106</v>
      </c>
      <c r="K434" s="4">
        <v>7413</v>
      </c>
      <c r="L434" s="4">
        <v>167</v>
      </c>
      <c r="M434" s="4">
        <v>5891</v>
      </c>
      <c r="N434" s="4">
        <v>269</v>
      </c>
      <c r="O434" s="4">
        <v>6327</v>
      </c>
      <c r="P434" s="4">
        <v>22</v>
      </c>
      <c r="Q434" s="4">
        <v>597</v>
      </c>
      <c r="R434" s="4">
        <v>79</v>
      </c>
      <c r="S434" s="4">
        <v>85</v>
      </c>
      <c r="T434" s="4">
        <v>783</v>
      </c>
      <c r="U434" s="4">
        <v>164</v>
      </c>
    </row>
    <row r="435" spans="1:27" ht="13.2" x14ac:dyDescent="0.25">
      <c r="A435" s="15">
        <v>44324</v>
      </c>
      <c r="B435" s="4">
        <v>46842</v>
      </c>
      <c r="C435" s="4">
        <v>1563917</v>
      </c>
      <c r="D435" s="4">
        <v>99003</v>
      </c>
      <c r="E435" s="4">
        <v>1709762</v>
      </c>
      <c r="F435" s="4">
        <v>6896</v>
      </c>
      <c r="G435" s="4">
        <v>400403</v>
      </c>
      <c r="H435" s="4">
        <v>3569</v>
      </c>
      <c r="I435" s="4">
        <v>3970</v>
      </c>
      <c r="J435" s="4">
        <v>414838</v>
      </c>
      <c r="K435" s="4">
        <v>7539</v>
      </c>
      <c r="L435" s="4">
        <v>179</v>
      </c>
      <c r="M435" s="4">
        <v>5494</v>
      </c>
      <c r="N435" s="4">
        <v>457</v>
      </c>
      <c r="O435" s="4">
        <v>6130</v>
      </c>
      <c r="P435" s="4">
        <v>24</v>
      </c>
      <c r="Q435" s="4">
        <v>582</v>
      </c>
      <c r="R435" s="4">
        <v>84</v>
      </c>
      <c r="S435" s="4">
        <v>42</v>
      </c>
      <c r="T435" s="4">
        <v>732</v>
      </c>
      <c r="U435" s="4">
        <v>126</v>
      </c>
    </row>
    <row r="436" spans="1:27" ht="15.75" customHeight="1" x14ac:dyDescent="0.3">
      <c r="A436" s="15">
        <v>44325</v>
      </c>
      <c r="B436" s="10">
        <v>47012</v>
      </c>
      <c r="C436" s="10">
        <v>1568277</v>
      </c>
      <c r="D436" s="10">
        <v>98395</v>
      </c>
      <c r="E436" s="10">
        <v>1713684</v>
      </c>
      <c r="F436" s="10">
        <v>6911</v>
      </c>
      <c r="G436" s="10">
        <v>401114</v>
      </c>
      <c r="H436" s="10">
        <v>3648</v>
      </c>
      <c r="I436" s="10">
        <v>3974</v>
      </c>
      <c r="J436" s="10">
        <v>415647</v>
      </c>
      <c r="K436" s="10">
        <v>7622</v>
      </c>
      <c r="L436" s="10">
        <v>170</v>
      </c>
      <c r="M436" s="10">
        <v>4360</v>
      </c>
      <c r="N436" s="10">
        <v>-608</v>
      </c>
      <c r="O436" s="10">
        <v>3922</v>
      </c>
      <c r="P436" s="10">
        <v>15</v>
      </c>
      <c r="Q436" s="10">
        <v>711</v>
      </c>
      <c r="R436" s="10">
        <v>79</v>
      </c>
      <c r="S436" s="10">
        <v>4</v>
      </c>
      <c r="T436" s="10">
        <v>809</v>
      </c>
      <c r="U436" s="11">
        <v>83</v>
      </c>
      <c r="V436" s="13"/>
      <c r="W436" s="13"/>
      <c r="X436" s="13"/>
      <c r="Y436" s="13"/>
      <c r="Z436" s="13"/>
      <c r="AA436" s="13"/>
    </row>
    <row r="437" spans="1:27" ht="13.2" x14ac:dyDescent="0.25">
      <c r="A437" s="15">
        <v>44326</v>
      </c>
      <c r="B437" s="4">
        <v>47218</v>
      </c>
      <c r="C437" s="4">
        <v>1574615</v>
      </c>
      <c r="D437" s="4">
        <v>96742</v>
      </c>
      <c r="E437" s="4">
        <v>1718575</v>
      </c>
      <c r="F437" s="4">
        <v>6933</v>
      </c>
      <c r="G437" s="4">
        <v>401744</v>
      </c>
      <c r="H437" s="4">
        <v>3723</v>
      </c>
      <c r="I437" s="4">
        <v>3941</v>
      </c>
      <c r="J437" s="4">
        <v>416341</v>
      </c>
      <c r="K437" s="4">
        <v>7664</v>
      </c>
      <c r="L437" s="4">
        <v>206</v>
      </c>
      <c r="M437" s="4">
        <v>6338</v>
      </c>
      <c r="N437" s="4">
        <v>-1653</v>
      </c>
      <c r="O437" s="4">
        <v>4891</v>
      </c>
      <c r="P437" s="4">
        <v>22</v>
      </c>
      <c r="Q437" s="4">
        <v>630</v>
      </c>
      <c r="R437" s="4">
        <v>75</v>
      </c>
      <c r="S437" s="4">
        <v>-33</v>
      </c>
      <c r="T437" s="4">
        <v>694</v>
      </c>
      <c r="U437" s="4">
        <v>42</v>
      </c>
    </row>
    <row r="438" spans="1:27" ht="13.2" x14ac:dyDescent="0.25">
      <c r="A438" s="15">
        <v>44327</v>
      </c>
      <c r="B438" s="4">
        <v>47465</v>
      </c>
      <c r="C438" s="4">
        <v>1580207</v>
      </c>
      <c r="D438" s="4">
        <v>95924</v>
      </c>
      <c r="E438" s="4">
        <v>1723596</v>
      </c>
      <c r="F438" s="4">
        <v>6952</v>
      </c>
      <c r="G438" s="4">
        <v>402374</v>
      </c>
      <c r="H438" s="4">
        <v>3490</v>
      </c>
      <c r="I438" s="4">
        <v>3931</v>
      </c>
      <c r="J438" s="4">
        <v>416747</v>
      </c>
      <c r="K438" s="4">
        <v>7421</v>
      </c>
      <c r="L438" s="4">
        <v>247</v>
      </c>
      <c r="M438" s="4">
        <v>5592</v>
      </c>
      <c r="N438" s="4">
        <v>-818</v>
      </c>
      <c r="O438" s="4">
        <v>5021</v>
      </c>
      <c r="P438" s="4">
        <v>19</v>
      </c>
      <c r="Q438" s="4">
        <v>630</v>
      </c>
      <c r="R438" s="4">
        <v>-233</v>
      </c>
      <c r="S438" s="4">
        <v>-10</v>
      </c>
      <c r="T438" s="4">
        <v>406</v>
      </c>
      <c r="U438" s="4">
        <v>-243</v>
      </c>
    </row>
    <row r="439" spans="1:27" ht="13.2" x14ac:dyDescent="0.25">
      <c r="A439" s="15">
        <v>44328</v>
      </c>
      <c r="B439" s="4">
        <v>47617</v>
      </c>
      <c r="C439" s="4">
        <v>1584878</v>
      </c>
      <c r="D439" s="4">
        <v>95709</v>
      </c>
      <c r="E439" s="4">
        <v>1728204</v>
      </c>
      <c r="F439" s="4">
        <v>6973</v>
      </c>
      <c r="G439" s="4">
        <v>403039</v>
      </c>
      <c r="H439" s="4">
        <v>3402</v>
      </c>
      <c r="I439" s="4">
        <v>3989</v>
      </c>
      <c r="J439" s="4">
        <v>417403</v>
      </c>
      <c r="K439" s="4">
        <v>7391</v>
      </c>
      <c r="L439" s="4">
        <v>152</v>
      </c>
      <c r="M439" s="4">
        <v>4671</v>
      </c>
      <c r="N439" s="4">
        <v>-215</v>
      </c>
      <c r="O439" s="4">
        <v>4608</v>
      </c>
      <c r="P439" s="4">
        <v>21</v>
      </c>
      <c r="Q439" s="4">
        <v>665</v>
      </c>
      <c r="R439" s="4">
        <v>-88</v>
      </c>
      <c r="S439" s="4">
        <v>58</v>
      </c>
      <c r="T439" s="4">
        <v>656</v>
      </c>
      <c r="U439" s="4">
        <v>-30</v>
      </c>
    </row>
    <row r="440" spans="1:27" ht="15.75" customHeight="1" x14ac:dyDescent="0.3">
      <c r="A440" s="15">
        <v>44329</v>
      </c>
      <c r="B440" s="10">
        <v>47716</v>
      </c>
      <c r="C440" s="10">
        <v>1589079</v>
      </c>
      <c r="D440" s="10">
        <v>94857</v>
      </c>
      <c r="E440" s="10">
        <v>1731652</v>
      </c>
      <c r="F440" s="10">
        <v>6973</v>
      </c>
      <c r="G440" s="10">
        <v>403630</v>
      </c>
      <c r="H440" s="10">
        <v>3630</v>
      </c>
      <c r="I440" s="10">
        <v>3955</v>
      </c>
      <c r="J440" s="10">
        <v>418188</v>
      </c>
      <c r="K440" s="10">
        <v>7585</v>
      </c>
      <c r="L440" s="10">
        <v>99</v>
      </c>
      <c r="M440" s="10">
        <v>4201</v>
      </c>
      <c r="N440" s="10">
        <v>-852</v>
      </c>
      <c r="O440" s="10">
        <v>3448</v>
      </c>
      <c r="P440" s="10">
        <v>0</v>
      </c>
      <c r="Q440" s="10">
        <v>591</v>
      </c>
      <c r="R440" s="10">
        <v>228</v>
      </c>
      <c r="S440" s="10">
        <v>-34</v>
      </c>
      <c r="T440" s="10">
        <v>785</v>
      </c>
      <c r="U440" s="11">
        <v>194</v>
      </c>
      <c r="V440" s="13"/>
      <c r="W440" s="13"/>
      <c r="X440" s="13"/>
      <c r="Y440" s="13"/>
      <c r="Z440" s="13"/>
      <c r="AA440" s="13"/>
    </row>
    <row r="441" spans="1:27" ht="15.75" customHeight="1" x14ac:dyDescent="0.3">
      <c r="A441" s="15">
        <v>44330</v>
      </c>
      <c r="B441" s="10">
        <v>47823</v>
      </c>
      <c r="C441" s="10">
        <v>1592886</v>
      </c>
      <c r="D441" s="10">
        <v>93576</v>
      </c>
      <c r="E441" s="10">
        <v>1734285</v>
      </c>
      <c r="F441" s="10">
        <v>7003</v>
      </c>
      <c r="G441" s="10">
        <v>404187</v>
      </c>
      <c r="H441" s="10">
        <v>3502</v>
      </c>
      <c r="I441" s="10">
        <v>4128</v>
      </c>
      <c r="J441" s="10">
        <v>418820</v>
      </c>
      <c r="K441" s="10">
        <v>7630</v>
      </c>
      <c r="L441" s="10">
        <v>107</v>
      </c>
      <c r="M441" s="10">
        <v>3807</v>
      </c>
      <c r="N441" s="10">
        <v>-1281</v>
      </c>
      <c r="O441" s="10">
        <v>2633</v>
      </c>
      <c r="P441" s="10">
        <v>30</v>
      </c>
      <c r="Q441" s="10">
        <v>557</v>
      </c>
      <c r="R441" s="10">
        <v>-128</v>
      </c>
      <c r="S441" s="10">
        <v>173</v>
      </c>
      <c r="T441" s="10">
        <v>632</v>
      </c>
      <c r="U441" s="11">
        <v>45</v>
      </c>
      <c r="V441" s="13"/>
      <c r="W441" s="13"/>
      <c r="X441" s="13"/>
      <c r="Y441" s="13"/>
      <c r="Z441" s="13"/>
      <c r="AA441" s="13"/>
    </row>
    <row r="442" spans="1:27" ht="13.2" x14ac:dyDescent="0.25">
      <c r="A442" s="15">
        <v>44331</v>
      </c>
      <c r="B442" s="4">
        <v>47967</v>
      </c>
      <c r="C442" s="4">
        <v>1597067</v>
      </c>
      <c r="D442" s="4">
        <v>91636</v>
      </c>
      <c r="E442" s="4">
        <v>1736670</v>
      </c>
      <c r="F442" s="4">
        <v>7066</v>
      </c>
      <c r="G442" s="4">
        <v>404715</v>
      </c>
      <c r="H442" s="4">
        <v>3288</v>
      </c>
      <c r="I442" s="4">
        <v>3978</v>
      </c>
      <c r="J442" s="4">
        <v>419047</v>
      </c>
      <c r="K442" s="4">
        <v>7266</v>
      </c>
      <c r="L442" s="4">
        <v>144</v>
      </c>
      <c r="M442" s="4">
        <v>4181</v>
      </c>
      <c r="N442" s="4">
        <v>-1940</v>
      </c>
      <c r="O442" s="4">
        <v>2385</v>
      </c>
      <c r="P442" s="4">
        <v>63</v>
      </c>
      <c r="Q442" s="4">
        <v>528</v>
      </c>
      <c r="R442" s="4">
        <v>-214</v>
      </c>
      <c r="S442" s="4">
        <v>-150</v>
      </c>
      <c r="T442" s="4">
        <v>227</v>
      </c>
      <c r="U442" s="4">
        <v>-364</v>
      </c>
    </row>
    <row r="443" spans="1:27" ht="13.2" x14ac:dyDescent="0.25">
      <c r="A443" s="15">
        <v>44332</v>
      </c>
      <c r="B443" s="4">
        <v>48093</v>
      </c>
      <c r="C443" s="4">
        <v>1600857</v>
      </c>
      <c r="D443" s="4">
        <v>90800</v>
      </c>
      <c r="E443" s="4">
        <v>1739750</v>
      </c>
      <c r="F443" s="4">
        <v>7082</v>
      </c>
      <c r="G443" s="4">
        <v>404980</v>
      </c>
      <c r="H443" s="4">
        <v>3189</v>
      </c>
      <c r="I443" s="4">
        <v>3957</v>
      </c>
      <c r="J443" s="4">
        <v>419208</v>
      </c>
      <c r="K443" s="4">
        <v>7146</v>
      </c>
      <c r="L443" s="4">
        <v>126</v>
      </c>
      <c r="M443" s="4">
        <v>3790</v>
      </c>
      <c r="N443" s="4">
        <v>-836</v>
      </c>
      <c r="O443" s="4">
        <v>3080</v>
      </c>
      <c r="P443" s="4">
        <v>16</v>
      </c>
      <c r="Q443" s="4">
        <v>265</v>
      </c>
      <c r="R443" s="4">
        <v>-99</v>
      </c>
      <c r="S443" s="4">
        <v>-21</v>
      </c>
      <c r="T443" s="4">
        <v>161</v>
      </c>
      <c r="U443" s="4">
        <v>-120</v>
      </c>
    </row>
    <row r="444" spans="1:27" ht="13.2" x14ac:dyDescent="0.25">
      <c r="A444" s="15">
        <v>44333</v>
      </c>
      <c r="B444" s="4">
        <v>48305</v>
      </c>
      <c r="C444" s="4">
        <v>1606611</v>
      </c>
      <c r="D444" s="4">
        <v>89129</v>
      </c>
      <c r="E444" s="4">
        <v>1744045</v>
      </c>
      <c r="F444" s="4">
        <v>7107</v>
      </c>
      <c r="G444" s="4">
        <v>405229</v>
      </c>
      <c r="H444" s="4">
        <v>3158</v>
      </c>
      <c r="I444" s="4">
        <v>4135</v>
      </c>
      <c r="J444" s="4">
        <v>419629</v>
      </c>
      <c r="K444" s="4">
        <v>7293</v>
      </c>
      <c r="L444" s="4">
        <v>212</v>
      </c>
      <c r="M444" s="4">
        <v>5754</v>
      </c>
      <c r="N444" s="4">
        <v>-1671</v>
      </c>
      <c r="O444" s="4">
        <v>4295</v>
      </c>
      <c r="P444" s="4">
        <v>25</v>
      </c>
      <c r="Q444" s="4">
        <v>249</v>
      </c>
      <c r="R444" s="4">
        <v>-31</v>
      </c>
      <c r="S444" s="4">
        <v>178</v>
      </c>
      <c r="T444" s="4">
        <v>421</v>
      </c>
      <c r="U444" s="4">
        <v>147</v>
      </c>
    </row>
    <row r="445" spans="1:27" ht="13.2" x14ac:dyDescent="0.25">
      <c r="A445" s="15">
        <v>44334</v>
      </c>
      <c r="B445" s="4">
        <v>48477</v>
      </c>
      <c r="C445" s="4">
        <v>1612239</v>
      </c>
      <c r="D445" s="4">
        <v>87514</v>
      </c>
      <c r="E445" s="4">
        <v>1748230</v>
      </c>
      <c r="F445" s="4">
        <v>7130</v>
      </c>
      <c r="G445" s="4">
        <v>405357</v>
      </c>
      <c r="H445" s="4">
        <v>3248</v>
      </c>
      <c r="I445" s="4">
        <v>4185</v>
      </c>
      <c r="J445" s="4">
        <v>419920</v>
      </c>
      <c r="K445" s="4">
        <v>7433</v>
      </c>
      <c r="L445" s="4">
        <v>172</v>
      </c>
      <c r="M445" s="4">
        <v>5628</v>
      </c>
      <c r="N445" s="4">
        <v>-1615</v>
      </c>
      <c r="O445" s="4">
        <v>4185</v>
      </c>
      <c r="P445" s="4">
        <v>23</v>
      </c>
      <c r="Q445" s="4">
        <v>128</v>
      </c>
      <c r="R445" s="4">
        <v>90</v>
      </c>
      <c r="S445" s="4">
        <v>50</v>
      </c>
      <c r="T445" s="4">
        <v>291</v>
      </c>
      <c r="U445" s="4">
        <v>140</v>
      </c>
    </row>
    <row r="446" spans="1:27" ht="13.2" x14ac:dyDescent="0.25">
      <c r="A446" s="15">
        <v>44335</v>
      </c>
      <c r="B446" s="21">
        <v>48669</v>
      </c>
      <c r="C446" s="21">
        <v>1616603</v>
      </c>
      <c r="D446" s="21">
        <v>87829</v>
      </c>
      <c r="E446" s="21">
        <v>1753101</v>
      </c>
      <c r="F446" s="21">
        <v>7149</v>
      </c>
      <c r="G446" s="21">
        <v>405535</v>
      </c>
      <c r="H446" s="21">
        <v>3366</v>
      </c>
      <c r="I446" s="21">
        <v>4409</v>
      </c>
      <c r="J446" s="21">
        <v>420459</v>
      </c>
      <c r="K446" s="21">
        <v>7775</v>
      </c>
      <c r="L446" s="21">
        <v>192</v>
      </c>
      <c r="M446" s="21">
        <v>4364</v>
      </c>
      <c r="N446" s="21">
        <v>315</v>
      </c>
      <c r="O446" s="21">
        <v>4871</v>
      </c>
      <c r="P446" s="21">
        <v>19</v>
      </c>
      <c r="Q446" s="21">
        <v>178</v>
      </c>
      <c r="R446" s="21">
        <v>118</v>
      </c>
      <c r="S446" s="21">
        <v>224</v>
      </c>
      <c r="T446" s="21">
        <v>539</v>
      </c>
      <c r="U446" s="21">
        <v>342</v>
      </c>
    </row>
    <row r="447" spans="1:27" ht="13.2" x14ac:dyDescent="0.25">
      <c r="A447" s="15">
        <v>44336</v>
      </c>
      <c r="B447" s="4">
        <v>48887</v>
      </c>
      <c r="C447" s="4">
        <v>1621572</v>
      </c>
      <c r="D447" s="4">
        <v>88439</v>
      </c>
      <c r="E447" s="4">
        <v>1758898</v>
      </c>
      <c r="F447" s="4">
        <v>7169</v>
      </c>
      <c r="G447" s="4">
        <v>405714</v>
      </c>
      <c r="H447" s="4">
        <v>3797</v>
      </c>
      <c r="I447" s="4">
        <v>4674</v>
      </c>
      <c r="J447" s="4">
        <v>421354</v>
      </c>
      <c r="K447" s="4">
        <v>8471</v>
      </c>
      <c r="L447" s="4">
        <v>218</v>
      </c>
      <c r="M447" s="4">
        <v>4969</v>
      </c>
      <c r="N447" s="4">
        <v>610</v>
      </c>
      <c r="O447" s="4">
        <v>5797</v>
      </c>
      <c r="P447" s="4">
        <v>20</v>
      </c>
      <c r="Q447" s="4">
        <v>179</v>
      </c>
      <c r="R447" s="4">
        <v>431</v>
      </c>
      <c r="S447" s="4">
        <v>265</v>
      </c>
      <c r="T447" s="4">
        <v>895</v>
      </c>
      <c r="U447" s="4">
        <v>696</v>
      </c>
    </row>
    <row r="448" spans="1:27" ht="13.2" x14ac:dyDescent="0.25">
      <c r="A448" s="15">
        <v>44337</v>
      </c>
      <c r="B448" s="21">
        <v>49073</v>
      </c>
      <c r="C448" s="21">
        <v>1626142</v>
      </c>
      <c r="D448" s="21">
        <v>89429</v>
      </c>
      <c r="E448" s="21">
        <v>1764644</v>
      </c>
      <c r="F448" s="21">
        <v>7184</v>
      </c>
      <c r="G448" s="21">
        <v>405918</v>
      </c>
      <c r="H448" s="21">
        <v>4142</v>
      </c>
      <c r="I448" s="21">
        <v>4966</v>
      </c>
      <c r="J448" s="21">
        <v>422210</v>
      </c>
      <c r="K448" s="21">
        <v>9108</v>
      </c>
      <c r="L448" s="21">
        <v>186</v>
      </c>
      <c r="M448" s="21">
        <v>4570</v>
      </c>
      <c r="N448" s="21">
        <v>990</v>
      </c>
      <c r="O448" s="21">
        <v>5746</v>
      </c>
      <c r="P448" s="21">
        <v>15</v>
      </c>
      <c r="Q448" s="21">
        <v>204</v>
      </c>
      <c r="R448" s="21">
        <v>345</v>
      </c>
      <c r="S448" s="21">
        <v>292</v>
      </c>
      <c r="T448" s="21">
        <v>856</v>
      </c>
      <c r="U448" s="21">
        <v>637</v>
      </c>
    </row>
    <row r="449" spans="1:27" ht="15.75" customHeight="1" x14ac:dyDescent="0.3">
      <c r="A449" s="15">
        <v>44338</v>
      </c>
      <c r="B449" s="10">
        <v>49205</v>
      </c>
      <c r="C449" s="10">
        <v>1629495</v>
      </c>
      <c r="D449" s="10">
        <v>91240</v>
      </c>
      <c r="E449" s="10">
        <v>1769940</v>
      </c>
      <c r="F449" s="10">
        <v>7196</v>
      </c>
      <c r="G449" s="10">
        <v>406300</v>
      </c>
      <c r="H449" s="10">
        <v>4386</v>
      </c>
      <c r="I449" s="10">
        <v>5260</v>
      </c>
      <c r="J449" s="10">
        <v>423142</v>
      </c>
      <c r="K449" s="10">
        <v>9646</v>
      </c>
      <c r="L449" s="10">
        <v>132</v>
      </c>
      <c r="M449" s="10">
        <v>3353</v>
      </c>
      <c r="N449" s="10">
        <v>1811</v>
      </c>
      <c r="O449" s="10">
        <v>5296</v>
      </c>
      <c r="P449" s="10">
        <v>12</v>
      </c>
      <c r="Q449" s="10">
        <v>382</v>
      </c>
      <c r="R449" s="10">
        <v>244</v>
      </c>
      <c r="S449" s="10">
        <v>294</v>
      </c>
      <c r="T449" s="10">
        <v>932</v>
      </c>
      <c r="U449" s="11">
        <v>538</v>
      </c>
      <c r="V449" s="13"/>
      <c r="W449" s="13"/>
      <c r="X449" s="13"/>
      <c r="Y449" s="13"/>
      <c r="Z449" s="13"/>
      <c r="AA449" s="13"/>
    </row>
    <row r="450" spans="1:27" ht="15.75" customHeight="1" x14ac:dyDescent="0.3">
      <c r="A450" s="26">
        <v>44339</v>
      </c>
      <c r="B450" s="10">
        <v>49328</v>
      </c>
      <c r="C450" s="10">
        <v>1633045</v>
      </c>
      <c r="D450" s="10">
        <v>92847</v>
      </c>
      <c r="E450" s="10">
        <v>1775220</v>
      </c>
      <c r="F450" s="10">
        <v>7207</v>
      </c>
      <c r="G450" s="10">
        <v>406669</v>
      </c>
      <c r="H450" s="10">
        <v>4744</v>
      </c>
      <c r="I450" s="10">
        <v>5389</v>
      </c>
      <c r="J450" s="10">
        <v>424009</v>
      </c>
      <c r="K450" s="10">
        <v>10133</v>
      </c>
      <c r="L450" s="11">
        <v>123</v>
      </c>
      <c r="M450" s="11">
        <v>3550</v>
      </c>
      <c r="N450" s="11">
        <v>1607</v>
      </c>
      <c r="O450" s="11">
        <v>5280</v>
      </c>
      <c r="P450" s="11">
        <v>11</v>
      </c>
      <c r="Q450" s="11">
        <v>369</v>
      </c>
      <c r="R450" s="11">
        <v>358</v>
      </c>
      <c r="S450" s="11">
        <v>129</v>
      </c>
      <c r="T450" s="11">
        <v>867</v>
      </c>
      <c r="U450" s="11">
        <v>487</v>
      </c>
    </row>
    <row r="451" spans="1:27" ht="15.75" customHeight="1" x14ac:dyDescent="0.3">
      <c r="A451" s="26">
        <v>44340</v>
      </c>
      <c r="B451" s="21">
        <v>49455</v>
      </c>
      <c r="C451" s="21">
        <v>1638279</v>
      </c>
      <c r="D451" s="21">
        <v>93393</v>
      </c>
      <c r="E451" s="21">
        <v>1781127</v>
      </c>
      <c r="F451" s="21">
        <v>7225</v>
      </c>
      <c r="G451" s="21">
        <v>406987</v>
      </c>
      <c r="H451" s="21">
        <v>5079</v>
      </c>
      <c r="I451" s="21">
        <v>5537</v>
      </c>
      <c r="J451" s="21">
        <v>424828</v>
      </c>
      <c r="K451" s="21">
        <v>10616</v>
      </c>
      <c r="L451" s="21">
        <v>127</v>
      </c>
      <c r="M451" s="21">
        <v>5234</v>
      </c>
      <c r="N451" s="21">
        <v>546</v>
      </c>
      <c r="O451" s="21">
        <v>5907</v>
      </c>
      <c r="P451" s="21">
        <v>18</v>
      </c>
      <c r="Q451" s="21">
        <v>318</v>
      </c>
      <c r="R451" s="21">
        <v>335</v>
      </c>
      <c r="S451" s="21">
        <v>148</v>
      </c>
      <c r="T451" s="21">
        <v>819</v>
      </c>
      <c r="U451" s="21">
        <v>483</v>
      </c>
    </row>
    <row r="452" spans="1:27" ht="15.75" customHeight="1" x14ac:dyDescent="0.3">
      <c r="A452" s="26">
        <v>44341</v>
      </c>
      <c r="B452" s="4">
        <v>49627</v>
      </c>
      <c r="C452" s="4">
        <v>1642074</v>
      </c>
      <c r="D452" s="4">
        <v>94486</v>
      </c>
      <c r="E452" s="4">
        <v>1786187</v>
      </c>
      <c r="F452" s="4">
        <v>7239</v>
      </c>
      <c r="G452" s="4">
        <v>407493</v>
      </c>
      <c r="H452" s="4">
        <v>5017</v>
      </c>
      <c r="I452" s="4">
        <v>5463</v>
      </c>
      <c r="J452" s="4">
        <v>425212</v>
      </c>
      <c r="K452" s="4">
        <v>10480</v>
      </c>
      <c r="L452" s="4">
        <v>172</v>
      </c>
      <c r="M452" s="4">
        <v>3795</v>
      </c>
      <c r="N452" s="4">
        <v>1093</v>
      </c>
      <c r="O452" s="4">
        <v>5060</v>
      </c>
      <c r="P452" s="4">
        <v>14</v>
      </c>
      <c r="Q452" s="4">
        <v>506</v>
      </c>
      <c r="R452" s="4">
        <v>-62</v>
      </c>
      <c r="S452" s="4">
        <v>-74</v>
      </c>
      <c r="T452" s="4">
        <v>384</v>
      </c>
      <c r="U452" s="4">
        <v>-136</v>
      </c>
    </row>
    <row r="453" spans="1:27" ht="13.2" x14ac:dyDescent="0.25">
      <c r="A453" s="15">
        <v>44342</v>
      </c>
      <c r="B453" s="4">
        <v>49771</v>
      </c>
      <c r="C453" s="4">
        <v>1645263</v>
      </c>
      <c r="D453" s="4">
        <v>96187</v>
      </c>
      <c r="E453" s="4">
        <v>1791221</v>
      </c>
      <c r="F453" s="4">
        <v>7250</v>
      </c>
      <c r="G453" s="4">
        <v>408019</v>
      </c>
      <c r="H453" s="4">
        <v>4993</v>
      </c>
      <c r="I453" s="4">
        <v>5567</v>
      </c>
      <c r="J453" s="4">
        <v>425829</v>
      </c>
      <c r="K453" s="4">
        <v>10560</v>
      </c>
      <c r="L453" s="4">
        <v>144</v>
      </c>
      <c r="M453" s="4">
        <v>3189</v>
      </c>
      <c r="N453" s="4">
        <v>1701</v>
      </c>
      <c r="O453" s="4">
        <v>5034</v>
      </c>
      <c r="P453" s="4">
        <v>11</v>
      </c>
      <c r="Q453" s="4">
        <v>526</v>
      </c>
      <c r="R453" s="4">
        <v>-24</v>
      </c>
      <c r="S453" s="4">
        <v>104</v>
      </c>
      <c r="T453" s="4">
        <v>617</v>
      </c>
      <c r="U453" s="4">
        <v>80</v>
      </c>
    </row>
    <row r="454" spans="1:27" ht="13.2" x14ac:dyDescent="0.25">
      <c r="A454" s="15">
        <v>44343</v>
      </c>
      <c r="B454" s="4">
        <v>49907</v>
      </c>
      <c r="C454" s="4">
        <v>1649187</v>
      </c>
      <c r="D454" s="4">
        <v>98405</v>
      </c>
      <c r="E454" s="4">
        <v>1797499</v>
      </c>
      <c r="F454" s="4">
        <v>7271</v>
      </c>
      <c r="G454" s="4">
        <v>408585</v>
      </c>
      <c r="H454" s="4">
        <v>5280</v>
      </c>
      <c r="I454" s="4">
        <v>5633</v>
      </c>
      <c r="J454" s="4">
        <v>426769</v>
      </c>
      <c r="K454" s="4">
        <v>10913</v>
      </c>
      <c r="L454" s="4">
        <v>136</v>
      </c>
      <c r="M454" s="4">
        <v>3924</v>
      </c>
      <c r="N454" s="4">
        <v>2218</v>
      </c>
      <c r="O454" s="4">
        <v>6278</v>
      </c>
      <c r="P454" s="4">
        <v>21</v>
      </c>
      <c r="Q454" s="4">
        <v>566</v>
      </c>
      <c r="R454" s="4">
        <v>287</v>
      </c>
      <c r="S454" s="4">
        <v>66</v>
      </c>
      <c r="T454" s="4">
        <v>940</v>
      </c>
      <c r="U454" s="4">
        <v>353</v>
      </c>
    </row>
    <row r="455" spans="1:27" ht="13.2" x14ac:dyDescent="0.25">
      <c r="A455" s="15">
        <v>44344</v>
      </c>
      <c r="B455" s="4">
        <v>50100</v>
      </c>
      <c r="C455" s="4">
        <v>1654557</v>
      </c>
      <c r="D455" s="4">
        <v>98704</v>
      </c>
      <c r="E455" s="4">
        <v>1803361</v>
      </c>
      <c r="F455" s="4">
        <v>7288</v>
      </c>
      <c r="G455" s="4">
        <v>409497</v>
      </c>
      <c r="H455" s="4">
        <v>5161</v>
      </c>
      <c r="I455" s="4">
        <v>5516</v>
      </c>
      <c r="J455" s="4">
        <v>427462</v>
      </c>
      <c r="K455" s="4">
        <v>10677</v>
      </c>
      <c r="L455" s="4">
        <v>193</v>
      </c>
      <c r="M455" s="4">
        <v>5370</v>
      </c>
      <c r="N455" s="4">
        <v>299</v>
      </c>
      <c r="O455" s="4">
        <v>5862</v>
      </c>
      <c r="P455" s="4">
        <v>17</v>
      </c>
      <c r="Q455" s="4">
        <v>912</v>
      </c>
      <c r="R455" s="4">
        <v>-119</v>
      </c>
      <c r="S455" s="4">
        <v>-117</v>
      </c>
      <c r="T455" s="4">
        <v>693</v>
      </c>
      <c r="U455" s="4">
        <v>-236</v>
      </c>
    </row>
    <row r="456" spans="1:27" ht="13.2" x14ac:dyDescent="0.25">
      <c r="A456" s="3">
        <v>44345</v>
      </c>
      <c r="B456" s="4">
        <v>50262</v>
      </c>
      <c r="C456" s="4">
        <v>1659974</v>
      </c>
      <c r="D456" s="4">
        <v>99690</v>
      </c>
      <c r="E456" s="4">
        <v>1809926</v>
      </c>
      <c r="F456" s="4">
        <v>7296</v>
      </c>
      <c r="G456" s="4">
        <v>410508</v>
      </c>
      <c r="H456" s="4">
        <v>5004</v>
      </c>
      <c r="I456" s="4">
        <v>5461</v>
      </c>
      <c r="J456" s="4">
        <v>428269</v>
      </c>
      <c r="K456" s="4">
        <v>10465</v>
      </c>
      <c r="L456" s="4">
        <v>162</v>
      </c>
      <c r="M456" s="4">
        <v>5417</v>
      </c>
      <c r="N456" s="4">
        <v>986</v>
      </c>
      <c r="O456" s="4">
        <v>6565</v>
      </c>
      <c r="P456" s="4">
        <v>8</v>
      </c>
      <c r="Q456" s="4">
        <v>1011</v>
      </c>
      <c r="R456" s="4">
        <v>-157</v>
      </c>
      <c r="S456" s="4">
        <v>-55</v>
      </c>
      <c r="T456" s="4">
        <v>807</v>
      </c>
      <c r="U456" s="4">
        <v>-212</v>
      </c>
    </row>
    <row r="457" spans="1:27" ht="15.75" customHeight="1" x14ac:dyDescent="0.3">
      <c r="A457" s="27">
        <v>44346</v>
      </c>
      <c r="B457" s="10">
        <v>50404</v>
      </c>
      <c r="C457" s="10">
        <v>1663998</v>
      </c>
      <c r="D457" s="10">
        <v>101639</v>
      </c>
      <c r="E457" s="10">
        <v>1816041</v>
      </c>
      <c r="F457" s="10">
        <v>7309</v>
      </c>
      <c r="G457" s="10">
        <v>411495</v>
      </c>
      <c r="H457" s="10">
        <v>5100</v>
      </c>
      <c r="I457" s="10">
        <v>5429</v>
      </c>
      <c r="J457" s="10">
        <v>429333</v>
      </c>
      <c r="K457" s="10">
        <v>10529</v>
      </c>
      <c r="L457" s="10">
        <v>142</v>
      </c>
      <c r="M457" s="10">
        <v>4024</v>
      </c>
      <c r="N457" s="10">
        <v>1949</v>
      </c>
      <c r="O457" s="10">
        <v>6115</v>
      </c>
      <c r="P457" s="10">
        <v>13</v>
      </c>
      <c r="Q457" s="10">
        <v>987</v>
      </c>
      <c r="R457" s="10">
        <v>96</v>
      </c>
      <c r="S457" s="10">
        <v>-32</v>
      </c>
      <c r="T457" s="10">
        <v>1064</v>
      </c>
      <c r="U457" s="11">
        <v>64</v>
      </c>
      <c r="V457" s="13"/>
      <c r="W457" s="13"/>
      <c r="X457" s="13"/>
      <c r="Y457" s="13"/>
      <c r="Z457" s="13"/>
      <c r="AA457" s="13"/>
    </row>
    <row r="458" spans="1:27" ht="13.2" x14ac:dyDescent="0.25">
      <c r="A458" s="27">
        <v>44347</v>
      </c>
      <c r="B458" s="21">
        <v>50578</v>
      </c>
      <c r="C458" s="21">
        <v>1669119</v>
      </c>
      <c r="D458" s="21">
        <v>102006</v>
      </c>
      <c r="E458" s="21">
        <v>1821703</v>
      </c>
      <c r="F458" s="21">
        <v>7327</v>
      </c>
      <c r="G458" s="21">
        <v>412074</v>
      </c>
      <c r="H458" s="21">
        <v>5241</v>
      </c>
      <c r="I458" s="21">
        <v>5417</v>
      </c>
      <c r="J458" s="21">
        <v>430059</v>
      </c>
      <c r="K458" s="21">
        <v>10658</v>
      </c>
      <c r="L458" s="21">
        <v>174</v>
      </c>
      <c r="M458" s="21">
        <v>5121</v>
      </c>
      <c r="N458" s="21">
        <v>367</v>
      </c>
      <c r="O458" s="21">
        <v>5662</v>
      </c>
      <c r="P458" s="21">
        <v>18</v>
      </c>
      <c r="Q458" s="21">
        <v>579</v>
      </c>
      <c r="R458" s="21">
        <v>141</v>
      </c>
      <c r="S458" s="21">
        <v>-12</v>
      </c>
      <c r="T458" s="21">
        <v>726</v>
      </c>
      <c r="U458" s="21">
        <v>129</v>
      </c>
    </row>
    <row r="459" spans="1:27" ht="13.2" x14ac:dyDescent="0.25">
      <c r="A459" s="27">
        <v>44348</v>
      </c>
      <c r="B459" s="4">
        <v>50723</v>
      </c>
      <c r="C459" s="4">
        <v>1674479</v>
      </c>
      <c r="D459" s="4">
        <v>101325</v>
      </c>
      <c r="E459" s="4">
        <v>1826527</v>
      </c>
      <c r="F459" s="4">
        <v>7349</v>
      </c>
      <c r="G459" s="4">
        <v>412593</v>
      </c>
      <c r="H459" s="4">
        <v>5214</v>
      </c>
      <c r="I459" s="4">
        <v>5422</v>
      </c>
      <c r="J459" s="4">
        <v>430578</v>
      </c>
      <c r="K459" s="4">
        <v>10636</v>
      </c>
      <c r="L459" s="4">
        <v>145</v>
      </c>
      <c r="M459" s="4">
        <v>5360</v>
      </c>
      <c r="N459" s="4">
        <v>-681</v>
      </c>
      <c r="O459" s="4">
        <v>4824</v>
      </c>
      <c r="P459" s="4">
        <v>22</v>
      </c>
      <c r="Q459" s="4">
        <v>519</v>
      </c>
      <c r="R459" s="4">
        <v>-27</v>
      </c>
      <c r="S459" s="4">
        <v>5</v>
      </c>
      <c r="T459" s="4">
        <v>519</v>
      </c>
      <c r="U459" s="4">
        <v>-22</v>
      </c>
    </row>
    <row r="460" spans="1:27" ht="15.75" customHeight="1" x14ac:dyDescent="0.3">
      <c r="A460" s="27">
        <v>44349</v>
      </c>
      <c r="B460" s="11">
        <v>50908</v>
      </c>
      <c r="C460" s="11">
        <v>1680501</v>
      </c>
      <c r="D460" s="11">
        <v>100364</v>
      </c>
      <c r="E460" s="11">
        <v>1831773</v>
      </c>
      <c r="F460" s="11">
        <v>7361</v>
      </c>
      <c r="G460" s="11">
        <v>413179</v>
      </c>
      <c r="H460" s="11">
        <v>5178</v>
      </c>
      <c r="I460" s="11">
        <v>5461</v>
      </c>
      <c r="J460" s="11">
        <v>431179</v>
      </c>
      <c r="K460" s="11">
        <v>10639</v>
      </c>
      <c r="L460" s="28">
        <v>185</v>
      </c>
      <c r="M460" s="28">
        <v>6022</v>
      </c>
      <c r="N460" s="28">
        <v>-961</v>
      </c>
      <c r="O460" s="28">
        <v>5246</v>
      </c>
      <c r="P460" s="28">
        <v>12</v>
      </c>
      <c r="Q460" s="29">
        <v>586</v>
      </c>
      <c r="R460" s="28">
        <v>-36</v>
      </c>
      <c r="S460" s="28">
        <v>39</v>
      </c>
      <c r="T460" s="28">
        <v>601</v>
      </c>
      <c r="U460" s="29">
        <v>3</v>
      </c>
    </row>
    <row r="461" spans="1:27" ht="13.2" x14ac:dyDescent="0.25">
      <c r="A461" s="3">
        <v>44350</v>
      </c>
      <c r="B461" s="4">
        <v>51095</v>
      </c>
      <c r="C461" s="4">
        <v>1691593</v>
      </c>
      <c r="D461" s="4">
        <v>94438</v>
      </c>
      <c r="E461" s="4">
        <v>1837126</v>
      </c>
      <c r="F461" s="4">
        <v>7381</v>
      </c>
      <c r="G461" s="4">
        <v>413680</v>
      </c>
      <c r="H461" s="4">
        <v>5402</v>
      </c>
      <c r="I461" s="4">
        <v>5430</v>
      </c>
      <c r="J461" s="4">
        <v>431893</v>
      </c>
      <c r="K461" s="4">
        <v>10832</v>
      </c>
      <c r="L461" s="4">
        <v>187</v>
      </c>
      <c r="M461" s="4">
        <v>11092</v>
      </c>
      <c r="N461" s="4">
        <v>-5926</v>
      </c>
      <c r="O461" s="4">
        <v>5353</v>
      </c>
      <c r="P461" s="4">
        <v>20</v>
      </c>
      <c r="Q461" s="4">
        <v>501</v>
      </c>
      <c r="R461" s="4">
        <v>224</v>
      </c>
      <c r="S461" s="4">
        <v>-31</v>
      </c>
      <c r="T461" s="4">
        <v>714</v>
      </c>
      <c r="U461" s="4">
        <v>193</v>
      </c>
    </row>
    <row r="462" spans="1:27" ht="13.2" x14ac:dyDescent="0.25">
      <c r="A462" s="3">
        <v>44351</v>
      </c>
      <c r="B462" s="4">
        <v>51296</v>
      </c>
      <c r="C462" s="4">
        <v>1697543</v>
      </c>
      <c r="D462" s="4">
        <v>94773</v>
      </c>
      <c r="E462" s="4">
        <v>1843612</v>
      </c>
      <c r="F462" s="4">
        <v>7402</v>
      </c>
      <c r="G462" s="4">
        <v>414496</v>
      </c>
      <c r="H462" s="4">
        <v>5414</v>
      </c>
      <c r="I462" s="4">
        <v>5487</v>
      </c>
      <c r="J462" s="4">
        <v>432799</v>
      </c>
      <c r="K462" s="4">
        <v>10901</v>
      </c>
      <c r="L462" s="4">
        <v>201</v>
      </c>
      <c r="M462" s="4">
        <v>5950</v>
      </c>
      <c r="N462" s="4">
        <v>335</v>
      </c>
      <c r="O462" s="4">
        <v>6486</v>
      </c>
      <c r="P462" s="4">
        <v>21</v>
      </c>
      <c r="Q462" s="4">
        <v>816</v>
      </c>
      <c r="R462" s="4">
        <v>12</v>
      </c>
      <c r="S462" s="4">
        <v>57</v>
      </c>
      <c r="T462" s="4">
        <v>906</v>
      </c>
      <c r="U462" s="4">
        <v>69</v>
      </c>
    </row>
    <row r="463" spans="1:27" ht="13.2" x14ac:dyDescent="0.25">
      <c r="A463" s="3">
        <v>44352</v>
      </c>
      <c r="B463" s="4">
        <v>51449</v>
      </c>
      <c r="C463" s="4">
        <v>1701784</v>
      </c>
      <c r="D463" s="4">
        <v>96973</v>
      </c>
      <c r="E463" s="4">
        <v>1850206</v>
      </c>
      <c r="F463" s="4">
        <v>7423</v>
      </c>
      <c r="G463" s="4">
        <v>415317</v>
      </c>
      <c r="H463" s="4">
        <v>5756</v>
      </c>
      <c r="I463" s="4">
        <v>5620</v>
      </c>
      <c r="J463" s="4">
        <v>434116</v>
      </c>
      <c r="K463" s="4">
        <v>11376</v>
      </c>
      <c r="L463" s="4">
        <v>153</v>
      </c>
      <c r="M463" s="4">
        <v>4241</v>
      </c>
      <c r="N463" s="4">
        <v>2200</v>
      </c>
      <c r="O463" s="4">
        <v>6594</v>
      </c>
      <c r="P463" s="4">
        <v>21</v>
      </c>
      <c r="Q463" s="4">
        <v>821</v>
      </c>
      <c r="R463" s="4">
        <v>342</v>
      </c>
      <c r="S463" s="4">
        <v>133</v>
      </c>
      <c r="T463" s="4">
        <v>1317</v>
      </c>
      <c r="U463" s="4">
        <v>475</v>
      </c>
    </row>
    <row r="464" spans="1:27" ht="15.75" customHeight="1" x14ac:dyDescent="0.3">
      <c r="A464" s="3">
        <v>44353</v>
      </c>
      <c r="B464" s="10">
        <v>51612</v>
      </c>
      <c r="C464" s="10">
        <v>1705971</v>
      </c>
      <c r="D464" s="10">
        <v>98455</v>
      </c>
      <c r="E464" s="10">
        <v>1856038</v>
      </c>
      <c r="F464" s="10">
        <v>7438</v>
      </c>
      <c r="G464" s="10">
        <v>416181</v>
      </c>
      <c r="H464" s="10">
        <v>5966</v>
      </c>
      <c r="I464" s="10">
        <v>5550</v>
      </c>
      <c r="J464" s="10">
        <v>435135</v>
      </c>
      <c r="K464" s="10">
        <v>11516</v>
      </c>
      <c r="L464" s="10">
        <v>163</v>
      </c>
      <c r="M464" s="10">
        <v>4187</v>
      </c>
      <c r="N464" s="10">
        <v>1482</v>
      </c>
      <c r="O464" s="10">
        <v>5832</v>
      </c>
      <c r="P464" s="10">
        <v>15</v>
      </c>
      <c r="Q464" s="10">
        <v>864</v>
      </c>
      <c r="R464" s="10">
        <v>210</v>
      </c>
      <c r="S464" s="10">
        <v>-70</v>
      </c>
      <c r="T464" s="10">
        <v>1019</v>
      </c>
      <c r="U464" s="11">
        <v>140</v>
      </c>
      <c r="V464" s="13"/>
      <c r="W464" s="13"/>
      <c r="X464" s="13"/>
      <c r="Y464" s="13"/>
      <c r="Z464" s="13"/>
      <c r="AA464" s="13"/>
    </row>
    <row r="465" spans="1:27" ht="13.2" x14ac:dyDescent="0.25">
      <c r="A465" s="3">
        <v>44354</v>
      </c>
      <c r="B465" s="21">
        <v>51803</v>
      </c>
      <c r="C465" s="21">
        <v>1711565</v>
      </c>
      <c r="D465" s="21">
        <v>99663</v>
      </c>
      <c r="E465" s="21">
        <v>1863031</v>
      </c>
      <c r="F465" s="21">
        <v>7457</v>
      </c>
      <c r="G465" s="21">
        <v>416994</v>
      </c>
      <c r="H465" s="21">
        <v>6261</v>
      </c>
      <c r="I465" s="21">
        <v>5620</v>
      </c>
      <c r="J465" s="21">
        <v>436332</v>
      </c>
      <c r="K465" s="21">
        <v>11881</v>
      </c>
      <c r="L465" s="21">
        <v>191</v>
      </c>
      <c r="M465" s="21">
        <v>5594</v>
      </c>
      <c r="N465" s="21">
        <v>1208</v>
      </c>
      <c r="O465" s="21">
        <v>6993</v>
      </c>
      <c r="P465" s="21">
        <v>19</v>
      </c>
      <c r="Q465" s="21">
        <v>813</v>
      </c>
      <c r="R465" s="21">
        <v>295</v>
      </c>
      <c r="S465" s="21">
        <v>70</v>
      </c>
      <c r="T465" s="21">
        <v>1197</v>
      </c>
      <c r="U465" s="21">
        <v>365</v>
      </c>
    </row>
    <row r="466" spans="1:27" ht="13.2" x14ac:dyDescent="0.25">
      <c r="A466" s="3">
        <v>44355</v>
      </c>
      <c r="B466" s="4">
        <v>51992</v>
      </c>
      <c r="C466" s="4">
        <v>1717370</v>
      </c>
      <c r="D466" s="4">
        <v>99963</v>
      </c>
      <c r="E466" s="4">
        <v>1869325</v>
      </c>
      <c r="F466" s="4">
        <v>7478</v>
      </c>
      <c r="G466" s="4">
        <v>417997</v>
      </c>
      <c r="H466" s="4">
        <v>6057</v>
      </c>
      <c r="I466" s="4">
        <v>5555</v>
      </c>
      <c r="J466" s="4">
        <v>437087</v>
      </c>
      <c r="K466" s="4">
        <v>11612</v>
      </c>
      <c r="L466" s="4">
        <v>189</v>
      </c>
      <c r="M466" s="4">
        <v>5805</v>
      </c>
      <c r="N466" s="4">
        <v>300</v>
      </c>
      <c r="O466" s="4">
        <v>6294</v>
      </c>
      <c r="P466" s="4">
        <v>21</v>
      </c>
      <c r="Q466" s="4">
        <v>1003</v>
      </c>
      <c r="R466" s="4">
        <v>-204</v>
      </c>
      <c r="S466" s="4">
        <v>-65</v>
      </c>
      <c r="T466" s="4">
        <v>755</v>
      </c>
      <c r="U466" s="4">
        <v>-269</v>
      </c>
    </row>
    <row r="467" spans="1:27" ht="13.2" x14ac:dyDescent="0.25">
      <c r="A467" s="3">
        <v>44356</v>
      </c>
      <c r="B467" s="4">
        <v>52162</v>
      </c>
      <c r="C467" s="4">
        <v>1723253</v>
      </c>
      <c r="D467" s="4">
        <v>101635</v>
      </c>
      <c r="E467" s="4">
        <v>1877050</v>
      </c>
      <c r="F467" s="4">
        <v>7499</v>
      </c>
      <c r="G467" s="4">
        <v>419109</v>
      </c>
      <c r="H467" s="4">
        <v>6120</v>
      </c>
      <c r="I467" s="4">
        <v>5730</v>
      </c>
      <c r="J467" s="4">
        <v>438458</v>
      </c>
      <c r="K467" s="4">
        <v>11850</v>
      </c>
      <c r="L467" s="4">
        <v>170</v>
      </c>
      <c r="M467" s="4">
        <v>5883</v>
      </c>
      <c r="N467" s="4">
        <v>1672</v>
      </c>
      <c r="O467" s="4">
        <v>7725</v>
      </c>
      <c r="P467" s="4">
        <v>21</v>
      </c>
      <c r="Q467" s="4">
        <v>1112</v>
      </c>
      <c r="R467" s="4">
        <v>63</v>
      </c>
      <c r="S467" s="4">
        <v>175</v>
      </c>
      <c r="T467" s="4">
        <v>1371</v>
      </c>
      <c r="U467" s="4">
        <v>238</v>
      </c>
    </row>
    <row r="468" spans="1:27" ht="13.2" x14ac:dyDescent="0.25">
      <c r="A468" s="3">
        <v>44357</v>
      </c>
      <c r="B468" s="4">
        <v>52373</v>
      </c>
      <c r="C468" s="4">
        <v>1728914</v>
      </c>
      <c r="D468" s="4">
        <v>104614</v>
      </c>
      <c r="E468" s="4">
        <v>1885901</v>
      </c>
      <c r="F468" s="4">
        <v>7523</v>
      </c>
      <c r="G468" s="4">
        <v>420211</v>
      </c>
      <c r="H468" s="4">
        <v>6991</v>
      </c>
      <c r="I468" s="4">
        <v>5829</v>
      </c>
      <c r="J468" s="4">
        <v>440554</v>
      </c>
      <c r="K468" s="4">
        <v>12820</v>
      </c>
      <c r="L468" s="4">
        <v>211</v>
      </c>
      <c r="M468" s="4">
        <v>5661</v>
      </c>
      <c r="N468" s="4">
        <v>2979</v>
      </c>
      <c r="O468" s="4">
        <v>8851</v>
      </c>
      <c r="P468" s="4">
        <v>24</v>
      </c>
      <c r="Q468" s="4">
        <v>1102</v>
      </c>
      <c r="R468" s="4">
        <v>871</v>
      </c>
      <c r="S468" s="4">
        <v>99</v>
      </c>
      <c r="T468" s="4">
        <v>2096</v>
      </c>
      <c r="U468" s="4">
        <v>970</v>
      </c>
    </row>
    <row r="469" spans="1:27" ht="15.75" customHeight="1" x14ac:dyDescent="0.3">
      <c r="A469" s="3">
        <v>44358</v>
      </c>
      <c r="B469" s="10">
        <v>52566</v>
      </c>
      <c r="C469" s="10">
        <v>1735144</v>
      </c>
      <c r="D469" s="10">
        <v>106315</v>
      </c>
      <c r="E469" s="10">
        <v>1894025</v>
      </c>
      <c r="F469" s="10">
        <v>7543</v>
      </c>
      <c r="G469" s="10">
        <v>421396</v>
      </c>
      <c r="H469" s="10">
        <v>7750</v>
      </c>
      <c r="I469" s="10">
        <v>6158</v>
      </c>
      <c r="J469" s="10">
        <v>442847</v>
      </c>
      <c r="K469" s="10">
        <v>13908</v>
      </c>
      <c r="L469" s="28">
        <v>193</v>
      </c>
      <c r="M469" s="28">
        <v>6230</v>
      </c>
      <c r="N469" s="28">
        <v>1701</v>
      </c>
      <c r="O469" s="28">
        <v>8124</v>
      </c>
      <c r="P469" s="28">
        <v>20</v>
      </c>
      <c r="Q469" s="30">
        <v>1185</v>
      </c>
      <c r="R469" s="28">
        <v>759</v>
      </c>
      <c r="S469" s="28">
        <v>329</v>
      </c>
      <c r="T469" s="28">
        <v>2293</v>
      </c>
      <c r="U469" s="30">
        <v>1088</v>
      </c>
      <c r="V469" s="31"/>
      <c r="W469" s="32"/>
      <c r="X469" s="32"/>
      <c r="Y469" s="32"/>
    </row>
    <row r="470" spans="1:27" ht="15.75" customHeight="1" x14ac:dyDescent="0.3">
      <c r="A470" s="3">
        <v>44359</v>
      </c>
      <c r="B470" s="10">
        <v>52730</v>
      </c>
      <c r="C470" s="10">
        <v>1740436</v>
      </c>
      <c r="D470" s="10">
        <v>108324</v>
      </c>
      <c r="E470" s="10">
        <v>1901490</v>
      </c>
      <c r="F470" s="10">
        <v>7557</v>
      </c>
      <c r="G470" s="10">
        <v>422121</v>
      </c>
      <c r="H470" s="10">
        <v>8855</v>
      </c>
      <c r="I470" s="10">
        <v>6769</v>
      </c>
      <c r="J470" s="10">
        <v>445302</v>
      </c>
      <c r="K470" s="10">
        <v>15624</v>
      </c>
      <c r="L470" s="28">
        <v>164</v>
      </c>
      <c r="M470" s="28">
        <v>5292</v>
      </c>
      <c r="N470" s="28">
        <v>2009</v>
      </c>
      <c r="O470" s="28">
        <v>7465</v>
      </c>
      <c r="P470" s="28">
        <v>14</v>
      </c>
      <c r="Q470" s="30">
        <v>725</v>
      </c>
      <c r="R470" s="28">
        <v>1105</v>
      </c>
      <c r="S470" s="28">
        <v>611</v>
      </c>
      <c r="T470" s="28">
        <v>2455</v>
      </c>
      <c r="U470" s="30">
        <v>1716</v>
      </c>
      <c r="V470" s="13"/>
      <c r="W470" s="13"/>
      <c r="X470" s="13"/>
      <c r="Y470" s="13"/>
    </row>
    <row r="471" spans="1:27" ht="15.75" customHeight="1" x14ac:dyDescent="0.3">
      <c r="A471" s="3">
        <v>44360</v>
      </c>
      <c r="B471" s="10">
        <v>52879</v>
      </c>
      <c r="C471" s="10">
        <v>1745091</v>
      </c>
      <c r="D471" s="10">
        <v>113388</v>
      </c>
      <c r="E471" s="10">
        <v>1911358</v>
      </c>
      <c r="F471" s="10">
        <v>7571</v>
      </c>
      <c r="G471" s="10">
        <v>423056</v>
      </c>
      <c r="H471" s="10">
        <v>10034</v>
      </c>
      <c r="I471" s="10">
        <v>7410</v>
      </c>
      <c r="J471" s="10">
        <v>448071</v>
      </c>
      <c r="K471" s="10">
        <v>17444</v>
      </c>
      <c r="L471" s="10">
        <v>149</v>
      </c>
      <c r="M471" s="10">
        <v>4655</v>
      </c>
      <c r="N471" s="10">
        <v>5064</v>
      </c>
      <c r="O471" s="10">
        <v>9868</v>
      </c>
      <c r="P471" s="10">
        <v>14</v>
      </c>
      <c r="Q471" s="10">
        <v>935</v>
      </c>
      <c r="R471" s="10">
        <v>1179</v>
      </c>
      <c r="S471" s="10">
        <v>641</v>
      </c>
      <c r="T471" s="10">
        <v>2769</v>
      </c>
      <c r="U471" s="11">
        <v>1820</v>
      </c>
      <c r="V471" s="13"/>
      <c r="W471" s="13"/>
      <c r="X471" s="13"/>
      <c r="Y471" s="13"/>
      <c r="Z471" s="13"/>
      <c r="AA471" s="13"/>
    </row>
    <row r="472" spans="1:27" ht="15.75" customHeight="1" x14ac:dyDescent="0.3">
      <c r="A472" s="3">
        <v>44361</v>
      </c>
      <c r="B472" s="10">
        <v>53116</v>
      </c>
      <c r="C472" s="10">
        <v>1751234</v>
      </c>
      <c r="D472" s="10">
        <v>115197</v>
      </c>
      <c r="E472" s="10">
        <v>1919547</v>
      </c>
      <c r="F472" s="10">
        <v>7609</v>
      </c>
      <c r="G472" s="10">
        <v>424088</v>
      </c>
      <c r="H472" s="10">
        <v>11240</v>
      </c>
      <c r="I472" s="10">
        <v>7856</v>
      </c>
      <c r="J472" s="10">
        <v>450793</v>
      </c>
      <c r="K472" s="10">
        <v>19096</v>
      </c>
      <c r="L472" s="28">
        <v>237</v>
      </c>
      <c r="M472" s="28">
        <v>6143</v>
      </c>
      <c r="N472" s="28">
        <v>1809</v>
      </c>
      <c r="O472" s="28">
        <v>8189</v>
      </c>
      <c r="P472" s="28">
        <v>38</v>
      </c>
      <c r="Q472" s="30">
        <v>1032</v>
      </c>
      <c r="R472" s="28">
        <v>1206</v>
      </c>
      <c r="S472" s="28">
        <v>446</v>
      </c>
      <c r="T472" s="28">
        <v>2722</v>
      </c>
      <c r="U472" s="30">
        <v>1652</v>
      </c>
    </row>
    <row r="473" spans="1:27" ht="15.75" customHeight="1" x14ac:dyDescent="0.3">
      <c r="A473" s="3">
        <v>44362</v>
      </c>
      <c r="B473" s="10">
        <v>53280</v>
      </c>
      <c r="C473" s="10">
        <v>1757641</v>
      </c>
      <c r="D473" s="10">
        <v>116787</v>
      </c>
      <c r="E473" s="10">
        <v>1927708</v>
      </c>
      <c r="F473" s="10">
        <v>7634</v>
      </c>
      <c r="G473" s="10">
        <v>425417</v>
      </c>
      <c r="H473" s="10">
        <v>11102</v>
      </c>
      <c r="I473" s="10">
        <v>8142</v>
      </c>
      <c r="J473" s="10">
        <v>452295</v>
      </c>
      <c r="K473" s="10">
        <v>19244</v>
      </c>
      <c r="L473" s="28">
        <v>164</v>
      </c>
      <c r="M473" s="28">
        <v>6407</v>
      </c>
      <c r="N473" s="28">
        <v>1590</v>
      </c>
      <c r="O473" s="28">
        <v>8161</v>
      </c>
      <c r="P473" s="28">
        <v>25</v>
      </c>
      <c r="Q473" s="30">
        <v>1329</v>
      </c>
      <c r="R473" s="28">
        <v>-138</v>
      </c>
      <c r="S473" s="28">
        <v>286</v>
      </c>
      <c r="T473" s="28">
        <v>1502</v>
      </c>
      <c r="U473" s="30">
        <v>148</v>
      </c>
    </row>
    <row r="474" spans="1:27" ht="13.2" x14ac:dyDescent="0.25">
      <c r="A474" s="3">
        <v>44363</v>
      </c>
      <c r="B474" s="4">
        <v>53476</v>
      </c>
      <c r="C474" s="4">
        <v>1763870</v>
      </c>
      <c r="D474" s="4">
        <v>120306</v>
      </c>
      <c r="E474" s="4">
        <v>1937652</v>
      </c>
      <c r="F474" s="4">
        <v>7665</v>
      </c>
      <c r="G474" s="4">
        <v>426695</v>
      </c>
      <c r="H474" s="4">
        <v>11555</v>
      </c>
      <c r="I474" s="4">
        <v>8756</v>
      </c>
      <c r="J474" s="4">
        <v>454671</v>
      </c>
      <c r="K474" s="4">
        <v>20311</v>
      </c>
      <c r="L474" s="4">
        <v>196</v>
      </c>
      <c r="M474" s="4">
        <v>6229</v>
      </c>
      <c r="N474" s="4">
        <v>3519</v>
      </c>
      <c r="O474" s="4">
        <v>9944</v>
      </c>
      <c r="P474" s="4">
        <v>31</v>
      </c>
      <c r="Q474" s="4">
        <v>1278</v>
      </c>
      <c r="R474" s="4">
        <v>453</v>
      </c>
      <c r="S474" s="4">
        <v>614</v>
      </c>
      <c r="T474" s="4">
        <v>2376</v>
      </c>
      <c r="U474" s="4">
        <v>1067</v>
      </c>
    </row>
    <row r="475" spans="1:27" ht="13.2" x14ac:dyDescent="0.25">
      <c r="A475" s="3">
        <v>44364</v>
      </c>
      <c r="B475" s="4">
        <v>53753</v>
      </c>
      <c r="C475" s="4">
        <v>1771220</v>
      </c>
      <c r="D475" s="4">
        <v>125303</v>
      </c>
      <c r="E475" s="4">
        <v>1950276</v>
      </c>
      <c r="F475" s="4">
        <v>7713</v>
      </c>
      <c r="G475" s="4">
        <v>428764</v>
      </c>
      <c r="H475" s="4">
        <v>13054</v>
      </c>
      <c r="I475" s="4">
        <v>9284</v>
      </c>
      <c r="J475" s="4">
        <v>458815</v>
      </c>
      <c r="K475" s="4">
        <v>22338</v>
      </c>
      <c r="L475" s="4">
        <v>277</v>
      </c>
      <c r="M475" s="4">
        <v>7350</v>
      </c>
      <c r="N475" s="4">
        <v>4997</v>
      </c>
      <c r="O475" s="4">
        <v>12624</v>
      </c>
      <c r="P475" s="4">
        <v>48</v>
      </c>
      <c r="Q475" s="4">
        <v>2069</v>
      </c>
      <c r="R475" s="4">
        <v>1499</v>
      </c>
      <c r="S475" s="4">
        <v>528</v>
      </c>
      <c r="T475" s="4">
        <v>4144</v>
      </c>
      <c r="U475" s="4">
        <v>2027</v>
      </c>
    </row>
    <row r="476" spans="1:27" ht="13.2" x14ac:dyDescent="0.25">
      <c r="A476" s="3">
        <v>44365</v>
      </c>
      <c r="B476" s="4">
        <v>54043</v>
      </c>
      <c r="C476" s="4">
        <v>1779127</v>
      </c>
      <c r="D476" s="4">
        <v>130096</v>
      </c>
      <c r="E476" s="4">
        <v>1963266</v>
      </c>
      <c r="F476" s="4">
        <v>7777</v>
      </c>
      <c r="G476" s="4">
        <v>431264</v>
      </c>
      <c r="H476" s="4">
        <v>14951</v>
      </c>
      <c r="I476" s="4">
        <v>9560</v>
      </c>
      <c r="J476" s="4">
        <v>463552</v>
      </c>
      <c r="K476" s="4">
        <v>24511</v>
      </c>
      <c r="L476" s="4">
        <v>290</v>
      </c>
      <c r="M476" s="4">
        <v>7907</v>
      </c>
      <c r="N476" s="4">
        <v>4793</v>
      </c>
      <c r="O476" s="4">
        <v>12990</v>
      </c>
      <c r="P476" s="4">
        <v>64</v>
      </c>
      <c r="Q476" s="4">
        <v>2500</v>
      </c>
      <c r="R476" s="4">
        <v>1897</v>
      </c>
      <c r="S476" s="4">
        <v>276</v>
      </c>
      <c r="T476" s="4">
        <v>4737</v>
      </c>
      <c r="U476" s="4">
        <v>2173</v>
      </c>
    </row>
    <row r="477" spans="1:27" ht="13.2" x14ac:dyDescent="0.25">
      <c r="A477" s="3">
        <v>44366</v>
      </c>
      <c r="B477" s="4">
        <v>54291</v>
      </c>
      <c r="C477" s="4">
        <v>1786143</v>
      </c>
      <c r="D477" s="4">
        <v>135738</v>
      </c>
      <c r="E477" s="4">
        <v>1976172</v>
      </c>
      <c r="F477" s="4">
        <v>7836</v>
      </c>
      <c r="G477" s="4">
        <v>433499</v>
      </c>
      <c r="H477" s="4">
        <v>16787</v>
      </c>
      <c r="I477" s="4">
        <v>10325</v>
      </c>
      <c r="J477" s="4">
        <v>468447</v>
      </c>
      <c r="K477" s="4">
        <v>27112</v>
      </c>
      <c r="L477" s="4">
        <v>248</v>
      </c>
      <c r="M477" s="4">
        <v>7016</v>
      </c>
      <c r="N477" s="4">
        <v>5642</v>
      </c>
      <c r="O477" s="4">
        <v>12906</v>
      </c>
      <c r="P477" s="4">
        <v>59</v>
      </c>
      <c r="Q477" s="4">
        <v>2235</v>
      </c>
      <c r="R477" s="4">
        <v>1836</v>
      </c>
      <c r="S477" s="4">
        <v>765</v>
      </c>
      <c r="T477" s="4">
        <v>4895</v>
      </c>
      <c r="U477" s="4">
        <v>2601</v>
      </c>
    </row>
    <row r="478" spans="1:27" ht="15.75" customHeight="1" x14ac:dyDescent="0.3">
      <c r="A478" s="33">
        <v>44367</v>
      </c>
      <c r="B478" s="10">
        <v>54662</v>
      </c>
      <c r="C478" s="10">
        <v>1792528</v>
      </c>
      <c r="D478" s="10">
        <v>142719</v>
      </c>
      <c r="E478" s="10">
        <v>1989909</v>
      </c>
      <c r="F478" s="10">
        <v>7905</v>
      </c>
      <c r="G478" s="10">
        <v>435982</v>
      </c>
      <c r="H478" s="10">
        <v>19105</v>
      </c>
      <c r="I478" s="10">
        <v>11037</v>
      </c>
      <c r="J478" s="10">
        <v>474029</v>
      </c>
      <c r="K478" s="10">
        <v>30142</v>
      </c>
      <c r="L478" s="10">
        <v>371</v>
      </c>
      <c r="M478" s="10">
        <v>6385</v>
      </c>
      <c r="N478" s="10">
        <v>6981</v>
      </c>
      <c r="O478" s="10">
        <v>13737</v>
      </c>
      <c r="P478" s="10">
        <v>69</v>
      </c>
      <c r="Q478" s="10">
        <v>2483</v>
      </c>
      <c r="R478" s="10">
        <v>2318</v>
      </c>
      <c r="S478" s="10">
        <v>712</v>
      </c>
      <c r="T478" s="10">
        <v>5582</v>
      </c>
      <c r="U478" s="11">
        <v>3030</v>
      </c>
      <c r="V478" s="13"/>
      <c r="W478" s="13"/>
      <c r="X478" s="13"/>
      <c r="Y478" s="13"/>
      <c r="Z478" s="13"/>
      <c r="AA478" s="13"/>
    </row>
    <row r="479" spans="1:27" ht="15.75" customHeight="1" x14ac:dyDescent="0.3">
      <c r="A479" s="3">
        <v>44368</v>
      </c>
      <c r="B479" s="10">
        <v>54956</v>
      </c>
      <c r="C479" s="10">
        <v>1801761</v>
      </c>
      <c r="D479" s="10">
        <v>147728</v>
      </c>
      <c r="E479" s="10">
        <v>2004445</v>
      </c>
      <c r="F479" s="10">
        <v>7976</v>
      </c>
      <c r="G479" s="10">
        <v>439007</v>
      </c>
      <c r="H479" s="10">
        <v>20717</v>
      </c>
      <c r="I479" s="10">
        <v>11343</v>
      </c>
      <c r="J479" s="10">
        <v>479043</v>
      </c>
      <c r="K479" s="10">
        <v>32060</v>
      </c>
      <c r="L479" s="28">
        <v>294</v>
      </c>
      <c r="M479" s="28">
        <v>9233</v>
      </c>
      <c r="N479" s="28">
        <v>5009</v>
      </c>
      <c r="O479" s="28">
        <v>14536</v>
      </c>
      <c r="P479" s="28">
        <v>71</v>
      </c>
      <c r="Q479" s="30">
        <v>3025</v>
      </c>
      <c r="R479" s="28">
        <v>1612</v>
      </c>
      <c r="S479" s="28">
        <v>306</v>
      </c>
      <c r="T479" s="28">
        <v>5014</v>
      </c>
      <c r="U479" s="30">
        <v>1918</v>
      </c>
    </row>
    <row r="480" spans="1:27" ht="15.75" customHeight="1" x14ac:dyDescent="0.3">
      <c r="A480" s="3">
        <v>44369</v>
      </c>
      <c r="B480" s="10">
        <v>55291</v>
      </c>
      <c r="C480" s="10">
        <v>1810136</v>
      </c>
      <c r="D480" s="10">
        <v>152686</v>
      </c>
      <c r="E480" s="10">
        <v>2018113</v>
      </c>
      <c r="F480" s="10">
        <v>8014</v>
      </c>
      <c r="G480" s="10">
        <v>442059</v>
      </c>
      <c r="H480" s="10">
        <v>21167</v>
      </c>
      <c r="I480" s="10">
        <v>11024</v>
      </c>
      <c r="J480" s="10">
        <v>482264</v>
      </c>
      <c r="K480" s="10">
        <v>32191</v>
      </c>
      <c r="L480" s="28">
        <v>335</v>
      </c>
      <c r="M480" s="28">
        <v>8375</v>
      </c>
      <c r="N480" s="28">
        <v>4958</v>
      </c>
      <c r="O480" s="28">
        <v>13668</v>
      </c>
      <c r="P480" s="28">
        <v>38</v>
      </c>
      <c r="Q480" s="30">
        <v>3052</v>
      </c>
      <c r="R480" s="28">
        <v>450</v>
      </c>
      <c r="S480" s="28">
        <v>-319</v>
      </c>
      <c r="T480" s="28">
        <v>3221</v>
      </c>
      <c r="U480" s="30">
        <v>131</v>
      </c>
    </row>
    <row r="481" spans="1:27" ht="13.2" x14ac:dyDescent="0.25">
      <c r="A481" s="3">
        <v>44370</v>
      </c>
      <c r="B481" s="4">
        <v>55594</v>
      </c>
      <c r="C481" s="4">
        <v>1817303</v>
      </c>
      <c r="D481" s="4">
        <v>160524</v>
      </c>
      <c r="E481" s="4">
        <v>2033421</v>
      </c>
      <c r="F481" s="4">
        <v>8057</v>
      </c>
      <c r="G481" s="4">
        <v>443195</v>
      </c>
      <c r="H481" s="4">
        <v>22868</v>
      </c>
      <c r="I481" s="4">
        <v>12837</v>
      </c>
      <c r="J481" s="4">
        <v>486957</v>
      </c>
      <c r="K481" s="4">
        <v>35705</v>
      </c>
      <c r="L481" s="4">
        <v>303</v>
      </c>
      <c r="M481" s="4">
        <v>7167</v>
      </c>
      <c r="N481" s="4">
        <v>7838</v>
      </c>
      <c r="O481" s="4">
        <v>15308</v>
      </c>
      <c r="P481" s="4">
        <v>43</v>
      </c>
      <c r="Q481" s="4">
        <v>1136</v>
      </c>
      <c r="R481" s="4">
        <v>1701</v>
      </c>
      <c r="S481" s="4">
        <v>1813</v>
      </c>
      <c r="T481" s="4">
        <v>4693</v>
      </c>
      <c r="U481" s="4">
        <v>3514</v>
      </c>
    </row>
    <row r="482" spans="1:27" ht="13.2" x14ac:dyDescent="0.25">
      <c r="A482" s="3">
        <v>44371</v>
      </c>
      <c r="B482" s="4">
        <v>55949</v>
      </c>
      <c r="C482" s="4">
        <v>1826504</v>
      </c>
      <c r="D482" s="4">
        <v>171542</v>
      </c>
      <c r="E482" s="4">
        <v>2053995</v>
      </c>
      <c r="F482" s="4">
        <v>8107</v>
      </c>
      <c r="G482" s="4">
        <v>445718</v>
      </c>
      <c r="H482" s="4">
        <v>26403</v>
      </c>
      <c r="I482" s="4">
        <v>14234</v>
      </c>
      <c r="J482" s="4">
        <v>494462</v>
      </c>
      <c r="K482" s="4">
        <v>40637</v>
      </c>
      <c r="L482" s="4">
        <v>355</v>
      </c>
      <c r="M482" s="4">
        <v>9201</v>
      </c>
      <c r="N482" s="4">
        <v>11018</v>
      </c>
      <c r="O482" s="4">
        <v>20574</v>
      </c>
      <c r="P482" s="4">
        <v>50</v>
      </c>
      <c r="Q482" s="4">
        <v>2523</v>
      </c>
      <c r="R482" s="4">
        <v>3535</v>
      </c>
      <c r="S482" s="4">
        <v>1397</v>
      </c>
      <c r="T482" s="4">
        <v>7505</v>
      </c>
      <c r="U482" s="4">
        <v>4932</v>
      </c>
    </row>
    <row r="483" spans="1:27" ht="13.2" x14ac:dyDescent="0.25">
      <c r="A483" s="3">
        <v>44372</v>
      </c>
      <c r="B483" s="4">
        <v>56371</v>
      </c>
      <c r="C483" s="4">
        <v>1835061</v>
      </c>
      <c r="D483" s="4">
        <v>181435</v>
      </c>
      <c r="E483" s="4">
        <v>2072867</v>
      </c>
      <c r="F483" s="4">
        <v>8177</v>
      </c>
      <c r="G483" s="4">
        <v>448288</v>
      </c>
      <c r="H483" s="4">
        <v>29325</v>
      </c>
      <c r="I483" s="4">
        <v>15606</v>
      </c>
      <c r="J483" s="4">
        <v>501396</v>
      </c>
      <c r="K483" s="4">
        <v>44931</v>
      </c>
      <c r="L483" s="4">
        <v>422</v>
      </c>
      <c r="M483" s="4">
        <v>8557</v>
      </c>
      <c r="N483" s="4">
        <v>9893</v>
      </c>
      <c r="O483" s="4">
        <v>18872</v>
      </c>
      <c r="P483" s="4">
        <v>70</v>
      </c>
      <c r="Q483" s="4">
        <v>2570</v>
      </c>
      <c r="R483" s="4">
        <v>2922</v>
      </c>
      <c r="S483" s="4">
        <v>1372</v>
      </c>
      <c r="T483" s="4">
        <v>6934</v>
      </c>
      <c r="U483" s="4">
        <v>4294</v>
      </c>
    </row>
    <row r="484" spans="1:27" ht="15.75" customHeight="1" x14ac:dyDescent="0.3">
      <c r="A484" s="3">
        <v>44373</v>
      </c>
      <c r="B484" s="10">
        <v>56729</v>
      </c>
      <c r="C484" s="10">
        <v>1842457</v>
      </c>
      <c r="D484" s="10">
        <v>194776</v>
      </c>
      <c r="E484" s="10">
        <v>2093962</v>
      </c>
      <c r="F484" s="10">
        <v>8220</v>
      </c>
      <c r="G484" s="10">
        <v>451013</v>
      </c>
      <c r="H484" s="10">
        <v>33829</v>
      </c>
      <c r="I484" s="10">
        <v>17605</v>
      </c>
      <c r="J484" s="10">
        <v>510667</v>
      </c>
      <c r="K484" s="10">
        <v>51434</v>
      </c>
      <c r="L484" s="10">
        <v>358</v>
      </c>
      <c r="M484" s="10">
        <v>7396</v>
      </c>
      <c r="N484" s="10">
        <v>13341</v>
      </c>
      <c r="O484" s="10">
        <v>21095</v>
      </c>
      <c r="P484" s="10">
        <v>43</v>
      </c>
      <c r="Q484" s="10">
        <v>2725</v>
      </c>
      <c r="R484" s="10">
        <v>4504</v>
      </c>
      <c r="S484" s="10">
        <v>1999</v>
      </c>
      <c r="T484" s="10">
        <v>9271</v>
      </c>
      <c r="U484" s="11">
        <v>6503</v>
      </c>
      <c r="V484" s="13"/>
      <c r="W484" s="13"/>
      <c r="X484" s="13"/>
      <c r="Y484" s="13"/>
      <c r="Z484" s="13"/>
      <c r="AA484" s="13"/>
    </row>
    <row r="485" spans="1:27" ht="13.2" x14ac:dyDescent="0.25">
      <c r="A485" s="34">
        <v>44374</v>
      </c>
      <c r="B485" s="4">
        <v>57138</v>
      </c>
      <c r="C485" s="4">
        <v>1850481</v>
      </c>
      <c r="D485" s="4">
        <v>207685</v>
      </c>
      <c r="E485" s="4">
        <v>2115304</v>
      </c>
      <c r="F485" s="4">
        <v>8269</v>
      </c>
      <c r="G485" s="4">
        <v>454497</v>
      </c>
      <c r="H485" s="4">
        <v>38464</v>
      </c>
      <c r="I485" s="4">
        <v>18831</v>
      </c>
      <c r="J485" s="4">
        <v>520061</v>
      </c>
      <c r="K485" s="4">
        <v>57295</v>
      </c>
      <c r="L485" s="4">
        <v>409</v>
      </c>
      <c r="M485" s="4">
        <v>8024</v>
      </c>
      <c r="N485" s="4">
        <v>12909</v>
      </c>
      <c r="O485" s="4">
        <v>21342</v>
      </c>
      <c r="P485" s="4">
        <v>49</v>
      </c>
      <c r="Q485" s="4">
        <v>3484</v>
      </c>
      <c r="R485" s="4">
        <v>4635</v>
      </c>
      <c r="S485" s="4">
        <v>1226</v>
      </c>
      <c r="T485" s="4">
        <v>9394</v>
      </c>
      <c r="U485" s="4">
        <v>5861</v>
      </c>
    </row>
    <row r="486" spans="1:27" ht="15.75" customHeight="1" x14ac:dyDescent="0.3">
      <c r="A486" s="3">
        <v>44375</v>
      </c>
      <c r="B486" s="35">
        <v>57561</v>
      </c>
      <c r="C486" s="35">
        <v>1859961</v>
      </c>
      <c r="D486" s="35">
        <v>218476</v>
      </c>
      <c r="E486" s="35">
        <v>2135998</v>
      </c>
      <c r="F486" s="35">
        <v>8348</v>
      </c>
      <c r="G486" s="35">
        <v>457935</v>
      </c>
      <c r="H486" s="35">
        <v>42252</v>
      </c>
      <c r="I486" s="35">
        <v>19874</v>
      </c>
      <c r="J486" s="35">
        <v>528409</v>
      </c>
      <c r="K486" s="35">
        <v>62126</v>
      </c>
      <c r="L486" s="36">
        <v>423</v>
      </c>
      <c r="M486" s="36">
        <v>9480</v>
      </c>
      <c r="N486" s="36">
        <v>10791</v>
      </c>
      <c r="O486" s="36">
        <v>20694</v>
      </c>
      <c r="P486" s="36">
        <v>79</v>
      </c>
      <c r="Q486" s="37">
        <v>3438</v>
      </c>
      <c r="R486" s="36">
        <v>3788</v>
      </c>
      <c r="S486" s="36">
        <v>1043</v>
      </c>
      <c r="T486" s="36">
        <v>8348</v>
      </c>
      <c r="U486" s="37">
        <v>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486"/>
  <sheetViews>
    <sheetView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D258" sqref="D258"/>
    </sheetView>
  </sheetViews>
  <sheetFormatPr defaultColWidth="14.44140625" defaultRowHeight="15.75" customHeight="1" x14ac:dyDescent="0.25"/>
  <sheetData>
    <row r="1" spans="1:17" ht="52.8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 spans="1:17" ht="13.2" x14ac:dyDescent="0.25">
      <c r="A2" s="15">
        <v>43891</v>
      </c>
      <c r="C2" s="38">
        <v>43891.75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L2" s="4">
        <v>0</v>
      </c>
      <c r="M2" s="4">
        <v>0</v>
      </c>
      <c r="N2" s="4">
        <v>0</v>
      </c>
    </row>
    <row r="3" spans="1:17" ht="13.2" x14ac:dyDescent="0.25">
      <c r="A3" s="15">
        <v>43892</v>
      </c>
      <c r="C3" s="38">
        <v>43892.75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L3" s="4">
        <v>0</v>
      </c>
      <c r="M3" s="4">
        <v>0</v>
      </c>
      <c r="N3" s="4">
        <v>0</v>
      </c>
    </row>
    <row r="4" spans="1:17" ht="13.2" x14ac:dyDescent="0.25">
      <c r="A4" s="15">
        <v>43893</v>
      </c>
      <c r="C4" s="38">
        <v>43893.75</v>
      </c>
      <c r="D4" s="4">
        <v>3</v>
      </c>
      <c r="E4" s="4">
        <v>0</v>
      </c>
      <c r="F4" s="4">
        <v>1</v>
      </c>
      <c r="G4" s="4">
        <v>0</v>
      </c>
      <c r="H4" s="4">
        <v>2</v>
      </c>
      <c r="L4" s="4">
        <v>3</v>
      </c>
      <c r="M4" s="4">
        <v>2</v>
      </c>
      <c r="N4" s="4">
        <v>0</v>
      </c>
    </row>
    <row r="5" spans="1:17" ht="13.2" x14ac:dyDescent="0.25">
      <c r="A5" s="15">
        <v>43894</v>
      </c>
      <c r="C5" s="38">
        <v>43894.75</v>
      </c>
      <c r="D5" s="4">
        <v>3</v>
      </c>
      <c r="E5" s="4">
        <v>0</v>
      </c>
      <c r="F5" s="4">
        <v>1</v>
      </c>
      <c r="G5" s="4">
        <v>0</v>
      </c>
      <c r="H5" s="4">
        <v>2</v>
      </c>
      <c r="L5" s="4">
        <v>0</v>
      </c>
      <c r="M5" s="4">
        <v>2</v>
      </c>
      <c r="N5" s="4">
        <v>0</v>
      </c>
    </row>
    <row r="6" spans="1:17" ht="13.2" x14ac:dyDescent="0.25">
      <c r="A6" s="15">
        <v>43895</v>
      </c>
      <c r="C6" s="38">
        <v>43895.75</v>
      </c>
      <c r="D6" s="4">
        <v>7</v>
      </c>
      <c r="E6" s="4">
        <v>0</v>
      </c>
      <c r="F6" s="4">
        <v>3</v>
      </c>
      <c r="G6" s="4">
        <v>0</v>
      </c>
      <c r="H6" s="4">
        <v>4</v>
      </c>
      <c r="L6" s="4">
        <v>4</v>
      </c>
      <c r="M6" s="4">
        <v>4</v>
      </c>
      <c r="N6" s="4">
        <v>0</v>
      </c>
    </row>
    <row r="7" spans="1:17" ht="13.2" x14ac:dyDescent="0.25">
      <c r="A7" s="15">
        <v>43896</v>
      </c>
      <c r="C7" s="38">
        <v>43896.75</v>
      </c>
      <c r="D7" s="4">
        <v>7</v>
      </c>
      <c r="E7" s="4">
        <v>0</v>
      </c>
      <c r="F7" s="4">
        <v>3</v>
      </c>
      <c r="G7" s="4">
        <v>0</v>
      </c>
      <c r="H7" s="4">
        <v>4</v>
      </c>
      <c r="L7" s="4">
        <v>0</v>
      </c>
      <c r="M7" s="4">
        <v>4</v>
      </c>
      <c r="N7" s="4">
        <v>0</v>
      </c>
    </row>
    <row r="8" spans="1:17" ht="13.2" x14ac:dyDescent="0.25">
      <c r="A8" s="15">
        <v>43897</v>
      </c>
      <c r="C8" s="38">
        <v>43897.75</v>
      </c>
      <c r="D8" s="4">
        <v>7</v>
      </c>
      <c r="E8" s="4">
        <v>0</v>
      </c>
      <c r="F8" s="4">
        <v>3</v>
      </c>
      <c r="G8" s="4">
        <v>0</v>
      </c>
      <c r="H8" s="4">
        <v>4</v>
      </c>
      <c r="L8" s="4">
        <v>0</v>
      </c>
      <c r="M8" s="4">
        <v>4</v>
      </c>
      <c r="N8" s="4">
        <v>0</v>
      </c>
    </row>
    <row r="9" spans="1:17" ht="13.2" x14ac:dyDescent="0.25">
      <c r="A9" s="15">
        <v>43898</v>
      </c>
      <c r="C9" s="38">
        <v>43898.75</v>
      </c>
      <c r="D9" s="4">
        <v>7</v>
      </c>
      <c r="E9" s="4">
        <v>0</v>
      </c>
      <c r="F9" s="4">
        <v>3</v>
      </c>
      <c r="G9" s="4">
        <v>0</v>
      </c>
      <c r="H9" s="4">
        <v>4</v>
      </c>
      <c r="L9" s="4">
        <v>0</v>
      </c>
      <c r="M9" s="4">
        <v>4</v>
      </c>
      <c r="N9" s="4">
        <v>0</v>
      </c>
    </row>
    <row r="10" spans="1:17" ht="13.2" x14ac:dyDescent="0.25">
      <c r="A10" s="15">
        <v>43899</v>
      </c>
      <c r="C10" s="38">
        <v>43899.75</v>
      </c>
      <c r="D10" s="4">
        <v>34</v>
      </c>
      <c r="E10" s="4">
        <v>0</v>
      </c>
      <c r="F10" s="4">
        <v>3</v>
      </c>
      <c r="G10" s="4">
        <v>0</v>
      </c>
      <c r="H10" s="4">
        <v>31</v>
      </c>
      <c r="L10" s="4">
        <v>27</v>
      </c>
      <c r="M10" s="4">
        <v>31</v>
      </c>
      <c r="N10" s="4">
        <v>0</v>
      </c>
    </row>
    <row r="11" spans="1:17" ht="13.2" x14ac:dyDescent="0.25">
      <c r="A11" s="15">
        <v>43900</v>
      </c>
      <c r="C11" s="38">
        <v>43900.75</v>
      </c>
      <c r="D11" s="4">
        <v>34</v>
      </c>
      <c r="E11" s="4">
        <v>0</v>
      </c>
      <c r="F11" s="4">
        <v>3</v>
      </c>
      <c r="G11" s="4">
        <v>0</v>
      </c>
      <c r="H11" s="4">
        <v>31</v>
      </c>
      <c r="L11" s="4">
        <v>0</v>
      </c>
      <c r="M11" s="4">
        <v>31</v>
      </c>
      <c r="N11" s="4">
        <v>0</v>
      </c>
    </row>
    <row r="12" spans="1:17" ht="13.2" x14ac:dyDescent="0.25">
      <c r="A12" s="15">
        <v>43901</v>
      </c>
      <c r="C12" s="38">
        <v>43901.75</v>
      </c>
      <c r="D12" s="4">
        <v>36</v>
      </c>
      <c r="E12" s="4">
        <v>0</v>
      </c>
      <c r="F12" s="4">
        <v>3</v>
      </c>
      <c r="G12" s="4">
        <v>0</v>
      </c>
      <c r="H12" s="4">
        <v>33</v>
      </c>
      <c r="L12" s="4">
        <v>2</v>
      </c>
      <c r="M12" s="4">
        <v>33</v>
      </c>
      <c r="N12" s="4">
        <v>0</v>
      </c>
    </row>
    <row r="13" spans="1:17" ht="13.2" x14ac:dyDescent="0.25">
      <c r="A13" s="15">
        <v>43902</v>
      </c>
      <c r="C13" s="38">
        <v>43902.75</v>
      </c>
      <c r="D13" s="4">
        <v>62</v>
      </c>
      <c r="E13" s="4">
        <v>0</v>
      </c>
      <c r="F13" s="4">
        <v>5</v>
      </c>
      <c r="G13" s="4">
        <v>0</v>
      </c>
      <c r="H13" s="4">
        <v>57</v>
      </c>
      <c r="L13" s="4">
        <v>26</v>
      </c>
      <c r="M13" s="4">
        <v>57</v>
      </c>
      <c r="N13" s="4">
        <v>0</v>
      </c>
    </row>
    <row r="14" spans="1:17" ht="13.2" x14ac:dyDescent="0.25">
      <c r="A14" s="15">
        <v>43903</v>
      </c>
      <c r="C14" s="38">
        <v>43903.75</v>
      </c>
      <c r="D14" s="4">
        <v>72</v>
      </c>
      <c r="E14" s="4">
        <v>0</v>
      </c>
      <c r="F14" s="4">
        <v>7</v>
      </c>
      <c r="G14" s="4">
        <v>0</v>
      </c>
      <c r="H14" s="4">
        <v>65</v>
      </c>
      <c r="L14" s="4">
        <v>10</v>
      </c>
      <c r="M14" s="4">
        <v>65</v>
      </c>
      <c r="N14" s="4">
        <v>0</v>
      </c>
    </row>
    <row r="15" spans="1:17" ht="13.2" x14ac:dyDescent="0.25">
      <c r="A15" s="15">
        <v>43904</v>
      </c>
      <c r="C15" s="38">
        <v>43904.75</v>
      </c>
      <c r="D15" s="4">
        <v>79</v>
      </c>
      <c r="E15" s="4">
        <v>0</v>
      </c>
      <c r="F15" s="4">
        <v>9</v>
      </c>
      <c r="G15" s="4">
        <v>0</v>
      </c>
      <c r="H15" s="4">
        <v>70</v>
      </c>
      <c r="L15" s="4">
        <v>7</v>
      </c>
      <c r="M15" s="4">
        <v>70</v>
      </c>
      <c r="N15" s="4">
        <v>0</v>
      </c>
    </row>
    <row r="16" spans="1:17" ht="13.2" x14ac:dyDescent="0.25">
      <c r="A16" s="15">
        <v>43905</v>
      </c>
      <c r="C16" s="38">
        <v>43905.75</v>
      </c>
      <c r="D16" s="4">
        <v>95</v>
      </c>
      <c r="E16" s="4">
        <v>0</v>
      </c>
      <c r="F16" s="4">
        <v>11</v>
      </c>
      <c r="G16" s="4">
        <v>0</v>
      </c>
      <c r="H16" s="4">
        <v>84</v>
      </c>
      <c r="L16" s="4">
        <v>16</v>
      </c>
      <c r="M16" s="4">
        <v>84</v>
      </c>
      <c r="N16" s="4">
        <v>0</v>
      </c>
    </row>
    <row r="17" spans="1:14" ht="13.2" x14ac:dyDescent="0.25">
      <c r="A17" s="15">
        <v>43906</v>
      </c>
      <c r="C17" s="38">
        <v>43906.75</v>
      </c>
      <c r="D17" s="4">
        <v>97</v>
      </c>
      <c r="E17" s="4">
        <v>0</v>
      </c>
      <c r="F17" s="4">
        <v>12</v>
      </c>
      <c r="G17" s="4">
        <v>7</v>
      </c>
      <c r="H17" s="4">
        <v>78</v>
      </c>
      <c r="L17" s="4">
        <v>2</v>
      </c>
      <c r="M17" s="4">
        <v>85</v>
      </c>
      <c r="N17" s="4">
        <v>0</v>
      </c>
    </row>
    <row r="18" spans="1:14" ht="13.2" x14ac:dyDescent="0.25">
      <c r="A18" s="15">
        <v>43907</v>
      </c>
      <c r="C18" s="38">
        <v>43907.75</v>
      </c>
      <c r="D18" s="4">
        <v>122</v>
      </c>
      <c r="E18" s="4">
        <v>0</v>
      </c>
      <c r="F18" s="4">
        <v>12</v>
      </c>
      <c r="G18" s="4">
        <v>27</v>
      </c>
      <c r="H18" s="4">
        <v>83</v>
      </c>
      <c r="L18" s="4">
        <v>25</v>
      </c>
      <c r="M18" s="4">
        <v>110</v>
      </c>
      <c r="N18" s="4">
        <v>0</v>
      </c>
    </row>
    <row r="19" spans="1:14" ht="13.2" x14ac:dyDescent="0.25">
      <c r="A19" s="15">
        <v>43908</v>
      </c>
      <c r="C19" s="38">
        <v>43908.75</v>
      </c>
      <c r="D19" s="4">
        <v>160</v>
      </c>
      <c r="E19" s="4">
        <v>12</v>
      </c>
      <c r="F19" s="4">
        <v>15</v>
      </c>
      <c r="G19" s="4">
        <v>42</v>
      </c>
      <c r="H19" s="4">
        <v>91</v>
      </c>
      <c r="L19" s="4">
        <v>38</v>
      </c>
      <c r="M19" s="4">
        <v>133</v>
      </c>
      <c r="N19" s="4">
        <v>12</v>
      </c>
    </row>
    <row r="20" spans="1:14" ht="13.2" x14ac:dyDescent="0.25">
      <c r="A20" s="15">
        <v>43909</v>
      </c>
      <c r="C20" s="38">
        <v>43909.75</v>
      </c>
      <c r="D20" s="4">
        <v>210</v>
      </c>
      <c r="E20" s="4">
        <v>13</v>
      </c>
      <c r="F20" s="4">
        <v>19</v>
      </c>
      <c r="G20" s="4">
        <v>57</v>
      </c>
      <c r="H20" s="4">
        <v>121</v>
      </c>
      <c r="L20" s="4">
        <v>50</v>
      </c>
      <c r="M20" s="4">
        <v>178</v>
      </c>
      <c r="N20" s="4">
        <v>1</v>
      </c>
    </row>
    <row r="21" spans="1:14" ht="13.2" x14ac:dyDescent="0.25">
      <c r="A21" s="15">
        <v>43910</v>
      </c>
      <c r="B21" s="4">
        <v>18</v>
      </c>
      <c r="C21" s="38">
        <v>43910.75</v>
      </c>
      <c r="D21" s="4">
        <v>224</v>
      </c>
      <c r="E21" s="4">
        <v>13</v>
      </c>
      <c r="F21" s="4">
        <v>20</v>
      </c>
      <c r="G21" s="4">
        <v>66</v>
      </c>
      <c r="H21" s="4">
        <v>125</v>
      </c>
      <c r="J21" s="4">
        <v>345</v>
      </c>
      <c r="K21" s="4">
        <v>25</v>
      </c>
      <c r="L21" s="4">
        <v>14</v>
      </c>
      <c r="M21" s="4">
        <v>191</v>
      </c>
      <c r="N21" s="4">
        <v>0</v>
      </c>
    </row>
    <row r="22" spans="1:14" ht="13.2" x14ac:dyDescent="0.25">
      <c r="A22" s="15">
        <v>43911</v>
      </c>
      <c r="B22" s="4">
        <v>8</v>
      </c>
      <c r="C22" s="38">
        <v>43911.333333333336</v>
      </c>
      <c r="D22" s="4">
        <v>268</v>
      </c>
      <c r="E22" s="4">
        <v>17</v>
      </c>
      <c r="F22" s="4">
        <v>23</v>
      </c>
      <c r="G22" s="4">
        <v>71</v>
      </c>
      <c r="H22" s="4">
        <v>157</v>
      </c>
      <c r="J22" s="4">
        <v>375</v>
      </c>
      <c r="K22" s="4">
        <v>28</v>
      </c>
      <c r="L22" s="4">
        <v>44</v>
      </c>
      <c r="M22" s="4">
        <v>228</v>
      </c>
      <c r="N22" s="4">
        <v>4</v>
      </c>
    </row>
    <row r="23" spans="1:14" ht="13.2" x14ac:dyDescent="0.25">
      <c r="A23" s="15">
        <v>43912</v>
      </c>
      <c r="B23" s="4">
        <v>8</v>
      </c>
      <c r="C23" s="38">
        <v>43912.333333333336</v>
      </c>
      <c r="D23" s="4">
        <v>304</v>
      </c>
      <c r="E23" s="4">
        <v>21</v>
      </c>
      <c r="F23" s="4">
        <v>29</v>
      </c>
      <c r="G23" s="4">
        <v>77</v>
      </c>
      <c r="H23" s="4">
        <v>177</v>
      </c>
      <c r="J23" s="4">
        <v>393</v>
      </c>
      <c r="K23" s="4">
        <v>37</v>
      </c>
      <c r="L23" s="4">
        <v>36</v>
      </c>
      <c r="M23" s="4">
        <v>254</v>
      </c>
      <c r="N23" s="4">
        <v>4</v>
      </c>
    </row>
    <row r="24" spans="1:14" ht="13.2" x14ac:dyDescent="0.25">
      <c r="A24" s="15">
        <v>43913</v>
      </c>
      <c r="B24" s="4">
        <v>8</v>
      </c>
      <c r="C24" s="38">
        <v>43913.333333333336</v>
      </c>
      <c r="D24" s="4">
        <v>355</v>
      </c>
      <c r="E24" s="4">
        <v>22</v>
      </c>
      <c r="F24" s="4">
        <v>29</v>
      </c>
      <c r="G24" s="4">
        <v>79</v>
      </c>
      <c r="H24" s="4">
        <v>225</v>
      </c>
      <c r="J24" s="4">
        <v>431</v>
      </c>
      <c r="K24" s="4">
        <v>42</v>
      </c>
      <c r="L24" s="4">
        <v>51</v>
      </c>
      <c r="M24" s="4">
        <v>304</v>
      </c>
      <c r="N24" s="4">
        <v>1</v>
      </c>
    </row>
    <row r="25" spans="1:14" ht="13.2" x14ac:dyDescent="0.25">
      <c r="A25" s="15">
        <v>43914</v>
      </c>
      <c r="B25" s="4">
        <v>18</v>
      </c>
      <c r="C25" s="38">
        <v>43914.75</v>
      </c>
      <c r="D25" s="4">
        <v>426</v>
      </c>
      <c r="E25" s="4">
        <v>23</v>
      </c>
      <c r="F25" s="4">
        <v>34</v>
      </c>
      <c r="G25" s="4">
        <v>109</v>
      </c>
      <c r="H25" s="4">
        <v>260</v>
      </c>
      <c r="J25" s="4">
        <v>445</v>
      </c>
      <c r="K25" s="4">
        <v>44</v>
      </c>
      <c r="L25" s="4">
        <v>71</v>
      </c>
      <c r="M25" s="4">
        <v>369</v>
      </c>
      <c r="N25" s="4">
        <v>1</v>
      </c>
    </row>
    <row r="26" spans="1:14" ht="13.2" x14ac:dyDescent="0.25">
      <c r="A26" s="15">
        <v>43915</v>
      </c>
      <c r="B26" s="4">
        <v>18</v>
      </c>
      <c r="C26" s="38">
        <v>43915.75</v>
      </c>
      <c r="D26" s="4">
        <v>472</v>
      </c>
      <c r="E26" s="4">
        <v>27</v>
      </c>
      <c r="F26" s="4">
        <v>43</v>
      </c>
      <c r="G26" s="4">
        <v>112</v>
      </c>
      <c r="H26" s="4">
        <v>290</v>
      </c>
      <c r="J26" s="4">
        <v>479</v>
      </c>
      <c r="K26" s="4">
        <v>47</v>
      </c>
      <c r="L26" s="4">
        <v>46</v>
      </c>
      <c r="M26" s="4">
        <v>402</v>
      </c>
      <c r="N26" s="4">
        <v>4</v>
      </c>
    </row>
    <row r="27" spans="1:14" ht="13.2" x14ac:dyDescent="0.25">
      <c r="A27" s="15">
        <v>43916</v>
      </c>
      <c r="B27" s="4">
        <v>18</v>
      </c>
      <c r="C27" s="38">
        <v>43916.75</v>
      </c>
      <c r="D27" s="4">
        <v>515</v>
      </c>
      <c r="E27" s="4">
        <v>29</v>
      </c>
      <c r="F27" s="4">
        <v>49</v>
      </c>
      <c r="G27" s="4">
        <v>113</v>
      </c>
      <c r="H27" s="4">
        <v>324</v>
      </c>
      <c r="L27" s="4">
        <v>43</v>
      </c>
      <c r="M27" s="4">
        <v>437</v>
      </c>
      <c r="N27" s="4">
        <v>2</v>
      </c>
    </row>
    <row r="28" spans="1:14" ht="13.2" x14ac:dyDescent="0.25">
      <c r="A28" s="15">
        <v>43917</v>
      </c>
      <c r="B28" s="4">
        <v>18</v>
      </c>
      <c r="C28" s="38">
        <v>43917.75</v>
      </c>
      <c r="D28" s="4">
        <v>566</v>
      </c>
      <c r="E28" s="4">
        <v>31</v>
      </c>
      <c r="F28" s="4">
        <v>57</v>
      </c>
      <c r="G28" s="4">
        <v>132</v>
      </c>
      <c r="H28" s="4">
        <v>346</v>
      </c>
      <c r="L28" s="4">
        <v>51</v>
      </c>
      <c r="M28" s="4">
        <v>478</v>
      </c>
      <c r="N28" s="4">
        <v>2</v>
      </c>
    </row>
    <row r="29" spans="1:14" ht="13.2" x14ac:dyDescent="0.25">
      <c r="A29" s="15">
        <v>43918</v>
      </c>
      <c r="B29" s="4">
        <v>18</v>
      </c>
      <c r="C29" s="38">
        <v>43918.75</v>
      </c>
      <c r="D29" s="4">
        <v>603</v>
      </c>
      <c r="E29" s="4">
        <v>43</v>
      </c>
      <c r="F29" s="4">
        <v>62</v>
      </c>
      <c r="G29" s="4">
        <v>134</v>
      </c>
      <c r="H29" s="4">
        <v>364</v>
      </c>
      <c r="L29" s="4">
        <v>37</v>
      </c>
      <c r="M29" s="4">
        <v>498</v>
      </c>
      <c r="N29" s="4">
        <v>12</v>
      </c>
    </row>
    <row r="30" spans="1:14" ht="13.2" x14ac:dyDescent="0.25">
      <c r="A30" s="15">
        <v>43919</v>
      </c>
      <c r="B30" s="4">
        <v>18</v>
      </c>
      <c r="C30" s="38">
        <v>43919.75</v>
      </c>
      <c r="D30" s="4">
        <v>701</v>
      </c>
      <c r="E30" s="4">
        <v>48</v>
      </c>
      <c r="F30" s="4">
        <v>67</v>
      </c>
      <c r="G30" s="4">
        <v>151</v>
      </c>
      <c r="H30" s="4">
        <v>435</v>
      </c>
      <c r="L30" s="4">
        <v>98</v>
      </c>
      <c r="M30" s="4">
        <v>586</v>
      </c>
      <c r="N30" s="4">
        <v>5</v>
      </c>
    </row>
    <row r="31" spans="1:14" ht="13.2" x14ac:dyDescent="0.25">
      <c r="A31" s="15">
        <v>43920</v>
      </c>
      <c r="B31" s="4">
        <v>18</v>
      </c>
      <c r="C31" s="38">
        <v>43920.75</v>
      </c>
      <c r="D31" s="4">
        <v>727</v>
      </c>
      <c r="E31" s="4">
        <v>49</v>
      </c>
      <c r="F31" s="4">
        <v>78</v>
      </c>
      <c r="G31" s="4">
        <v>151</v>
      </c>
      <c r="H31" s="4">
        <v>449</v>
      </c>
      <c r="L31" s="4">
        <v>26</v>
      </c>
      <c r="M31" s="4">
        <v>600</v>
      </c>
      <c r="N31" s="4">
        <v>1</v>
      </c>
    </row>
    <row r="32" spans="1:14" ht="13.2" x14ac:dyDescent="0.25">
      <c r="A32" s="15">
        <v>43921</v>
      </c>
      <c r="B32" s="4">
        <v>18</v>
      </c>
      <c r="C32" s="38">
        <v>43921.75</v>
      </c>
      <c r="D32" s="4">
        <v>741</v>
      </c>
      <c r="E32" s="4">
        <v>49</v>
      </c>
      <c r="F32" s="4">
        <v>84</v>
      </c>
      <c r="G32" s="4">
        <v>157</v>
      </c>
      <c r="H32" s="4">
        <v>451</v>
      </c>
      <c r="L32" s="4">
        <v>14</v>
      </c>
      <c r="M32" s="4">
        <v>608</v>
      </c>
      <c r="N32" s="4">
        <v>0</v>
      </c>
    </row>
    <row r="33" spans="1:14" ht="13.2" x14ac:dyDescent="0.25">
      <c r="A33" s="15">
        <v>43922</v>
      </c>
      <c r="B33" s="4">
        <v>18</v>
      </c>
      <c r="C33" s="38">
        <v>43922.75</v>
      </c>
      <c r="D33" s="4">
        <v>816</v>
      </c>
      <c r="E33" s="4">
        <v>51</v>
      </c>
      <c r="F33" s="4">
        <v>90</v>
      </c>
      <c r="G33" s="4">
        <v>176</v>
      </c>
      <c r="H33" s="4">
        <v>499</v>
      </c>
      <c r="L33" s="4">
        <v>75</v>
      </c>
      <c r="M33" s="4">
        <v>675</v>
      </c>
      <c r="N33" s="4">
        <v>2</v>
      </c>
    </row>
    <row r="34" spans="1:14" ht="13.2" x14ac:dyDescent="0.25">
      <c r="A34" s="15">
        <v>43923</v>
      </c>
      <c r="B34" s="4">
        <v>18</v>
      </c>
      <c r="C34" s="38">
        <v>43923.75</v>
      </c>
      <c r="D34" s="4">
        <v>909</v>
      </c>
      <c r="E34" s="4">
        <v>54</v>
      </c>
      <c r="F34" s="4">
        <v>95</v>
      </c>
      <c r="G34" s="4">
        <v>195</v>
      </c>
      <c r="H34" s="4">
        <v>565</v>
      </c>
      <c r="L34" s="4">
        <v>93</v>
      </c>
      <c r="M34" s="4">
        <v>760</v>
      </c>
      <c r="N34" s="4">
        <v>3</v>
      </c>
    </row>
    <row r="35" spans="1:14" ht="13.2" x14ac:dyDescent="0.25">
      <c r="A35" s="15">
        <v>43924</v>
      </c>
      <c r="B35" s="4">
        <v>8</v>
      </c>
      <c r="C35" s="38">
        <v>43924.333333333336</v>
      </c>
      <c r="D35" s="4">
        <v>990</v>
      </c>
      <c r="E35" s="4">
        <v>56</v>
      </c>
      <c r="F35" s="4">
        <v>98</v>
      </c>
      <c r="G35" s="4">
        <v>209</v>
      </c>
      <c r="H35" s="4">
        <v>627</v>
      </c>
      <c r="L35" s="4">
        <v>81</v>
      </c>
      <c r="M35" s="4">
        <v>836</v>
      </c>
      <c r="N35" s="4">
        <v>2</v>
      </c>
    </row>
    <row r="36" spans="1:14" ht="13.2" x14ac:dyDescent="0.25">
      <c r="A36" s="15">
        <v>43925</v>
      </c>
      <c r="B36" s="4">
        <v>18</v>
      </c>
      <c r="C36" s="38">
        <v>43925.75</v>
      </c>
      <c r="D36" s="4">
        <v>1071</v>
      </c>
      <c r="E36" s="4">
        <v>58</v>
      </c>
      <c r="F36" s="4">
        <v>99</v>
      </c>
      <c r="G36" s="4">
        <v>223</v>
      </c>
      <c r="H36" s="4">
        <v>691</v>
      </c>
      <c r="L36" s="4">
        <v>81</v>
      </c>
      <c r="M36" s="4">
        <v>914</v>
      </c>
      <c r="N36" s="4">
        <v>2</v>
      </c>
    </row>
    <row r="37" spans="1:14" ht="13.2" x14ac:dyDescent="0.25">
      <c r="A37" s="15">
        <v>43926</v>
      </c>
      <c r="B37" s="4">
        <v>18</v>
      </c>
      <c r="C37" s="38">
        <v>43926.75</v>
      </c>
      <c r="D37" s="4">
        <v>1151</v>
      </c>
      <c r="E37" s="4">
        <v>64</v>
      </c>
      <c r="F37" s="4">
        <v>123</v>
      </c>
      <c r="G37" s="4">
        <v>279</v>
      </c>
      <c r="H37" s="4">
        <v>685</v>
      </c>
      <c r="L37" s="4">
        <v>80</v>
      </c>
      <c r="M37" s="4">
        <v>964</v>
      </c>
      <c r="N37" s="4">
        <v>6</v>
      </c>
    </row>
    <row r="38" spans="1:14" ht="13.2" x14ac:dyDescent="0.25">
      <c r="A38" s="15">
        <v>43927</v>
      </c>
      <c r="B38" s="4">
        <v>18</v>
      </c>
      <c r="C38" s="38">
        <v>43927.75</v>
      </c>
      <c r="D38" s="4">
        <v>1299</v>
      </c>
      <c r="E38" s="4">
        <v>68</v>
      </c>
      <c r="F38" s="4">
        <v>131</v>
      </c>
      <c r="G38" s="4">
        <v>317</v>
      </c>
      <c r="H38" s="4">
        <v>783</v>
      </c>
      <c r="L38" s="4">
        <v>148</v>
      </c>
      <c r="M38" s="4">
        <v>1100</v>
      </c>
      <c r="N38" s="4">
        <v>4</v>
      </c>
    </row>
    <row r="39" spans="1:14" ht="13.2" x14ac:dyDescent="0.25">
      <c r="A39" s="15">
        <v>43928</v>
      </c>
      <c r="B39" s="4">
        <v>18</v>
      </c>
      <c r="C39" s="38">
        <v>43928.75</v>
      </c>
      <c r="D39" s="4">
        <v>1443</v>
      </c>
      <c r="E39" s="4">
        <v>69</v>
      </c>
      <c r="F39" s="4">
        <v>141</v>
      </c>
      <c r="G39" s="4">
        <v>338</v>
      </c>
      <c r="H39" s="4">
        <v>895</v>
      </c>
      <c r="L39" s="4">
        <v>144</v>
      </c>
      <c r="M39" s="4">
        <v>1233</v>
      </c>
      <c r="N39" s="4">
        <v>1</v>
      </c>
    </row>
    <row r="40" spans="1:14" ht="13.2" x14ac:dyDescent="0.25">
      <c r="A40" s="15">
        <v>43929</v>
      </c>
      <c r="B40" s="4">
        <v>18</v>
      </c>
      <c r="C40" s="38">
        <v>43929.75</v>
      </c>
      <c r="D40" s="4">
        <v>1552</v>
      </c>
      <c r="E40" s="4">
        <v>75</v>
      </c>
      <c r="F40" s="4">
        <v>144</v>
      </c>
      <c r="G40" s="4">
        <v>357</v>
      </c>
      <c r="H40" s="4">
        <v>976</v>
      </c>
      <c r="L40" s="4">
        <v>109</v>
      </c>
      <c r="M40" s="4">
        <v>1333</v>
      </c>
      <c r="N40" s="4">
        <v>6</v>
      </c>
    </row>
    <row r="41" spans="1:14" ht="13.2" x14ac:dyDescent="0.25">
      <c r="A41" s="15">
        <v>43930</v>
      </c>
      <c r="B41" s="4">
        <v>18</v>
      </c>
      <c r="C41" s="38">
        <v>43930.75</v>
      </c>
      <c r="D41" s="4">
        <v>1719</v>
      </c>
      <c r="E41" s="4">
        <v>82</v>
      </c>
      <c r="F41" s="4">
        <v>155</v>
      </c>
      <c r="G41" s="4">
        <v>405</v>
      </c>
      <c r="H41" s="4">
        <v>1077</v>
      </c>
      <c r="L41" s="4">
        <v>167</v>
      </c>
      <c r="M41" s="4">
        <v>1482</v>
      </c>
      <c r="N41" s="4">
        <v>7</v>
      </c>
    </row>
    <row r="42" spans="1:14" ht="13.2" x14ac:dyDescent="0.25">
      <c r="A42" s="15">
        <v>43931</v>
      </c>
      <c r="B42" s="4">
        <v>18</v>
      </c>
      <c r="C42" s="38">
        <v>43931.75</v>
      </c>
      <c r="D42" s="4">
        <v>1810</v>
      </c>
      <c r="E42" s="4">
        <v>82</v>
      </c>
      <c r="F42" s="4">
        <v>156</v>
      </c>
      <c r="G42" s="4">
        <v>433</v>
      </c>
      <c r="H42" s="4">
        <v>1139</v>
      </c>
      <c r="L42" s="4">
        <v>91</v>
      </c>
      <c r="M42" s="4">
        <v>1572</v>
      </c>
      <c r="N42" s="4">
        <v>0</v>
      </c>
    </row>
    <row r="43" spans="1:14" ht="13.2" x14ac:dyDescent="0.25">
      <c r="A43" s="15">
        <v>43932</v>
      </c>
      <c r="B43" s="4">
        <v>8</v>
      </c>
      <c r="C43" s="38">
        <v>43932.333333333336</v>
      </c>
      <c r="D43" s="4">
        <v>1903</v>
      </c>
      <c r="E43" s="4">
        <v>142</v>
      </c>
      <c r="F43" s="4">
        <v>168</v>
      </c>
      <c r="G43" s="4">
        <v>441</v>
      </c>
      <c r="H43" s="4">
        <v>1152</v>
      </c>
      <c r="L43" s="4">
        <v>93</v>
      </c>
      <c r="M43" s="4">
        <v>1593</v>
      </c>
      <c r="N43" s="4">
        <v>60</v>
      </c>
    </row>
    <row r="44" spans="1:14" ht="13.2" x14ac:dyDescent="0.25">
      <c r="A44" s="15">
        <v>43933</v>
      </c>
      <c r="B44" s="4">
        <v>8</v>
      </c>
      <c r="C44" s="38">
        <v>43933.333333333336</v>
      </c>
      <c r="D44" s="4">
        <v>2082</v>
      </c>
      <c r="E44" s="4">
        <v>142</v>
      </c>
      <c r="F44" s="4">
        <v>195</v>
      </c>
      <c r="G44" s="4">
        <v>468</v>
      </c>
      <c r="H44" s="4">
        <v>1277</v>
      </c>
      <c r="L44" s="4">
        <v>179</v>
      </c>
      <c r="M44" s="4">
        <v>1745</v>
      </c>
      <c r="N44" s="4">
        <v>0</v>
      </c>
    </row>
    <row r="45" spans="1:14" ht="13.2" x14ac:dyDescent="0.25">
      <c r="A45" s="15">
        <v>43934</v>
      </c>
      <c r="B45" s="4">
        <v>8</v>
      </c>
      <c r="C45" s="38">
        <v>43934.333333333336</v>
      </c>
      <c r="D45" s="4">
        <v>2242</v>
      </c>
      <c r="E45" s="4">
        <v>142</v>
      </c>
      <c r="F45" s="4">
        <v>209</v>
      </c>
      <c r="G45" s="4">
        <v>521</v>
      </c>
      <c r="H45" s="4">
        <v>1370</v>
      </c>
      <c r="L45" s="4">
        <v>160</v>
      </c>
      <c r="M45" s="4">
        <v>1891</v>
      </c>
      <c r="N45" s="4">
        <v>0</v>
      </c>
    </row>
    <row r="46" spans="1:14" ht="13.2" x14ac:dyDescent="0.25">
      <c r="A46" s="15">
        <v>43935</v>
      </c>
      <c r="B46" s="4">
        <v>8</v>
      </c>
      <c r="C46" s="38">
        <v>43935.333333333336</v>
      </c>
      <c r="D46" s="4">
        <v>2349</v>
      </c>
      <c r="E46" s="4">
        <v>163</v>
      </c>
      <c r="F46" s="4">
        <v>243</v>
      </c>
      <c r="G46" s="4">
        <v>558</v>
      </c>
      <c r="H46" s="4">
        <v>1385</v>
      </c>
      <c r="L46" s="4">
        <v>107</v>
      </c>
      <c r="M46" s="4">
        <v>1943</v>
      </c>
      <c r="N46" s="4">
        <v>21</v>
      </c>
    </row>
    <row r="47" spans="1:14" ht="13.2" x14ac:dyDescent="0.25">
      <c r="A47" s="15">
        <v>43936</v>
      </c>
      <c r="B47" s="4">
        <v>8</v>
      </c>
      <c r="C47" s="38">
        <v>43936.333333333336</v>
      </c>
      <c r="D47" s="4">
        <v>2447</v>
      </c>
      <c r="E47" s="4">
        <v>164</v>
      </c>
      <c r="F47" s="4">
        <v>246</v>
      </c>
      <c r="G47" s="4">
        <v>613</v>
      </c>
      <c r="H47" s="4">
        <v>1424</v>
      </c>
      <c r="L47" s="4">
        <v>98</v>
      </c>
      <c r="M47" s="4">
        <v>2037</v>
      </c>
      <c r="N47" s="4">
        <v>1</v>
      </c>
    </row>
    <row r="48" spans="1:14" ht="13.2" x14ac:dyDescent="0.25">
      <c r="A48" s="15">
        <v>43937</v>
      </c>
      <c r="B48" s="4">
        <v>8</v>
      </c>
      <c r="C48" s="38">
        <v>43937.333333333336</v>
      </c>
      <c r="D48" s="4">
        <v>2670</v>
      </c>
      <c r="E48" s="4">
        <v>202</v>
      </c>
      <c r="F48" s="4">
        <v>248</v>
      </c>
      <c r="G48" s="4">
        <v>619</v>
      </c>
      <c r="H48" s="4">
        <v>1601</v>
      </c>
      <c r="L48" s="4">
        <v>223</v>
      </c>
      <c r="M48" s="4">
        <v>2220</v>
      </c>
      <c r="N48" s="4">
        <v>38</v>
      </c>
    </row>
    <row r="49" spans="1:14" ht="13.2" x14ac:dyDescent="0.25">
      <c r="A49" s="15">
        <v>43938</v>
      </c>
      <c r="B49" s="4">
        <v>8</v>
      </c>
      <c r="C49" s="38">
        <v>43938.333333333336</v>
      </c>
      <c r="D49" s="4">
        <v>2823</v>
      </c>
      <c r="E49" s="4">
        <v>203</v>
      </c>
      <c r="F49" s="4">
        <v>250</v>
      </c>
      <c r="G49" s="4">
        <v>643</v>
      </c>
      <c r="H49" s="4">
        <v>1727</v>
      </c>
      <c r="L49" s="4">
        <v>153</v>
      </c>
      <c r="M49" s="4">
        <v>2370</v>
      </c>
      <c r="N49" s="4">
        <v>1</v>
      </c>
    </row>
    <row r="50" spans="1:14" ht="13.2" x14ac:dyDescent="0.25">
      <c r="A50" s="15">
        <v>43939</v>
      </c>
      <c r="B50" s="4">
        <v>8</v>
      </c>
      <c r="C50" s="38">
        <v>43939.333333333336</v>
      </c>
      <c r="D50" s="4">
        <v>2902</v>
      </c>
      <c r="E50" s="4">
        <v>206</v>
      </c>
      <c r="F50" s="4">
        <v>257</v>
      </c>
      <c r="G50" s="4">
        <v>670</v>
      </c>
      <c r="H50" s="4">
        <v>1769</v>
      </c>
      <c r="L50" s="4">
        <v>79</v>
      </c>
      <c r="M50" s="4">
        <v>2439</v>
      </c>
      <c r="N50" s="4">
        <v>3</v>
      </c>
    </row>
    <row r="51" spans="1:14" ht="13.2" x14ac:dyDescent="0.25">
      <c r="A51" s="15">
        <v>43940</v>
      </c>
      <c r="B51" s="4">
        <v>8</v>
      </c>
      <c r="C51" s="38">
        <v>43940.333333333336</v>
      </c>
      <c r="D51" s="4">
        <v>3033</v>
      </c>
      <c r="E51" s="4">
        <v>207</v>
      </c>
      <c r="F51" s="4">
        <v>292</v>
      </c>
      <c r="G51" s="4">
        <v>695</v>
      </c>
      <c r="H51" s="4">
        <v>1839</v>
      </c>
      <c r="L51" s="4">
        <v>131</v>
      </c>
      <c r="M51" s="4">
        <v>2534</v>
      </c>
      <c r="N51" s="4">
        <v>1</v>
      </c>
    </row>
    <row r="52" spans="1:14" ht="13.2" x14ac:dyDescent="0.25">
      <c r="A52" s="15">
        <v>43941</v>
      </c>
      <c r="B52" s="4">
        <v>8</v>
      </c>
      <c r="C52" s="38">
        <v>43941.333333333336</v>
      </c>
      <c r="D52" s="4">
        <v>3112</v>
      </c>
      <c r="E52" s="4">
        <v>237</v>
      </c>
      <c r="F52" s="4">
        <v>297</v>
      </c>
      <c r="G52" s="4">
        <v>752</v>
      </c>
      <c r="H52" s="4">
        <v>1826</v>
      </c>
      <c r="L52" s="4">
        <v>79</v>
      </c>
      <c r="M52" s="4">
        <v>2578</v>
      </c>
      <c r="N52" s="4">
        <v>30</v>
      </c>
    </row>
    <row r="53" spans="1:14" ht="13.2" x14ac:dyDescent="0.25">
      <c r="A53" s="15">
        <v>43942</v>
      </c>
      <c r="B53" s="4">
        <v>8</v>
      </c>
      <c r="C53" s="38">
        <v>43942.333333333336</v>
      </c>
      <c r="D53" s="4">
        <v>3279</v>
      </c>
      <c r="E53" s="4">
        <v>286</v>
      </c>
      <c r="F53" s="4">
        <v>305</v>
      </c>
      <c r="G53" s="4">
        <v>753</v>
      </c>
      <c r="H53" s="4">
        <v>1935</v>
      </c>
      <c r="L53" s="4">
        <v>167</v>
      </c>
      <c r="M53" s="4">
        <v>2688</v>
      </c>
      <c r="N53" s="4">
        <v>49</v>
      </c>
    </row>
    <row r="54" spans="1:14" ht="13.2" x14ac:dyDescent="0.25">
      <c r="A54" s="15">
        <v>43943</v>
      </c>
      <c r="B54" s="4">
        <v>8</v>
      </c>
      <c r="C54" s="38">
        <v>43943.333333333336</v>
      </c>
      <c r="D54" s="4">
        <v>3399</v>
      </c>
      <c r="E54" s="4">
        <v>291</v>
      </c>
      <c r="F54" s="4">
        <v>308</v>
      </c>
      <c r="G54" s="4">
        <v>815</v>
      </c>
      <c r="H54" s="4">
        <v>1985</v>
      </c>
      <c r="L54" s="4">
        <v>120</v>
      </c>
      <c r="M54" s="4">
        <v>2800</v>
      </c>
      <c r="N54" s="4">
        <v>5</v>
      </c>
    </row>
    <row r="55" spans="1:14" ht="13.2" x14ac:dyDescent="0.25">
      <c r="A55" s="15">
        <v>43944</v>
      </c>
      <c r="B55" s="4">
        <v>8</v>
      </c>
      <c r="C55" s="38">
        <v>43944.333333333336</v>
      </c>
      <c r="D55" s="4">
        <v>3506</v>
      </c>
      <c r="E55" s="4">
        <v>292</v>
      </c>
      <c r="F55" s="4">
        <v>316</v>
      </c>
      <c r="G55" s="4">
        <v>888</v>
      </c>
      <c r="H55" s="4">
        <v>2010</v>
      </c>
      <c r="L55" s="4">
        <v>107</v>
      </c>
      <c r="M55" s="4">
        <v>2898</v>
      </c>
      <c r="N55" s="4">
        <v>1</v>
      </c>
    </row>
    <row r="56" spans="1:14" ht="13.2" x14ac:dyDescent="0.25">
      <c r="A56" s="15">
        <v>43945</v>
      </c>
      <c r="B56" s="4">
        <v>8</v>
      </c>
      <c r="C56" s="38">
        <v>43945.333333333336</v>
      </c>
      <c r="D56" s="4">
        <v>3605</v>
      </c>
      <c r="E56" s="4">
        <v>327</v>
      </c>
      <c r="F56" s="4">
        <v>331</v>
      </c>
      <c r="G56" s="4">
        <v>959</v>
      </c>
      <c r="H56" s="4">
        <v>1988</v>
      </c>
      <c r="L56" s="4">
        <v>99</v>
      </c>
      <c r="M56" s="4">
        <v>2947</v>
      </c>
      <c r="N56" s="4">
        <v>35</v>
      </c>
    </row>
    <row r="57" spans="1:14" ht="13.2" x14ac:dyDescent="0.25">
      <c r="A57" s="15">
        <v>43946</v>
      </c>
      <c r="B57" s="4">
        <v>8</v>
      </c>
      <c r="C57" s="38">
        <v>43946.333333333336</v>
      </c>
      <c r="D57" s="4">
        <v>3681</v>
      </c>
      <c r="E57" s="4">
        <v>334</v>
      </c>
      <c r="F57" s="4">
        <v>350</v>
      </c>
      <c r="G57" s="4">
        <v>1050</v>
      </c>
      <c r="H57" s="4">
        <v>1947</v>
      </c>
      <c r="L57" s="4">
        <v>76</v>
      </c>
      <c r="M57" s="4">
        <v>2997</v>
      </c>
      <c r="N57" s="4">
        <v>7</v>
      </c>
    </row>
    <row r="58" spans="1:14" ht="13.2" x14ac:dyDescent="0.25">
      <c r="A58" s="15">
        <v>43947</v>
      </c>
      <c r="B58" s="4">
        <v>8</v>
      </c>
      <c r="C58" s="38">
        <v>43947.333333333336</v>
      </c>
      <c r="D58" s="4">
        <v>3746</v>
      </c>
      <c r="E58" s="4">
        <v>338</v>
      </c>
      <c r="F58" s="4">
        <v>357</v>
      </c>
      <c r="G58" s="4">
        <v>1099</v>
      </c>
      <c r="H58" s="4">
        <v>1952</v>
      </c>
      <c r="L58" s="4">
        <v>65</v>
      </c>
      <c r="M58" s="4">
        <v>3051</v>
      </c>
      <c r="N58" s="4">
        <v>4</v>
      </c>
    </row>
    <row r="59" spans="1:14" ht="13.2" x14ac:dyDescent="0.25">
      <c r="A59" s="15">
        <v>43948</v>
      </c>
      <c r="B59" s="4">
        <v>8</v>
      </c>
      <c r="C59" s="38">
        <v>43948.333333333336</v>
      </c>
      <c r="D59" s="4">
        <v>3832</v>
      </c>
      <c r="E59" s="4">
        <v>338</v>
      </c>
      <c r="F59" s="4">
        <v>375</v>
      </c>
      <c r="G59" s="4">
        <v>1169</v>
      </c>
      <c r="H59" s="4">
        <v>1950</v>
      </c>
      <c r="L59" s="4">
        <v>86</v>
      </c>
      <c r="M59" s="4">
        <v>3119</v>
      </c>
      <c r="N59" s="4">
        <v>0</v>
      </c>
    </row>
    <row r="60" spans="1:14" ht="13.2" x14ac:dyDescent="0.25">
      <c r="A60" s="15">
        <v>43949</v>
      </c>
      <c r="B60" s="4">
        <v>8</v>
      </c>
      <c r="C60" s="38">
        <v>43949.333333333336</v>
      </c>
      <c r="D60" s="4">
        <v>3950</v>
      </c>
      <c r="E60" s="4">
        <v>341</v>
      </c>
      <c r="F60" s="4">
        <v>379</v>
      </c>
      <c r="G60" s="4">
        <v>1206</v>
      </c>
      <c r="H60" s="4">
        <v>2024</v>
      </c>
      <c r="L60" s="4">
        <v>118</v>
      </c>
      <c r="M60" s="4">
        <v>3230</v>
      </c>
      <c r="N60" s="4">
        <v>3</v>
      </c>
    </row>
    <row r="61" spans="1:14" ht="13.2" x14ac:dyDescent="0.25">
      <c r="A61" s="15">
        <v>43950</v>
      </c>
      <c r="B61" s="4">
        <v>8</v>
      </c>
      <c r="C61" s="38">
        <v>43950.333333333336</v>
      </c>
      <c r="D61" s="4">
        <v>4033</v>
      </c>
      <c r="E61" s="4">
        <v>412</v>
      </c>
      <c r="F61" s="4">
        <v>381</v>
      </c>
      <c r="G61" s="4">
        <v>1238</v>
      </c>
      <c r="H61" s="4">
        <v>2002</v>
      </c>
      <c r="L61" s="4">
        <v>83</v>
      </c>
      <c r="M61" s="4">
        <v>3240</v>
      </c>
      <c r="N61" s="4">
        <v>71</v>
      </c>
    </row>
    <row r="62" spans="1:14" ht="13.2" x14ac:dyDescent="0.25">
      <c r="A62" s="15">
        <v>43951</v>
      </c>
      <c r="B62" s="4">
        <v>8</v>
      </c>
      <c r="C62" s="38">
        <v>43951.333333333336</v>
      </c>
      <c r="D62" s="4">
        <v>4138</v>
      </c>
      <c r="E62" s="4">
        <v>412</v>
      </c>
      <c r="F62" s="4">
        <v>381</v>
      </c>
      <c r="G62" s="4">
        <v>1272</v>
      </c>
      <c r="H62" s="4">
        <v>2073</v>
      </c>
      <c r="L62" s="4">
        <v>105</v>
      </c>
      <c r="M62" s="4">
        <v>3345</v>
      </c>
      <c r="N62" s="4">
        <v>0</v>
      </c>
    </row>
    <row r="63" spans="1:14" ht="13.2" x14ac:dyDescent="0.25">
      <c r="A63" s="15">
        <v>43952</v>
      </c>
      <c r="B63" s="4">
        <v>8</v>
      </c>
      <c r="C63" s="38">
        <v>43952.333333333336</v>
      </c>
      <c r="D63" s="4">
        <v>4283</v>
      </c>
      <c r="E63" s="4">
        <v>427</v>
      </c>
      <c r="F63" s="4">
        <v>393</v>
      </c>
      <c r="G63" s="4">
        <v>1312</v>
      </c>
      <c r="H63" s="4">
        <v>2151</v>
      </c>
      <c r="L63" s="4">
        <v>145</v>
      </c>
      <c r="M63" s="4">
        <v>3463</v>
      </c>
      <c r="N63" s="4">
        <v>15</v>
      </c>
    </row>
    <row r="64" spans="1:14" ht="13.2" x14ac:dyDescent="0.25">
      <c r="A64" s="15">
        <v>43953</v>
      </c>
      <c r="B64" s="4">
        <v>8</v>
      </c>
      <c r="C64" s="38">
        <v>43953.333333333336</v>
      </c>
      <c r="D64" s="4">
        <v>4355</v>
      </c>
      <c r="E64" s="4">
        <v>562</v>
      </c>
      <c r="F64" s="4">
        <v>400</v>
      </c>
      <c r="G64" s="4">
        <v>1304</v>
      </c>
      <c r="H64" s="4">
        <v>2089</v>
      </c>
      <c r="L64" s="4">
        <v>72</v>
      </c>
      <c r="M64" s="4">
        <v>3393</v>
      </c>
      <c r="N64" s="4">
        <v>135</v>
      </c>
    </row>
    <row r="65" spans="1:14" ht="13.2" x14ac:dyDescent="0.25">
      <c r="A65" s="15">
        <v>43954</v>
      </c>
      <c r="B65" s="4">
        <v>8</v>
      </c>
      <c r="C65" s="38">
        <v>43954.333333333336</v>
      </c>
      <c r="D65" s="4">
        <v>4417</v>
      </c>
      <c r="E65" s="4">
        <v>622</v>
      </c>
      <c r="F65" s="4">
        <v>410</v>
      </c>
      <c r="G65" s="4">
        <v>1323</v>
      </c>
      <c r="H65" s="4">
        <v>2062</v>
      </c>
      <c r="L65" s="4">
        <v>62</v>
      </c>
      <c r="M65" s="4">
        <v>3385</v>
      </c>
      <c r="N65" s="4">
        <v>60</v>
      </c>
    </row>
    <row r="66" spans="1:14" ht="13.2" x14ac:dyDescent="0.25">
      <c r="A66" s="15">
        <v>43955</v>
      </c>
      <c r="B66" s="4">
        <v>8</v>
      </c>
      <c r="C66" s="38">
        <v>43955.333333333336</v>
      </c>
      <c r="D66" s="4">
        <v>4472</v>
      </c>
      <c r="E66" s="4">
        <v>650</v>
      </c>
      <c r="F66" s="4">
        <v>412</v>
      </c>
      <c r="G66" s="4">
        <v>1330</v>
      </c>
      <c r="H66" s="4">
        <v>2080</v>
      </c>
      <c r="L66" s="4">
        <v>55</v>
      </c>
      <c r="M66" s="4">
        <v>3410</v>
      </c>
      <c r="N66" s="4">
        <v>28</v>
      </c>
    </row>
    <row r="67" spans="1:14" ht="13.2" x14ac:dyDescent="0.25">
      <c r="A67" s="15">
        <v>43956</v>
      </c>
      <c r="B67" s="4">
        <v>8</v>
      </c>
      <c r="C67" s="38">
        <v>43956.333333333336</v>
      </c>
      <c r="D67" s="4">
        <v>4641</v>
      </c>
      <c r="E67" s="4">
        <v>711</v>
      </c>
      <c r="F67" s="4">
        <v>414</v>
      </c>
      <c r="G67" s="4">
        <v>1370</v>
      </c>
      <c r="H67" s="4">
        <v>2146</v>
      </c>
      <c r="L67" s="4">
        <v>169</v>
      </c>
      <c r="M67" s="4">
        <v>3516</v>
      </c>
      <c r="N67" s="4">
        <v>61</v>
      </c>
    </row>
    <row r="68" spans="1:14" ht="13.2" x14ac:dyDescent="0.25">
      <c r="A68" s="15">
        <v>43957</v>
      </c>
      <c r="B68" s="4">
        <v>8</v>
      </c>
      <c r="C68" s="38">
        <v>43957.333333333336</v>
      </c>
      <c r="D68" s="4">
        <v>4709</v>
      </c>
      <c r="E68" s="4">
        <v>713</v>
      </c>
      <c r="F68" s="4">
        <v>420</v>
      </c>
      <c r="G68" s="4">
        <v>1381</v>
      </c>
      <c r="H68" s="4">
        <v>2195</v>
      </c>
      <c r="L68" s="4">
        <v>68</v>
      </c>
      <c r="M68" s="4">
        <v>3576</v>
      </c>
      <c r="N68" s="4">
        <v>2</v>
      </c>
    </row>
    <row r="69" spans="1:14" ht="13.2" x14ac:dyDescent="0.25">
      <c r="A69" s="15">
        <v>43958</v>
      </c>
      <c r="B69" s="4">
        <v>8</v>
      </c>
      <c r="C69" s="38">
        <v>43958.333333333336</v>
      </c>
      <c r="D69" s="4">
        <v>4775</v>
      </c>
      <c r="E69" s="4">
        <v>718</v>
      </c>
      <c r="F69" s="4">
        <v>430</v>
      </c>
      <c r="G69" s="4">
        <v>1431</v>
      </c>
      <c r="H69" s="4">
        <v>2196</v>
      </c>
      <c r="L69" s="4">
        <v>66</v>
      </c>
      <c r="M69" s="4">
        <v>3627</v>
      </c>
      <c r="N69" s="4">
        <v>5</v>
      </c>
    </row>
    <row r="70" spans="1:14" ht="13.2" x14ac:dyDescent="0.25">
      <c r="A70" s="15">
        <v>43959</v>
      </c>
      <c r="B70" s="4">
        <v>8</v>
      </c>
      <c r="C70" s="38">
        <v>43959.333333333336</v>
      </c>
      <c r="D70" s="4">
        <v>4901</v>
      </c>
      <c r="E70" s="4">
        <v>763</v>
      </c>
      <c r="F70" s="4">
        <v>431</v>
      </c>
      <c r="G70" s="4">
        <v>1426</v>
      </c>
      <c r="H70" s="4">
        <v>2281</v>
      </c>
      <c r="L70" s="4">
        <v>126</v>
      </c>
      <c r="M70" s="4">
        <v>3707</v>
      </c>
      <c r="N70" s="4">
        <v>45</v>
      </c>
    </row>
    <row r="71" spans="1:14" ht="13.2" x14ac:dyDescent="0.25">
      <c r="A71" s="15">
        <v>43960</v>
      </c>
      <c r="B71" s="4">
        <v>8</v>
      </c>
      <c r="C71" s="38">
        <v>43960.333333333336</v>
      </c>
      <c r="D71" s="4">
        <v>4958</v>
      </c>
      <c r="E71" s="4">
        <v>767</v>
      </c>
      <c r="F71" s="4">
        <v>437</v>
      </c>
      <c r="G71" s="4">
        <v>1442</v>
      </c>
      <c r="H71" s="4">
        <v>2312</v>
      </c>
      <c r="L71" s="4">
        <v>57</v>
      </c>
      <c r="M71" s="4">
        <v>3754</v>
      </c>
      <c r="N71" s="4">
        <v>4</v>
      </c>
    </row>
    <row r="72" spans="1:14" ht="13.2" x14ac:dyDescent="0.25">
      <c r="A72" s="15">
        <v>43961</v>
      </c>
      <c r="B72" s="4">
        <v>8</v>
      </c>
      <c r="C72" s="38">
        <v>43961.333333333336</v>
      </c>
      <c r="D72" s="4">
        <v>5140</v>
      </c>
      <c r="E72" s="4">
        <v>803</v>
      </c>
      <c r="F72" s="4">
        <v>444</v>
      </c>
      <c r="G72" s="4">
        <v>1533</v>
      </c>
      <c r="H72" s="4">
        <v>2360</v>
      </c>
      <c r="L72" s="4">
        <v>182</v>
      </c>
      <c r="M72" s="4">
        <v>3893</v>
      </c>
      <c r="N72" s="4">
        <v>36</v>
      </c>
    </row>
    <row r="73" spans="1:14" ht="13.2" x14ac:dyDescent="0.25">
      <c r="A73" s="15">
        <v>43962</v>
      </c>
      <c r="B73" s="4">
        <v>8</v>
      </c>
      <c r="C73" s="38">
        <v>43962.333333333336</v>
      </c>
      <c r="D73" s="4">
        <v>5195</v>
      </c>
      <c r="E73" s="4">
        <v>836</v>
      </c>
      <c r="F73" s="4">
        <v>453</v>
      </c>
      <c r="G73" s="4">
        <v>1648</v>
      </c>
      <c r="H73" s="4">
        <v>2258</v>
      </c>
      <c r="L73" s="4">
        <v>55</v>
      </c>
      <c r="M73" s="4">
        <v>3906</v>
      </c>
      <c r="N73" s="4">
        <v>33</v>
      </c>
    </row>
    <row r="74" spans="1:14" ht="13.2" x14ac:dyDescent="0.25">
      <c r="A74" s="15">
        <v>43963</v>
      </c>
      <c r="B74" s="4">
        <v>8</v>
      </c>
      <c r="C74" s="38">
        <v>43963.333333333336</v>
      </c>
      <c r="D74" s="4">
        <v>5303</v>
      </c>
      <c r="E74" s="4">
        <v>1262</v>
      </c>
      <c r="F74" s="4">
        <v>457</v>
      </c>
      <c r="G74" s="4">
        <v>1741</v>
      </c>
      <c r="H74" s="4">
        <v>1843</v>
      </c>
      <c r="L74" s="4">
        <v>108</v>
      </c>
      <c r="M74" s="4">
        <v>3584</v>
      </c>
      <c r="N74" s="4">
        <v>426</v>
      </c>
    </row>
    <row r="75" spans="1:14" ht="13.2" x14ac:dyDescent="0.25">
      <c r="A75" s="15">
        <v>43964</v>
      </c>
      <c r="B75" s="4">
        <v>8</v>
      </c>
      <c r="C75" s="38">
        <v>43964.333333333336</v>
      </c>
      <c r="D75" s="4">
        <v>5437</v>
      </c>
      <c r="E75" s="4">
        <v>1277</v>
      </c>
      <c r="F75" s="4">
        <v>461</v>
      </c>
      <c r="G75" s="4">
        <v>1866</v>
      </c>
      <c r="H75" s="4">
        <v>1833</v>
      </c>
      <c r="L75" s="4">
        <v>134</v>
      </c>
      <c r="M75" s="4">
        <v>3699</v>
      </c>
      <c r="N75" s="4">
        <v>15</v>
      </c>
    </row>
    <row r="76" spans="1:14" ht="13.2" x14ac:dyDescent="0.25">
      <c r="A76" s="15">
        <v>43965</v>
      </c>
      <c r="B76" s="4">
        <v>8</v>
      </c>
      <c r="C76" s="38">
        <v>43965.333333333336</v>
      </c>
      <c r="D76" s="4">
        <v>5617</v>
      </c>
      <c r="E76" s="4">
        <v>1279</v>
      </c>
      <c r="F76" s="4">
        <v>466</v>
      </c>
      <c r="G76" s="4">
        <v>1995</v>
      </c>
      <c r="H76" s="4">
        <v>1877</v>
      </c>
      <c r="L76" s="4">
        <v>180</v>
      </c>
      <c r="M76" s="4">
        <v>3872</v>
      </c>
      <c r="N76" s="4">
        <v>2</v>
      </c>
    </row>
    <row r="77" spans="1:14" ht="13.2" x14ac:dyDescent="0.25">
      <c r="A77" s="15">
        <v>43966</v>
      </c>
      <c r="B77" s="4">
        <v>8</v>
      </c>
      <c r="C77" s="38">
        <v>43966.333333333336</v>
      </c>
      <c r="D77" s="4">
        <v>5679</v>
      </c>
      <c r="E77" s="4">
        <v>1286</v>
      </c>
      <c r="F77" s="4">
        <v>474</v>
      </c>
      <c r="G77" s="4">
        <v>2019</v>
      </c>
      <c r="H77" s="4">
        <v>1900</v>
      </c>
      <c r="L77" s="4">
        <v>62</v>
      </c>
      <c r="M77" s="4">
        <v>3919</v>
      </c>
      <c r="N77" s="4">
        <v>7</v>
      </c>
    </row>
    <row r="78" spans="1:14" ht="13.2" x14ac:dyDescent="0.25">
      <c r="A78" s="15">
        <v>43967</v>
      </c>
      <c r="B78" s="4">
        <v>8</v>
      </c>
      <c r="C78" s="38">
        <v>43967.333333333336</v>
      </c>
      <c r="D78" s="4">
        <v>5795</v>
      </c>
      <c r="E78" s="4">
        <v>1292</v>
      </c>
      <c r="F78" s="4">
        <v>475</v>
      </c>
      <c r="G78" s="4">
        <v>2120</v>
      </c>
      <c r="H78" s="4">
        <v>1908</v>
      </c>
      <c r="L78" s="4">
        <v>116</v>
      </c>
      <c r="M78" s="4">
        <v>4028</v>
      </c>
      <c r="N78" s="4">
        <v>6</v>
      </c>
    </row>
    <row r="79" spans="1:14" ht="13.2" x14ac:dyDescent="0.25">
      <c r="A79" s="15">
        <v>43968</v>
      </c>
      <c r="B79" s="4">
        <v>8</v>
      </c>
      <c r="C79" s="38">
        <v>43968.333333333336</v>
      </c>
      <c r="D79" s="4">
        <v>5922</v>
      </c>
      <c r="E79" s="4">
        <v>1295</v>
      </c>
      <c r="F79" s="4">
        <v>478</v>
      </c>
      <c r="G79" s="4">
        <v>2217</v>
      </c>
      <c r="H79" s="4">
        <v>1932</v>
      </c>
      <c r="L79" s="4">
        <v>127</v>
      </c>
      <c r="M79" s="4">
        <v>4149</v>
      </c>
      <c r="N79" s="4">
        <v>3</v>
      </c>
    </row>
    <row r="80" spans="1:14" ht="13.2" x14ac:dyDescent="0.25">
      <c r="A80" s="15">
        <v>43969</v>
      </c>
      <c r="B80" s="4">
        <v>8</v>
      </c>
      <c r="C80" s="38">
        <v>43969.333333333336</v>
      </c>
      <c r="D80" s="4">
        <v>5996</v>
      </c>
      <c r="E80" s="4">
        <v>1301</v>
      </c>
      <c r="F80" s="4">
        <v>483</v>
      </c>
      <c r="G80" s="4">
        <v>2266</v>
      </c>
      <c r="H80" s="4">
        <v>1946</v>
      </c>
      <c r="L80" s="4">
        <v>74</v>
      </c>
      <c r="M80" s="4">
        <v>4212</v>
      </c>
      <c r="N80" s="4">
        <v>6</v>
      </c>
    </row>
    <row r="81" spans="1:14" ht="13.2" x14ac:dyDescent="0.25">
      <c r="A81" s="15">
        <v>43970</v>
      </c>
      <c r="B81" s="4">
        <v>8</v>
      </c>
      <c r="C81" s="38">
        <v>43970.333333333336</v>
      </c>
      <c r="D81" s="4">
        <v>6053</v>
      </c>
      <c r="E81" s="4">
        <v>1417</v>
      </c>
      <c r="F81" s="4">
        <v>487</v>
      </c>
      <c r="G81" s="4">
        <v>2213</v>
      </c>
      <c r="H81" s="4">
        <v>1936</v>
      </c>
      <c r="L81" s="4">
        <v>57</v>
      </c>
      <c r="M81" s="4">
        <v>4149</v>
      </c>
      <c r="N81" s="4">
        <v>116</v>
      </c>
    </row>
    <row r="82" spans="1:14" ht="13.2" x14ac:dyDescent="0.25">
      <c r="A82" s="15">
        <v>43971</v>
      </c>
      <c r="B82" s="4">
        <v>8</v>
      </c>
      <c r="C82" s="38">
        <v>43971.333333333336</v>
      </c>
      <c r="D82" s="4">
        <v>6150</v>
      </c>
      <c r="E82" s="4">
        <v>1425</v>
      </c>
      <c r="F82" s="4">
        <v>493</v>
      </c>
      <c r="G82" s="4">
        <v>2263</v>
      </c>
      <c r="H82" s="4">
        <v>1969</v>
      </c>
      <c r="L82" s="4">
        <v>97</v>
      </c>
      <c r="M82" s="4">
        <v>4232</v>
      </c>
      <c r="N82" s="4">
        <v>8</v>
      </c>
    </row>
    <row r="83" spans="1:14" ht="13.2" x14ac:dyDescent="0.25">
      <c r="A83" s="15">
        <v>43972</v>
      </c>
      <c r="B83" s="4">
        <v>8</v>
      </c>
      <c r="C83" s="38">
        <v>43972.333333333336</v>
      </c>
      <c r="D83" s="4">
        <v>6220</v>
      </c>
      <c r="E83" s="4">
        <v>1536</v>
      </c>
      <c r="F83" s="4">
        <v>498</v>
      </c>
      <c r="G83" s="4">
        <v>2231</v>
      </c>
      <c r="H83" s="4">
        <v>1955</v>
      </c>
      <c r="L83" s="4">
        <v>70</v>
      </c>
      <c r="M83" s="4">
        <v>4186</v>
      </c>
      <c r="N83" s="4">
        <v>111</v>
      </c>
    </row>
    <row r="84" spans="1:14" ht="13.2" x14ac:dyDescent="0.25">
      <c r="A84" s="15">
        <v>43973</v>
      </c>
      <c r="B84" s="4">
        <v>8</v>
      </c>
      <c r="C84" s="38">
        <v>43973.333333333336</v>
      </c>
      <c r="D84" s="4">
        <v>6316</v>
      </c>
      <c r="E84" s="4">
        <v>1558</v>
      </c>
      <c r="F84" s="4">
        <v>501</v>
      </c>
      <c r="G84" s="4">
        <v>2282</v>
      </c>
      <c r="H84" s="4">
        <v>1975</v>
      </c>
      <c r="L84" s="4">
        <v>96</v>
      </c>
      <c r="M84" s="4">
        <v>4257</v>
      </c>
      <c r="N84" s="4">
        <v>22</v>
      </c>
    </row>
    <row r="85" spans="1:14" ht="13.2" x14ac:dyDescent="0.25">
      <c r="A85" s="15">
        <v>43974</v>
      </c>
      <c r="B85" s="4">
        <v>8</v>
      </c>
      <c r="C85" s="38">
        <v>43974.333333333336</v>
      </c>
      <c r="D85" s="4">
        <v>6443</v>
      </c>
      <c r="E85" s="4">
        <v>1587</v>
      </c>
      <c r="F85" s="4">
        <v>504</v>
      </c>
      <c r="G85" s="4">
        <v>2346</v>
      </c>
      <c r="H85" s="4">
        <v>2006</v>
      </c>
      <c r="L85" s="4">
        <v>127</v>
      </c>
      <c r="M85" s="4">
        <v>4352</v>
      </c>
      <c r="N85" s="4">
        <v>29</v>
      </c>
    </row>
    <row r="86" spans="1:14" ht="13.2" x14ac:dyDescent="0.25">
      <c r="A86" s="15">
        <v>43975</v>
      </c>
      <c r="B86" s="4">
        <v>8</v>
      </c>
      <c r="C86" s="38">
        <v>43975.333333333336</v>
      </c>
      <c r="D86" s="4">
        <v>6561</v>
      </c>
      <c r="E86" s="4">
        <v>1594</v>
      </c>
      <c r="F86" s="4">
        <v>505</v>
      </c>
      <c r="G86" s="4">
        <v>2431</v>
      </c>
      <c r="H86" s="4">
        <v>2031</v>
      </c>
      <c r="L86" s="4">
        <v>118</v>
      </c>
      <c r="M86" s="4">
        <v>4462</v>
      </c>
      <c r="N86" s="4">
        <v>7</v>
      </c>
    </row>
    <row r="87" spans="1:14" ht="13.2" x14ac:dyDescent="0.25">
      <c r="A87" s="15">
        <v>43976</v>
      </c>
      <c r="B87" s="4">
        <v>8</v>
      </c>
      <c r="C87" s="38">
        <v>43976.333333333336</v>
      </c>
      <c r="D87" s="4">
        <v>6628</v>
      </c>
      <c r="E87" s="4">
        <v>1648</v>
      </c>
      <c r="F87" s="4">
        <v>506</v>
      </c>
      <c r="G87" s="4">
        <v>2430</v>
      </c>
      <c r="H87" s="4">
        <v>2044</v>
      </c>
      <c r="L87" s="4">
        <v>67</v>
      </c>
      <c r="M87" s="4">
        <v>4474</v>
      </c>
      <c r="N87" s="4">
        <v>54</v>
      </c>
    </row>
    <row r="88" spans="1:14" ht="13.2" x14ac:dyDescent="0.25">
      <c r="A88" s="15">
        <v>43977</v>
      </c>
      <c r="B88" s="4">
        <v>8</v>
      </c>
      <c r="C88" s="38">
        <v>43977.333333333336</v>
      </c>
      <c r="D88" s="4">
        <v>6689</v>
      </c>
      <c r="E88" s="4">
        <v>1678</v>
      </c>
      <c r="F88" s="4">
        <v>508</v>
      </c>
      <c r="G88" s="4">
        <v>2459</v>
      </c>
      <c r="H88" s="4">
        <v>2044</v>
      </c>
      <c r="L88" s="4">
        <v>61</v>
      </c>
      <c r="M88" s="4">
        <v>4503</v>
      </c>
      <c r="N88" s="4">
        <v>30</v>
      </c>
    </row>
    <row r="89" spans="1:14" ht="13.2" x14ac:dyDescent="0.25">
      <c r="A89" s="15">
        <v>43978</v>
      </c>
      <c r="B89" s="4">
        <v>8</v>
      </c>
      <c r="C89" s="38">
        <v>43978.333333333336</v>
      </c>
      <c r="D89" s="4">
        <v>6826</v>
      </c>
      <c r="E89" s="4">
        <v>1698</v>
      </c>
      <c r="F89" s="4">
        <v>510</v>
      </c>
      <c r="G89" s="4">
        <v>2584</v>
      </c>
      <c r="H89" s="4">
        <v>2034</v>
      </c>
      <c r="L89" s="4">
        <v>137</v>
      </c>
      <c r="M89" s="4">
        <v>4618</v>
      </c>
      <c r="N89" s="4">
        <v>20</v>
      </c>
    </row>
    <row r="90" spans="1:14" ht="13.2" x14ac:dyDescent="0.25">
      <c r="A90" s="15">
        <v>43979</v>
      </c>
      <c r="B90" s="4">
        <v>8</v>
      </c>
      <c r="C90" s="38">
        <v>43979.333333333336</v>
      </c>
      <c r="D90" s="4">
        <v>6929</v>
      </c>
      <c r="E90" s="4">
        <v>1719</v>
      </c>
      <c r="F90" s="4">
        <v>514</v>
      </c>
      <c r="G90" s="4">
        <v>2641</v>
      </c>
      <c r="H90" s="4">
        <v>2055</v>
      </c>
      <c r="L90" s="4">
        <v>103</v>
      </c>
      <c r="M90" s="4">
        <v>4696</v>
      </c>
      <c r="N90" s="4">
        <v>21</v>
      </c>
    </row>
    <row r="91" spans="1:14" ht="13.2" x14ac:dyDescent="0.25">
      <c r="A91" s="15">
        <v>43980</v>
      </c>
      <c r="B91" s="4">
        <v>8</v>
      </c>
      <c r="C91" s="38">
        <v>43980.333333333336</v>
      </c>
      <c r="D91" s="4">
        <v>7053</v>
      </c>
      <c r="E91" s="4">
        <v>1807</v>
      </c>
      <c r="F91" s="4">
        <v>517</v>
      </c>
      <c r="G91" s="4">
        <v>2722</v>
      </c>
      <c r="H91" s="4">
        <v>2007</v>
      </c>
      <c r="L91" s="4">
        <v>124</v>
      </c>
      <c r="M91" s="4">
        <v>4729</v>
      </c>
      <c r="N91" s="4">
        <v>88</v>
      </c>
    </row>
    <row r="92" spans="1:14" ht="13.2" x14ac:dyDescent="0.25">
      <c r="A92" s="15">
        <v>43981</v>
      </c>
      <c r="B92" s="4">
        <v>8</v>
      </c>
      <c r="C92" s="38">
        <v>43981.333333333336</v>
      </c>
      <c r="D92" s="4">
        <v>7151</v>
      </c>
      <c r="E92" s="4">
        <v>2003</v>
      </c>
      <c r="F92" s="4">
        <v>519</v>
      </c>
      <c r="G92" s="4">
        <v>2781</v>
      </c>
      <c r="H92" s="4">
        <v>1848</v>
      </c>
      <c r="L92" s="4">
        <v>98</v>
      </c>
      <c r="M92" s="4">
        <v>4629</v>
      </c>
      <c r="N92" s="4">
        <v>196</v>
      </c>
    </row>
    <row r="93" spans="1:14" ht="13.2" x14ac:dyDescent="0.25">
      <c r="A93" s="15">
        <v>43982</v>
      </c>
      <c r="B93" s="4">
        <v>8</v>
      </c>
      <c r="C93" s="38">
        <v>43982.333333333336</v>
      </c>
      <c r="D93" s="4">
        <v>7272</v>
      </c>
      <c r="E93" s="4">
        <v>2102</v>
      </c>
      <c r="F93" s="4">
        <v>520</v>
      </c>
      <c r="G93" s="4">
        <v>2827</v>
      </c>
      <c r="H93" s="4">
        <v>1823</v>
      </c>
      <c r="L93" s="4">
        <v>121</v>
      </c>
      <c r="M93" s="4">
        <v>4650</v>
      </c>
      <c r="N93" s="4">
        <v>99</v>
      </c>
    </row>
    <row r="94" spans="1:14" ht="13.2" x14ac:dyDescent="0.25">
      <c r="A94" s="15">
        <v>43983</v>
      </c>
      <c r="B94" s="4">
        <v>8</v>
      </c>
      <c r="C94" s="38">
        <v>43983.333333333336</v>
      </c>
      <c r="D94" s="4">
        <v>7383</v>
      </c>
      <c r="E94" s="4">
        <v>2246</v>
      </c>
      <c r="F94" s="4">
        <v>521</v>
      </c>
      <c r="G94" s="4">
        <v>2822</v>
      </c>
      <c r="H94" s="4">
        <v>1794</v>
      </c>
      <c r="L94" s="4">
        <v>111</v>
      </c>
      <c r="M94" s="4">
        <v>4616</v>
      </c>
      <c r="N94" s="4">
        <v>144</v>
      </c>
    </row>
    <row r="95" spans="1:14" ht="13.2" x14ac:dyDescent="0.25">
      <c r="A95" s="15">
        <v>43984</v>
      </c>
      <c r="B95" s="4">
        <v>8</v>
      </c>
      <c r="C95" s="38">
        <v>43984.333333333336</v>
      </c>
      <c r="D95" s="4">
        <v>7459</v>
      </c>
      <c r="E95" s="4">
        <v>2405</v>
      </c>
      <c r="F95" s="4">
        <v>525</v>
      </c>
      <c r="G95" s="4">
        <v>2786</v>
      </c>
      <c r="H95" s="4">
        <v>1743</v>
      </c>
      <c r="L95" s="4">
        <v>76</v>
      </c>
      <c r="M95" s="4">
        <v>4529</v>
      </c>
      <c r="N95" s="4">
        <v>159</v>
      </c>
    </row>
    <row r="96" spans="1:14" ht="13.2" x14ac:dyDescent="0.25">
      <c r="A96" s="15">
        <v>43985</v>
      </c>
      <c r="B96" s="4">
        <v>8</v>
      </c>
      <c r="C96" s="38">
        <v>43985.333333333336</v>
      </c>
      <c r="D96" s="4">
        <v>7539</v>
      </c>
      <c r="E96" s="4">
        <v>2534</v>
      </c>
      <c r="F96" s="4">
        <v>529</v>
      </c>
      <c r="G96" s="4">
        <v>2777</v>
      </c>
      <c r="H96" s="4">
        <v>1699</v>
      </c>
      <c r="L96" s="4">
        <v>80</v>
      </c>
      <c r="M96" s="4">
        <v>4476</v>
      </c>
      <c r="N96" s="4">
        <v>129</v>
      </c>
    </row>
    <row r="97" spans="1:14" ht="13.2" x14ac:dyDescent="0.25">
      <c r="A97" s="15">
        <v>43986</v>
      </c>
      <c r="B97" s="4">
        <v>8</v>
      </c>
      <c r="C97" s="38">
        <v>43986.333333333336</v>
      </c>
      <c r="D97" s="4">
        <v>7600</v>
      </c>
      <c r="E97" s="4">
        <v>2607</v>
      </c>
      <c r="F97" s="4">
        <v>530</v>
      </c>
      <c r="G97" s="4">
        <v>2793</v>
      </c>
      <c r="H97" s="4">
        <v>1670</v>
      </c>
      <c r="L97" s="4">
        <v>61</v>
      </c>
      <c r="M97" s="4">
        <v>4463</v>
      </c>
      <c r="N97" s="4">
        <v>73</v>
      </c>
    </row>
    <row r="98" spans="1:14" ht="13.2" x14ac:dyDescent="0.25">
      <c r="A98" s="15">
        <v>43987</v>
      </c>
      <c r="B98" s="4">
        <v>8</v>
      </c>
      <c r="C98" s="38">
        <v>43987.333333333336</v>
      </c>
      <c r="D98" s="4">
        <v>7684</v>
      </c>
      <c r="E98" s="4">
        <v>2751</v>
      </c>
      <c r="F98" s="4">
        <v>532</v>
      </c>
      <c r="G98" s="4">
        <v>2768</v>
      </c>
      <c r="H98" s="4">
        <v>1633</v>
      </c>
      <c r="L98" s="4">
        <v>84</v>
      </c>
      <c r="M98" s="4">
        <v>4401</v>
      </c>
      <c r="N98" s="4">
        <v>144</v>
      </c>
    </row>
    <row r="99" spans="1:14" ht="13.2" x14ac:dyDescent="0.25">
      <c r="A99" s="15">
        <v>43988</v>
      </c>
      <c r="B99" s="4">
        <v>8</v>
      </c>
      <c r="C99" s="38">
        <v>43988.333333333336</v>
      </c>
      <c r="D99" s="4">
        <v>7786</v>
      </c>
      <c r="E99" s="4">
        <v>2840</v>
      </c>
      <c r="F99" s="4">
        <v>535</v>
      </c>
      <c r="G99" s="4">
        <v>2776</v>
      </c>
      <c r="H99" s="4">
        <v>1635</v>
      </c>
      <c r="L99" s="4">
        <v>102</v>
      </c>
      <c r="M99" s="4">
        <v>4411</v>
      </c>
      <c r="N99" s="4">
        <v>89</v>
      </c>
    </row>
    <row r="100" spans="1:14" ht="13.2" x14ac:dyDescent="0.25">
      <c r="A100" s="15">
        <v>43989</v>
      </c>
      <c r="B100" s="4">
        <v>8</v>
      </c>
      <c r="C100" s="38">
        <v>43989.333333333336</v>
      </c>
      <c r="D100" s="4">
        <v>7946</v>
      </c>
      <c r="E100" s="4">
        <v>3170</v>
      </c>
      <c r="F100" s="4">
        <v>537</v>
      </c>
      <c r="G100" s="4">
        <v>2794</v>
      </c>
      <c r="H100" s="4">
        <v>1445</v>
      </c>
      <c r="L100" s="4">
        <v>160</v>
      </c>
      <c r="M100" s="4">
        <v>4239</v>
      </c>
      <c r="N100" s="4">
        <v>330</v>
      </c>
    </row>
    <row r="101" spans="1:14" ht="13.2" x14ac:dyDescent="0.25">
      <c r="A101" s="15">
        <v>43990</v>
      </c>
      <c r="B101" s="4">
        <v>8</v>
      </c>
      <c r="C101" s="38">
        <v>43990.333333333336</v>
      </c>
      <c r="D101" s="4">
        <v>8037</v>
      </c>
      <c r="E101" s="4">
        <v>3205</v>
      </c>
      <c r="F101" s="4">
        <v>538</v>
      </c>
      <c r="G101" s="4">
        <v>2846</v>
      </c>
      <c r="H101" s="4">
        <v>1448</v>
      </c>
      <c r="L101" s="4">
        <v>91</v>
      </c>
      <c r="M101" s="4">
        <v>4294</v>
      </c>
      <c r="N101" s="4">
        <v>35</v>
      </c>
    </row>
    <row r="102" spans="1:14" ht="13.2" x14ac:dyDescent="0.25">
      <c r="A102" s="15">
        <v>43991</v>
      </c>
      <c r="B102" s="4">
        <v>8</v>
      </c>
      <c r="C102" s="38">
        <v>43991.333333333336</v>
      </c>
      <c r="D102" s="4">
        <v>8276</v>
      </c>
      <c r="E102" s="4">
        <v>3369</v>
      </c>
      <c r="F102" s="4">
        <v>547</v>
      </c>
      <c r="G102" s="4">
        <v>2918</v>
      </c>
      <c r="H102" s="4">
        <v>1442</v>
      </c>
      <c r="L102" s="4">
        <v>239</v>
      </c>
      <c r="M102" s="4">
        <v>4360</v>
      </c>
      <c r="N102" s="4">
        <v>164</v>
      </c>
    </row>
    <row r="103" spans="1:14" ht="13.2" x14ac:dyDescent="0.25">
      <c r="A103" s="15">
        <v>43992</v>
      </c>
      <c r="B103" s="4">
        <v>8</v>
      </c>
      <c r="C103" s="38">
        <v>43992.333333333336</v>
      </c>
      <c r="D103" s="4">
        <v>8423</v>
      </c>
      <c r="E103" s="4">
        <v>3517</v>
      </c>
      <c r="F103" s="4">
        <v>551</v>
      </c>
      <c r="G103" s="4">
        <v>2928</v>
      </c>
      <c r="H103" s="4">
        <v>1427</v>
      </c>
      <c r="L103" s="4">
        <v>147</v>
      </c>
      <c r="M103" s="4">
        <v>4355</v>
      </c>
      <c r="N103" s="4">
        <v>148</v>
      </c>
    </row>
    <row r="104" spans="1:14" ht="13.2" x14ac:dyDescent="0.25">
      <c r="A104" s="15">
        <v>43993</v>
      </c>
      <c r="B104" s="4">
        <v>8</v>
      </c>
      <c r="C104" s="38">
        <v>43993.333333333336</v>
      </c>
      <c r="D104" s="4">
        <v>8552</v>
      </c>
      <c r="E104" s="4">
        <v>3664</v>
      </c>
      <c r="F104" s="4">
        <v>555</v>
      </c>
      <c r="G104" s="4">
        <v>2887</v>
      </c>
      <c r="H104" s="4">
        <v>1446</v>
      </c>
      <c r="L104" s="4">
        <v>129</v>
      </c>
      <c r="M104" s="4">
        <v>4333</v>
      </c>
      <c r="N104" s="4">
        <v>147</v>
      </c>
    </row>
    <row r="105" spans="1:14" ht="13.2" x14ac:dyDescent="0.25">
      <c r="A105" s="15">
        <v>43994</v>
      </c>
      <c r="B105" s="4">
        <v>8</v>
      </c>
      <c r="C105" s="38">
        <v>43994.333333333336</v>
      </c>
      <c r="D105" s="4">
        <v>8628</v>
      </c>
      <c r="E105" s="4">
        <v>3780</v>
      </c>
      <c r="F105" s="4">
        <v>561</v>
      </c>
      <c r="G105" s="4">
        <v>2863</v>
      </c>
      <c r="H105" s="4">
        <v>1424</v>
      </c>
      <c r="L105" s="4">
        <v>76</v>
      </c>
      <c r="M105" s="4">
        <v>4287</v>
      </c>
      <c r="N105" s="4">
        <v>116</v>
      </c>
    </row>
    <row r="106" spans="1:14" ht="13.2" x14ac:dyDescent="0.25">
      <c r="A106" s="15">
        <v>43995</v>
      </c>
      <c r="B106" s="4">
        <v>8</v>
      </c>
      <c r="C106" s="38">
        <v>43995.333333333336</v>
      </c>
      <c r="D106" s="4">
        <v>8748</v>
      </c>
      <c r="E106" s="4">
        <v>3840</v>
      </c>
      <c r="F106" s="4">
        <v>564</v>
      </c>
      <c r="G106" s="4">
        <v>2925</v>
      </c>
      <c r="H106" s="4">
        <v>1419</v>
      </c>
      <c r="L106" s="4">
        <v>120</v>
      </c>
      <c r="M106" s="4">
        <v>4344</v>
      </c>
      <c r="N106" s="4">
        <v>60</v>
      </c>
    </row>
    <row r="107" spans="1:14" ht="13.2" x14ac:dyDescent="0.25">
      <c r="A107" s="15">
        <v>43996</v>
      </c>
      <c r="B107" s="4">
        <v>8</v>
      </c>
      <c r="C107" s="38">
        <v>43996.333333333336</v>
      </c>
      <c r="D107" s="4">
        <v>8863</v>
      </c>
      <c r="E107" s="4">
        <v>4091</v>
      </c>
      <c r="F107" s="4">
        <v>571</v>
      </c>
      <c r="G107" s="4">
        <v>2833</v>
      </c>
      <c r="H107" s="4">
        <v>1368</v>
      </c>
      <c r="L107" s="4">
        <v>115</v>
      </c>
      <c r="M107" s="4">
        <v>4201</v>
      </c>
      <c r="N107" s="4">
        <v>251</v>
      </c>
    </row>
    <row r="108" spans="1:14" ht="13.2" x14ac:dyDescent="0.25">
      <c r="A108" s="15">
        <v>43997</v>
      </c>
      <c r="B108" s="4">
        <v>8</v>
      </c>
      <c r="C108" s="38">
        <v>43997.333333333336</v>
      </c>
      <c r="D108" s="4">
        <v>8968</v>
      </c>
      <c r="E108" s="4">
        <v>4198</v>
      </c>
      <c r="F108" s="4">
        <v>580</v>
      </c>
      <c r="G108" s="4">
        <v>2800</v>
      </c>
      <c r="H108" s="4">
        <v>1390</v>
      </c>
      <c r="L108" s="4">
        <v>105</v>
      </c>
      <c r="M108" s="4">
        <v>4190</v>
      </c>
      <c r="N108" s="4">
        <v>107</v>
      </c>
    </row>
    <row r="109" spans="1:14" ht="13.2" x14ac:dyDescent="0.25">
      <c r="A109" s="15">
        <v>43998</v>
      </c>
      <c r="B109" s="4">
        <v>8</v>
      </c>
      <c r="C109" s="38">
        <v>43998.333333333336</v>
      </c>
      <c r="D109" s="4">
        <v>9092</v>
      </c>
      <c r="E109" s="4">
        <v>4329</v>
      </c>
      <c r="F109" s="4">
        <v>583</v>
      </c>
      <c r="G109" s="4">
        <v>2764</v>
      </c>
      <c r="H109" s="4">
        <v>1416</v>
      </c>
      <c r="L109" s="4">
        <v>124</v>
      </c>
      <c r="M109" s="4">
        <v>4180</v>
      </c>
      <c r="N109" s="4">
        <v>131</v>
      </c>
    </row>
    <row r="110" spans="1:14" ht="13.2" x14ac:dyDescent="0.25">
      <c r="A110" s="15">
        <v>43999</v>
      </c>
      <c r="B110" s="4">
        <v>8</v>
      </c>
      <c r="C110" s="38">
        <v>43999.333333333336</v>
      </c>
      <c r="D110" s="4">
        <v>9209</v>
      </c>
      <c r="E110" s="4">
        <v>4444</v>
      </c>
      <c r="F110" s="4">
        <v>588</v>
      </c>
      <c r="G110" s="4">
        <v>2775</v>
      </c>
      <c r="H110" s="4">
        <v>1402</v>
      </c>
      <c r="L110" s="4">
        <v>117</v>
      </c>
      <c r="M110" s="4">
        <v>4177</v>
      </c>
      <c r="N110" s="4">
        <v>115</v>
      </c>
    </row>
    <row r="111" spans="1:14" ht="13.2" x14ac:dyDescent="0.25">
      <c r="A111" s="15">
        <v>44000</v>
      </c>
      <c r="B111" s="4">
        <v>8</v>
      </c>
      <c r="C111" s="38">
        <v>44000.333333333336</v>
      </c>
      <c r="D111" s="4">
        <v>9385</v>
      </c>
      <c r="E111" s="4">
        <v>4592</v>
      </c>
      <c r="F111" s="4">
        <v>594</v>
      </c>
      <c r="G111" s="4">
        <v>2822</v>
      </c>
      <c r="H111" s="4">
        <v>1377</v>
      </c>
      <c r="L111" s="4">
        <v>176</v>
      </c>
      <c r="M111" s="4">
        <v>4199</v>
      </c>
      <c r="N111" s="4">
        <v>148</v>
      </c>
    </row>
    <row r="112" spans="1:14" ht="13.2" x14ac:dyDescent="0.25">
      <c r="A112" s="15">
        <v>44001</v>
      </c>
      <c r="B112" s="4">
        <v>8</v>
      </c>
      <c r="C112" s="38">
        <v>44001.333333333336</v>
      </c>
      <c r="D112" s="4">
        <v>9525</v>
      </c>
      <c r="E112" s="4">
        <v>4682</v>
      </c>
      <c r="F112" s="4">
        <v>599</v>
      </c>
      <c r="G112" s="4">
        <v>2862</v>
      </c>
      <c r="H112" s="4">
        <v>1382</v>
      </c>
      <c r="L112" s="4">
        <v>140</v>
      </c>
      <c r="M112" s="4">
        <v>4244</v>
      </c>
      <c r="N112" s="4">
        <v>90</v>
      </c>
    </row>
    <row r="113" spans="1:14" ht="13.2" x14ac:dyDescent="0.25">
      <c r="A113" s="15">
        <v>44002</v>
      </c>
      <c r="B113" s="4">
        <v>8</v>
      </c>
      <c r="C113" s="38">
        <v>44002.333333333336</v>
      </c>
      <c r="D113" s="4">
        <v>9703</v>
      </c>
      <c r="E113" s="4">
        <v>4821</v>
      </c>
      <c r="F113" s="4">
        <v>603</v>
      </c>
      <c r="G113" s="4">
        <v>2939</v>
      </c>
      <c r="H113" s="4">
        <v>1340</v>
      </c>
      <c r="L113" s="4">
        <v>178</v>
      </c>
      <c r="M113" s="4">
        <v>4279</v>
      </c>
      <c r="N113" s="4">
        <v>139</v>
      </c>
    </row>
    <row r="114" spans="1:14" ht="13.2" x14ac:dyDescent="0.25">
      <c r="A114" s="15">
        <v>44003</v>
      </c>
      <c r="B114" s="4">
        <v>8</v>
      </c>
      <c r="C114" s="38">
        <v>44003.333333333336</v>
      </c>
      <c r="D114" s="4">
        <v>9830</v>
      </c>
      <c r="E114" s="4">
        <v>5054</v>
      </c>
      <c r="F114" s="4">
        <v>615</v>
      </c>
      <c r="G114" s="4">
        <v>2874</v>
      </c>
      <c r="H114" s="4">
        <v>1287</v>
      </c>
      <c r="L114" s="4">
        <v>127</v>
      </c>
      <c r="M114" s="4">
        <v>4161</v>
      </c>
      <c r="N114" s="4">
        <v>233</v>
      </c>
    </row>
    <row r="115" spans="1:14" ht="13.2" x14ac:dyDescent="0.25">
      <c r="A115" s="15">
        <v>44004</v>
      </c>
      <c r="B115" s="4">
        <v>8</v>
      </c>
      <c r="C115" s="38">
        <v>44004.333333333336</v>
      </c>
      <c r="D115" s="4">
        <v>9957</v>
      </c>
      <c r="E115" s="4">
        <v>5128</v>
      </c>
      <c r="F115" s="4">
        <v>618</v>
      </c>
      <c r="G115" s="4">
        <v>2901</v>
      </c>
      <c r="H115" s="4">
        <v>1310</v>
      </c>
      <c r="L115" s="4">
        <v>127</v>
      </c>
      <c r="M115" s="4">
        <v>4211</v>
      </c>
      <c r="N115" s="4">
        <v>74</v>
      </c>
    </row>
    <row r="116" spans="1:14" ht="13.2" x14ac:dyDescent="0.25">
      <c r="A116" s="15">
        <v>44005</v>
      </c>
      <c r="B116" s="4">
        <v>8</v>
      </c>
      <c r="C116" s="38">
        <v>44005.333333333336</v>
      </c>
      <c r="D116" s="4">
        <v>10123</v>
      </c>
      <c r="E116" s="4">
        <v>5228</v>
      </c>
      <c r="F116" s="4">
        <v>619</v>
      </c>
      <c r="G116" s="4">
        <v>2957</v>
      </c>
      <c r="H116" s="4">
        <v>1319</v>
      </c>
      <c r="L116" s="4">
        <v>166</v>
      </c>
      <c r="M116" s="4">
        <v>4276</v>
      </c>
      <c r="N116" s="4">
        <v>100</v>
      </c>
    </row>
    <row r="117" spans="1:14" ht="13.2" x14ac:dyDescent="0.25">
      <c r="A117" s="15">
        <v>44006</v>
      </c>
      <c r="B117" s="4">
        <v>8</v>
      </c>
      <c r="C117" s="38">
        <v>44006.333333333336</v>
      </c>
      <c r="D117" s="4">
        <v>10277</v>
      </c>
      <c r="E117" s="4">
        <v>5322</v>
      </c>
      <c r="F117" s="4">
        <v>628</v>
      </c>
      <c r="G117" s="4">
        <v>2978</v>
      </c>
      <c r="H117" s="4">
        <v>1349</v>
      </c>
      <c r="L117" s="4">
        <v>154</v>
      </c>
      <c r="M117" s="4">
        <v>4327</v>
      </c>
      <c r="N117" s="4">
        <v>94</v>
      </c>
    </row>
    <row r="118" spans="1:14" ht="13.2" x14ac:dyDescent="0.25">
      <c r="A118" s="15">
        <v>44007</v>
      </c>
      <c r="B118" s="4">
        <v>8</v>
      </c>
      <c r="C118" s="38">
        <v>44007.333333333336</v>
      </c>
      <c r="D118" s="4">
        <v>10472</v>
      </c>
      <c r="E118" s="4">
        <v>5435</v>
      </c>
      <c r="F118" s="4">
        <v>631</v>
      </c>
      <c r="G118" s="4">
        <v>3068</v>
      </c>
      <c r="H118" s="4">
        <v>1338</v>
      </c>
      <c r="L118" s="4">
        <v>195</v>
      </c>
      <c r="M118" s="4">
        <v>4406</v>
      </c>
      <c r="N118" s="4">
        <v>113</v>
      </c>
    </row>
    <row r="119" spans="1:14" ht="13.2" x14ac:dyDescent="0.25">
      <c r="A119" s="15">
        <v>44008</v>
      </c>
      <c r="B119" s="4">
        <v>8</v>
      </c>
      <c r="C119" s="38">
        <v>44008.333333333336</v>
      </c>
      <c r="D119" s="4">
        <v>10640</v>
      </c>
      <c r="E119" s="4">
        <v>5542</v>
      </c>
      <c r="F119" s="4">
        <v>632</v>
      </c>
      <c r="G119" s="4">
        <v>3136</v>
      </c>
      <c r="H119" s="4">
        <v>1330</v>
      </c>
      <c r="L119" s="4">
        <v>168</v>
      </c>
      <c r="M119" s="4">
        <v>4466</v>
      </c>
      <c r="N119" s="4">
        <v>107</v>
      </c>
    </row>
    <row r="120" spans="1:14" ht="13.2" x14ac:dyDescent="0.25">
      <c r="A120" s="15">
        <v>44009</v>
      </c>
      <c r="B120" s="4">
        <v>8</v>
      </c>
      <c r="C120" s="38">
        <v>44009.333333333336</v>
      </c>
      <c r="D120" s="4">
        <v>10853</v>
      </c>
      <c r="E120" s="4">
        <v>5610</v>
      </c>
      <c r="F120" s="4">
        <v>632</v>
      </c>
      <c r="G120" s="4">
        <v>3256</v>
      </c>
      <c r="H120" s="4">
        <v>1355</v>
      </c>
      <c r="L120" s="4">
        <v>213</v>
      </c>
      <c r="M120" s="4">
        <v>4611</v>
      </c>
      <c r="N120" s="4">
        <v>68</v>
      </c>
    </row>
    <row r="121" spans="1:14" ht="13.2" x14ac:dyDescent="0.25">
      <c r="A121" s="15">
        <v>44010</v>
      </c>
      <c r="B121" s="4">
        <v>8</v>
      </c>
      <c r="C121" s="38">
        <v>44010.333333333336</v>
      </c>
      <c r="D121" s="4">
        <v>10985</v>
      </c>
      <c r="E121" s="4">
        <v>5865</v>
      </c>
      <c r="F121" s="4">
        <v>635</v>
      </c>
      <c r="G121" s="4">
        <v>3163</v>
      </c>
      <c r="H121" s="4">
        <v>1322</v>
      </c>
      <c r="L121" s="4">
        <v>132</v>
      </c>
      <c r="M121" s="4">
        <v>4485</v>
      </c>
      <c r="N121" s="4">
        <v>255</v>
      </c>
    </row>
    <row r="122" spans="1:14" ht="13.2" x14ac:dyDescent="0.25">
      <c r="A122" s="15">
        <v>44011</v>
      </c>
      <c r="B122" s="4">
        <v>8</v>
      </c>
      <c r="C122" s="38">
        <v>44011.333333333336</v>
      </c>
      <c r="D122" s="4">
        <v>11080</v>
      </c>
      <c r="E122" s="4">
        <v>6118</v>
      </c>
      <c r="F122" s="4">
        <v>636</v>
      </c>
      <c r="G122" s="4">
        <v>3299</v>
      </c>
      <c r="H122" s="4">
        <v>1027</v>
      </c>
      <c r="L122" s="4">
        <v>95</v>
      </c>
      <c r="M122" s="4">
        <v>4326</v>
      </c>
      <c r="N122" s="4">
        <v>253</v>
      </c>
    </row>
    <row r="123" spans="1:14" ht="13.2" x14ac:dyDescent="0.25">
      <c r="A123" s="15">
        <v>44012</v>
      </c>
      <c r="B123" s="4">
        <v>8</v>
      </c>
      <c r="C123" s="38">
        <v>44012.333333333336</v>
      </c>
      <c r="D123" s="4">
        <v>11276</v>
      </c>
      <c r="E123" s="4">
        <v>6512</v>
      </c>
      <c r="F123" s="4">
        <v>641</v>
      </c>
      <c r="G123" s="4">
        <v>3172</v>
      </c>
      <c r="H123" s="4">
        <v>951</v>
      </c>
      <c r="L123" s="4">
        <v>196</v>
      </c>
      <c r="M123" s="4">
        <v>4123</v>
      </c>
      <c r="N123" s="4">
        <v>394</v>
      </c>
    </row>
    <row r="124" spans="1:14" ht="13.2" x14ac:dyDescent="0.25">
      <c r="A124" s="15">
        <v>44013</v>
      </c>
      <c r="B124" s="4">
        <v>8</v>
      </c>
      <c r="C124" s="38">
        <v>44013.333333333336</v>
      </c>
      <c r="D124" s="4">
        <v>11482</v>
      </c>
      <c r="E124" s="4">
        <v>6680</v>
      </c>
      <c r="F124" s="4">
        <v>644</v>
      </c>
      <c r="G124" s="4">
        <v>3269</v>
      </c>
      <c r="H124" s="4">
        <v>889</v>
      </c>
      <c r="L124" s="4">
        <v>206</v>
      </c>
      <c r="M124" s="4">
        <v>4158</v>
      </c>
      <c r="N124" s="4">
        <v>168</v>
      </c>
    </row>
    <row r="125" spans="1:14" ht="13.2" x14ac:dyDescent="0.25">
      <c r="A125" s="15">
        <v>44014</v>
      </c>
      <c r="B125" s="4">
        <v>8</v>
      </c>
      <c r="C125" s="38">
        <v>44014.333333333336</v>
      </c>
      <c r="D125" s="4">
        <v>11677</v>
      </c>
      <c r="E125" s="4">
        <v>6871</v>
      </c>
      <c r="F125" s="4">
        <v>646</v>
      </c>
      <c r="G125" s="4">
        <v>3356</v>
      </c>
      <c r="H125" s="4">
        <v>804</v>
      </c>
      <c r="L125" s="4">
        <v>195</v>
      </c>
      <c r="M125" s="4">
        <v>4160</v>
      </c>
      <c r="N125" s="4">
        <v>191</v>
      </c>
    </row>
    <row r="126" spans="1:14" ht="13.2" x14ac:dyDescent="0.25">
      <c r="A126" s="15">
        <v>44015</v>
      </c>
      <c r="B126" s="4">
        <v>8</v>
      </c>
      <c r="C126" s="38">
        <v>44015.333333333336</v>
      </c>
      <c r="D126" s="4">
        <v>11824</v>
      </c>
      <c r="E126" s="4">
        <v>7109</v>
      </c>
      <c r="F126" s="4">
        <v>648</v>
      </c>
      <c r="G126" s="4">
        <v>3331</v>
      </c>
      <c r="H126" s="4">
        <v>736</v>
      </c>
      <c r="L126" s="4">
        <v>147</v>
      </c>
      <c r="M126" s="4">
        <v>4067</v>
      </c>
      <c r="N126" s="4">
        <v>238</v>
      </c>
    </row>
    <row r="127" spans="1:14" ht="13.2" x14ac:dyDescent="0.25">
      <c r="A127" s="15">
        <v>44016</v>
      </c>
      <c r="B127" s="4">
        <v>8</v>
      </c>
      <c r="C127" s="38">
        <v>44016.333333333336</v>
      </c>
      <c r="D127" s="4">
        <v>12039</v>
      </c>
      <c r="E127" s="4">
        <v>7377</v>
      </c>
      <c r="F127" s="4">
        <v>650</v>
      </c>
      <c r="G127" s="4">
        <v>3366</v>
      </c>
      <c r="H127" s="4">
        <v>646</v>
      </c>
      <c r="L127" s="4">
        <v>215</v>
      </c>
      <c r="M127" s="4">
        <v>4012</v>
      </c>
      <c r="N127" s="4">
        <v>268</v>
      </c>
    </row>
    <row r="128" spans="1:14" ht="13.2" x14ac:dyDescent="0.25">
      <c r="A128" s="15">
        <v>44017</v>
      </c>
      <c r="B128" s="4">
        <v>8</v>
      </c>
      <c r="C128" s="38">
        <v>44017.333333333336</v>
      </c>
      <c r="D128" s="4">
        <v>12295</v>
      </c>
      <c r="E128" s="4">
        <v>7663</v>
      </c>
      <c r="F128" s="4">
        <v>658</v>
      </c>
      <c r="G128" s="4">
        <v>3390</v>
      </c>
      <c r="H128" s="4">
        <v>584</v>
      </c>
      <c r="L128" s="4">
        <v>256</v>
      </c>
      <c r="M128" s="4">
        <v>3974</v>
      </c>
      <c r="N128" s="4">
        <v>286</v>
      </c>
    </row>
    <row r="129" spans="1:17" ht="13.2" x14ac:dyDescent="0.25">
      <c r="A129" s="15">
        <v>44018</v>
      </c>
      <c r="B129" s="4">
        <v>8</v>
      </c>
      <c r="C129" s="38">
        <v>44018.333333333336</v>
      </c>
      <c r="D129" s="4">
        <v>12526</v>
      </c>
      <c r="E129" s="4">
        <v>8033</v>
      </c>
      <c r="F129" s="4">
        <v>658</v>
      </c>
      <c r="G129" s="4">
        <v>3340</v>
      </c>
      <c r="H129" s="4">
        <v>495</v>
      </c>
      <c r="L129" s="4">
        <v>231</v>
      </c>
      <c r="M129" s="4">
        <v>3835</v>
      </c>
      <c r="N129" s="4">
        <v>370</v>
      </c>
    </row>
    <row r="130" spans="1:17" ht="13.2" x14ac:dyDescent="0.25">
      <c r="A130" s="15">
        <v>44019</v>
      </c>
      <c r="B130" s="4">
        <v>8</v>
      </c>
      <c r="C130" s="38">
        <v>44019.333333333336</v>
      </c>
      <c r="D130" s="4">
        <v>12725</v>
      </c>
      <c r="E130" s="4">
        <v>8277</v>
      </c>
      <c r="F130" s="4">
        <v>664</v>
      </c>
      <c r="G130" s="4">
        <v>3379</v>
      </c>
      <c r="H130" s="4">
        <v>405</v>
      </c>
      <c r="L130" s="4">
        <v>199</v>
      </c>
      <c r="M130" s="4">
        <v>3784</v>
      </c>
      <c r="N130" s="4">
        <v>244</v>
      </c>
    </row>
    <row r="131" spans="1:17" ht="13.2" x14ac:dyDescent="0.25">
      <c r="A131" s="15">
        <v>44020</v>
      </c>
      <c r="B131" s="4">
        <v>8</v>
      </c>
      <c r="C131" s="38">
        <v>44020.333333333336</v>
      </c>
      <c r="D131" s="4">
        <v>13069</v>
      </c>
      <c r="E131" s="4">
        <v>8429</v>
      </c>
      <c r="F131" s="4">
        <v>667</v>
      </c>
      <c r="G131" s="4">
        <v>3556</v>
      </c>
      <c r="H131" s="4">
        <v>417</v>
      </c>
      <c r="L131" s="4">
        <v>344</v>
      </c>
      <c r="M131" s="4">
        <v>3973</v>
      </c>
      <c r="N131" s="4">
        <v>152</v>
      </c>
    </row>
    <row r="132" spans="1:17" ht="13.2" x14ac:dyDescent="0.25">
      <c r="A132" s="15">
        <v>44021</v>
      </c>
      <c r="B132" s="4">
        <v>8</v>
      </c>
      <c r="C132" s="38">
        <v>44021.333333333336</v>
      </c>
      <c r="D132" s="4">
        <v>13359</v>
      </c>
      <c r="E132" s="4">
        <v>8647</v>
      </c>
      <c r="F132" s="4">
        <v>677</v>
      </c>
      <c r="G132" s="4">
        <v>3584</v>
      </c>
      <c r="H132" s="4">
        <v>451</v>
      </c>
      <c r="L132" s="4">
        <v>290</v>
      </c>
      <c r="M132" s="4">
        <v>4035</v>
      </c>
      <c r="N132" s="4">
        <v>218</v>
      </c>
    </row>
    <row r="133" spans="1:17" ht="13.2" x14ac:dyDescent="0.25">
      <c r="A133" s="15">
        <v>44022</v>
      </c>
      <c r="B133" s="4">
        <v>8</v>
      </c>
      <c r="C133" s="38">
        <v>44022.333333333336</v>
      </c>
      <c r="D133" s="4">
        <v>13598</v>
      </c>
      <c r="E133" s="4">
        <v>8825</v>
      </c>
      <c r="F133" s="4">
        <v>684</v>
      </c>
      <c r="G133" s="4">
        <v>3613</v>
      </c>
      <c r="H133" s="4">
        <v>476</v>
      </c>
      <c r="L133" s="4">
        <v>239</v>
      </c>
      <c r="M133" s="4">
        <v>4089</v>
      </c>
      <c r="N133" s="4">
        <v>178</v>
      </c>
    </row>
    <row r="134" spans="1:17" ht="13.2" x14ac:dyDescent="0.25">
      <c r="A134" s="15">
        <v>44023</v>
      </c>
      <c r="B134" s="4">
        <v>8</v>
      </c>
      <c r="C134" s="38">
        <v>44023.333333333336</v>
      </c>
      <c r="D134" s="4">
        <v>13957</v>
      </c>
      <c r="E134" s="4">
        <v>9040</v>
      </c>
      <c r="F134" s="4">
        <v>690</v>
      </c>
      <c r="G134" s="4">
        <v>3732</v>
      </c>
      <c r="H134" s="4">
        <v>495</v>
      </c>
      <c r="L134" s="4">
        <v>359</v>
      </c>
      <c r="M134" s="4">
        <v>4227</v>
      </c>
      <c r="N134" s="4">
        <v>215</v>
      </c>
    </row>
    <row r="135" spans="1:17" ht="13.2" x14ac:dyDescent="0.25">
      <c r="A135" s="15">
        <v>44024</v>
      </c>
      <c r="B135" s="4">
        <v>8</v>
      </c>
      <c r="C135" s="38">
        <v>44024.333333333336</v>
      </c>
      <c r="D135" s="4">
        <v>14361</v>
      </c>
      <c r="E135" s="4">
        <v>9200</v>
      </c>
      <c r="F135" s="4">
        <v>702</v>
      </c>
      <c r="G135" s="4">
        <v>3905</v>
      </c>
      <c r="H135" s="4">
        <v>554</v>
      </c>
      <c r="L135" s="4">
        <v>404</v>
      </c>
      <c r="M135" s="4">
        <v>4459</v>
      </c>
      <c r="N135" s="4">
        <v>160</v>
      </c>
    </row>
    <row r="136" spans="1:17" ht="13.2" x14ac:dyDescent="0.25">
      <c r="A136" s="15">
        <v>44025</v>
      </c>
      <c r="B136" s="4">
        <v>8</v>
      </c>
      <c r="C136" s="38">
        <v>44025.333333333336</v>
      </c>
      <c r="D136" s="4">
        <v>14639</v>
      </c>
      <c r="E136" s="4">
        <v>9408</v>
      </c>
      <c r="F136" s="4">
        <v>710</v>
      </c>
      <c r="G136" s="4">
        <v>3924</v>
      </c>
      <c r="H136" s="4">
        <v>597</v>
      </c>
      <c r="L136" s="4">
        <v>278</v>
      </c>
      <c r="M136" s="4">
        <v>4521</v>
      </c>
      <c r="N136" s="4">
        <v>208</v>
      </c>
    </row>
    <row r="137" spans="1:17" ht="13.2" x14ac:dyDescent="0.25">
      <c r="A137" s="15">
        <v>44026</v>
      </c>
      <c r="B137" s="4">
        <v>8</v>
      </c>
      <c r="C137" s="38">
        <v>44026.333333333336</v>
      </c>
      <c r="D137" s="4">
        <v>14914</v>
      </c>
      <c r="E137" s="4">
        <v>9528</v>
      </c>
      <c r="F137" s="4">
        <v>714</v>
      </c>
      <c r="G137" s="4">
        <v>4053</v>
      </c>
      <c r="H137" s="4">
        <v>619</v>
      </c>
      <c r="L137" s="4">
        <v>275</v>
      </c>
      <c r="M137" s="4">
        <v>4672</v>
      </c>
      <c r="N137" s="4">
        <v>120</v>
      </c>
    </row>
    <row r="138" spans="1:17" ht="13.2" x14ac:dyDescent="0.25">
      <c r="A138" s="15">
        <v>44027</v>
      </c>
      <c r="B138" s="4">
        <v>8</v>
      </c>
      <c r="C138" s="38">
        <v>44027.333333333336</v>
      </c>
      <c r="D138" s="4">
        <v>15173</v>
      </c>
      <c r="E138" s="4">
        <v>9721</v>
      </c>
      <c r="F138" s="4">
        <v>720</v>
      </c>
      <c r="G138" s="4">
        <v>4041</v>
      </c>
      <c r="H138" s="4">
        <v>691</v>
      </c>
      <c r="L138" s="4">
        <v>259</v>
      </c>
      <c r="M138" s="4">
        <v>4732</v>
      </c>
      <c r="N138" s="4">
        <v>193</v>
      </c>
    </row>
    <row r="139" spans="1:17" ht="13.2" x14ac:dyDescent="0.25">
      <c r="A139" s="15">
        <v>44028</v>
      </c>
      <c r="B139" s="4">
        <v>8</v>
      </c>
      <c r="C139" s="38">
        <v>44028.333333333336</v>
      </c>
      <c r="D139" s="4">
        <v>15466</v>
      </c>
      <c r="E139" s="4">
        <v>9857</v>
      </c>
      <c r="F139" s="4">
        <v>722</v>
      </c>
      <c r="G139" s="4">
        <v>4110</v>
      </c>
      <c r="H139" s="4">
        <v>777</v>
      </c>
      <c r="L139" s="4">
        <v>293</v>
      </c>
      <c r="M139" s="4">
        <v>4887</v>
      </c>
      <c r="N139" s="4">
        <v>136</v>
      </c>
    </row>
    <row r="140" spans="1:17" ht="13.2" x14ac:dyDescent="0.25">
      <c r="A140" s="15">
        <v>44029</v>
      </c>
      <c r="B140" s="4">
        <v>8</v>
      </c>
      <c r="C140" s="38">
        <v>44029.333333333336</v>
      </c>
      <c r="D140" s="4">
        <v>15707</v>
      </c>
      <c r="E140" s="4">
        <v>9994</v>
      </c>
      <c r="F140" s="4">
        <v>731</v>
      </c>
      <c r="G140" s="4">
        <v>4156</v>
      </c>
      <c r="H140" s="4">
        <v>826</v>
      </c>
      <c r="L140" s="4">
        <v>241</v>
      </c>
      <c r="M140" s="4">
        <v>4982</v>
      </c>
      <c r="N140" s="4">
        <v>137</v>
      </c>
    </row>
    <row r="141" spans="1:17" ht="13.2" x14ac:dyDescent="0.25">
      <c r="A141" s="15">
        <v>44030</v>
      </c>
      <c r="B141" s="4">
        <v>8</v>
      </c>
      <c r="C141" s="38">
        <v>44030.333333333336</v>
      </c>
      <c r="D141" s="4">
        <v>16038</v>
      </c>
      <c r="E141" s="4">
        <v>10117</v>
      </c>
      <c r="F141" s="4">
        <v>740</v>
      </c>
      <c r="G141" s="4">
        <v>4289</v>
      </c>
      <c r="H141" s="4">
        <v>892</v>
      </c>
      <c r="L141" s="4">
        <v>331</v>
      </c>
      <c r="M141" s="4">
        <v>5181</v>
      </c>
      <c r="N141" s="4">
        <v>123</v>
      </c>
    </row>
    <row r="142" spans="1:17" ht="13.2" x14ac:dyDescent="0.25">
      <c r="A142" s="15">
        <v>44031</v>
      </c>
      <c r="B142" s="4">
        <v>8</v>
      </c>
      <c r="C142" s="38">
        <v>44031.333333333336</v>
      </c>
      <c r="D142" s="4">
        <v>16351</v>
      </c>
      <c r="E142" s="4">
        <v>10444</v>
      </c>
      <c r="F142" s="4">
        <v>748</v>
      </c>
      <c r="G142" s="4">
        <v>4236</v>
      </c>
      <c r="H142" s="4">
        <v>923</v>
      </c>
      <c r="L142" s="4">
        <v>313</v>
      </c>
      <c r="M142" s="4">
        <v>5159</v>
      </c>
      <c r="N142" s="4">
        <v>327</v>
      </c>
      <c r="O142" s="4">
        <v>8503</v>
      </c>
      <c r="P142" s="4">
        <v>5362</v>
      </c>
      <c r="Q142" s="4">
        <v>2486</v>
      </c>
    </row>
    <row r="143" spans="1:17" ht="13.2" x14ac:dyDescent="0.25">
      <c r="A143" s="15">
        <v>44032</v>
      </c>
      <c r="B143" s="4">
        <v>8</v>
      </c>
      <c r="C143" s="38">
        <v>44032.333333333336</v>
      </c>
      <c r="D143" s="4">
        <v>16712</v>
      </c>
      <c r="E143" s="4">
        <v>10602</v>
      </c>
      <c r="F143" s="4">
        <v>749</v>
      </c>
      <c r="G143" s="4">
        <v>4335</v>
      </c>
      <c r="H143" s="4">
        <v>1026</v>
      </c>
      <c r="L143" s="4">
        <v>361</v>
      </c>
      <c r="M143" s="4">
        <v>5361</v>
      </c>
      <c r="N143" s="4">
        <v>158</v>
      </c>
      <c r="O143" s="4">
        <v>8356</v>
      </c>
      <c r="P143" s="4">
        <v>5760</v>
      </c>
      <c r="Q143" s="4">
        <v>2596</v>
      </c>
    </row>
    <row r="144" spans="1:17" ht="13.2" x14ac:dyDescent="0.25">
      <c r="A144" s="15">
        <v>44033</v>
      </c>
      <c r="B144" s="4">
        <v>8</v>
      </c>
      <c r="C144" s="38">
        <v>44033.333333333336</v>
      </c>
      <c r="D144" s="4">
        <v>17153</v>
      </c>
      <c r="E144" s="4">
        <v>10864</v>
      </c>
      <c r="F144" s="4">
        <v>758</v>
      </c>
      <c r="G144" s="4">
        <v>4458</v>
      </c>
      <c r="H144" s="4">
        <v>1073</v>
      </c>
      <c r="L144" s="4">
        <v>441</v>
      </c>
      <c r="M144" s="4">
        <v>5531</v>
      </c>
      <c r="N144" s="4">
        <v>262</v>
      </c>
      <c r="O144" s="4">
        <v>8577</v>
      </c>
      <c r="P144" s="4">
        <v>5832</v>
      </c>
      <c r="Q144" s="4">
        <v>2744</v>
      </c>
    </row>
    <row r="145" spans="1:17" ht="13.2" x14ac:dyDescent="0.25">
      <c r="A145" s="15">
        <v>44034</v>
      </c>
      <c r="B145" s="4">
        <v>8</v>
      </c>
      <c r="C145" s="38">
        <v>44034.333333333336</v>
      </c>
      <c r="D145" s="4">
        <v>17529</v>
      </c>
      <c r="E145" s="4">
        <v>11187</v>
      </c>
      <c r="F145" s="4">
        <v>766</v>
      </c>
      <c r="G145" s="4">
        <v>4383</v>
      </c>
      <c r="H145" s="4">
        <v>1193</v>
      </c>
      <c r="L145" s="4">
        <v>376</v>
      </c>
      <c r="M145" s="4">
        <v>5576</v>
      </c>
      <c r="N145" s="4">
        <v>323</v>
      </c>
      <c r="O145" s="4">
        <v>8767</v>
      </c>
      <c r="P145" s="4">
        <v>5962</v>
      </c>
      <c r="Q145" s="4">
        <v>2800</v>
      </c>
    </row>
    <row r="146" spans="1:17" ht="13.2" x14ac:dyDescent="0.25">
      <c r="A146" s="15">
        <v>44035</v>
      </c>
      <c r="B146" s="4">
        <v>8</v>
      </c>
      <c r="C146" s="38">
        <v>44035.333333333336</v>
      </c>
      <c r="D146" s="4">
        <v>17945</v>
      </c>
      <c r="E146" s="4">
        <v>11302</v>
      </c>
      <c r="F146" s="4">
        <v>767</v>
      </c>
      <c r="G146" s="4">
        <v>4675</v>
      </c>
      <c r="H146" s="4">
        <v>1201</v>
      </c>
      <c r="L146" s="4">
        <v>416</v>
      </c>
      <c r="M146" s="4">
        <v>5876</v>
      </c>
      <c r="N146" s="4">
        <v>115</v>
      </c>
      <c r="O146" s="4">
        <v>8770</v>
      </c>
      <c r="P146" s="4">
        <v>6283</v>
      </c>
      <c r="Q146" s="4">
        <v>2892</v>
      </c>
    </row>
    <row r="147" spans="1:17" ht="13.2" x14ac:dyDescent="0.25">
      <c r="A147" s="15">
        <v>44036</v>
      </c>
      <c r="B147" s="4">
        <v>8</v>
      </c>
      <c r="C147" s="38">
        <v>44036.333333333336</v>
      </c>
      <c r="D147" s="4">
        <v>18230</v>
      </c>
      <c r="E147" s="4">
        <v>11585</v>
      </c>
      <c r="F147" s="4">
        <v>768</v>
      </c>
      <c r="G147" s="4">
        <v>4577</v>
      </c>
      <c r="H147" s="4">
        <v>1300</v>
      </c>
      <c r="L147" s="4">
        <v>285</v>
      </c>
      <c r="M147" s="4">
        <v>5877</v>
      </c>
      <c r="N147" s="4">
        <v>283</v>
      </c>
      <c r="O147" s="4">
        <v>8770</v>
      </c>
      <c r="P147" s="4">
        <v>6283</v>
      </c>
      <c r="Q147" s="4">
        <v>3177</v>
      </c>
    </row>
    <row r="148" spans="1:17" ht="13.2" x14ac:dyDescent="0.25">
      <c r="A148" s="15">
        <v>44037</v>
      </c>
      <c r="B148" s="4">
        <v>8</v>
      </c>
      <c r="C148" s="38">
        <v>44037.333333333336</v>
      </c>
      <c r="D148" s="4">
        <v>18623</v>
      </c>
      <c r="E148" s="4">
        <v>11715</v>
      </c>
      <c r="F148" s="4">
        <v>769</v>
      </c>
      <c r="G148" s="4">
        <v>4729</v>
      </c>
      <c r="H148" s="4">
        <v>1410</v>
      </c>
      <c r="L148" s="4">
        <v>393</v>
      </c>
      <c r="M148" s="4">
        <v>6139</v>
      </c>
      <c r="N148" s="4">
        <v>130</v>
      </c>
      <c r="O148" s="4">
        <v>8939</v>
      </c>
      <c r="P148" s="4">
        <v>6332</v>
      </c>
      <c r="Q148" s="4">
        <v>3352</v>
      </c>
    </row>
    <row r="149" spans="1:17" ht="13.2" x14ac:dyDescent="0.25">
      <c r="A149" s="15">
        <v>44038</v>
      </c>
      <c r="B149" s="4">
        <v>8</v>
      </c>
      <c r="C149" s="38">
        <v>44038.333333333336</v>
      </c>
      <c r="D149" s="4">
        <v>19001</v>
      </c>
      <c r="E149" s="4">
        <v>11889</v>
      </c>
      <c r="F149" s="4">
        <v>779</v>
      </c>
      <c r="G149" s="4">
        <v>4842</v>
      </c>
      <c r="H149" s="4">
        <v>1491</v>
      </c>
      <c r="L149" s="4">
        <v>378</v>
      </c>
      <c r="M149" s="4">
        <v>6333</v>
      </c>
      <c r="N149" s="4">
        <v>174</v>
      </c>
      <c r="O149" s="4">
        <v>9120</v>
      </c>
      <c r="P149" s="4">
        <v>6460</v>
      </c>
      <c r="Q149" s="4">
        <v>3421</v>
      </c>
    </row>
    <row r="150" spans="1:17" ht="13.2" x14ac:dyDescent="0.25">
      <c r="A150" s="15">
        <v>44039</v>
      </c>
      <c r="B150" s="4">
        <v>8</v>
      </c>
      <c r="C150" s="38">
        <v>44039.333333333336</v>
      </c>
      <c r="D150" s="4">
        <v>19473</v>
      </c>
      <c r="E150" s="4">
        <v>11996</v>
      </c>
      <c r="F150" s="4">
        <v>782</v>
      </c>
      <c r="G150" s="4">
        <v>4993</v>
      </c>
      <c r="H150" s="4">
        <v>1702</v>
      </c>
      <c r="L150" s="4">
        <v>472</v>
      </c>
      <c r="M150" s="4">
        <v>6695</v>
      </c>
      <c r="N150" s="4">
        <v>107</v>
      </c>
      <c r="O150" s="4">
        <v>9348</v>
      </c>
      <c r="P150" s="4">
        <v>6621</v>
      </c>
      <c r="Q150" s="4">
        <v>3504</v>
      </c>
    </row>
    <row r="151" spans="1:17" ht="13.2" x14ac:dyDescent="0.25">
      <c r="A151" s="15">
        <v>44040</v>
      </c>
      <c r="B151" s="4">
        <v>8</v>
      </c>
      <c r="C151" s="38">
        <v>44040.333333333336</v>
      </c>
      <c r="D151" s="4">
        <v>19885</v>
      </c>
      <c r="E151" s="4">
        <v>12373</v>
      </c>
      <c r="F151" s="4">
        <v>795</v>
      </c>
      <c r="G151" s="4">
        <v>4869</v>
      </c>
      <c r="H151" s="4">
        <v>1848</v>
      </c>
      <c r="L151" s="4">
        <v>412</v>
      </c>
      <c r="M151" s="4">
        <v>6717</v>
      </c>
      <c r="N151" s="4">
        <v>377</v>
      </c>
      <c r="O151" s="4">
        <v>9348</v>
      </c>
      <c r="P151" s="4">
        <v>6621</v>
      </c>
      <c r="Q151" s="4">
        <v>3916</v>
      </c>
    </row>
    <row r="152" spans="1:17" ht="13.2" x14ac:dyDescent="0.25">
      <c r="A152" s="15">
        <v>44041</v>
      </c>
      <c r="B152" s="4">
        <v>8</v>
      </c>
      <c r="C152" s="38">
        <v>44041.333333333336</v>
      </c>
      <c r="D152" s="4">
        <v>20470</v>
      </c>
      <c r="E152" s="4">
        <v>12613</v>
      </c>
      <c r="F152" s="4">
        <v>820</v>
      </c>
      <c r="G152" s="4">
        <v>5093</v>
      </c>
      <c r="H152" s="4">
        <v>1944</v>
      </c>
      <c r="L152" s="4">
        <v>585</v>
      </c>
      <c r="M152" s="4">
        <v>7037</v>
      </c>
      <c r="N152" s="4">
        <v>240</v>
      </c>
      <c r="O152" s="4">
        <v>9620</v>
      </c>
      <c r="P152" s="4">
        <v>6960</v>
      </c>
      <c r="Q152" s="4">
        <v>3890</v>
      </c>
    </row>
    <row r="153" spans="1:17" ht="13.2" x14ac:dyDescent="0.25">
      <c r="A153" s="15">
        <v>44042</v>
      </c>
      <c r="B153" s="4">
        <v>8</v>
      </c>
      <c r="C153" s="38">
        <v>44042.333333333336</v>
      </c>
      <c r="D153" s="4">
        <v>20769</v>
      </c>
      <c r="E153" s="4">
        <v>12801</v>
      </c>
      <c r="F153" s="4">
        <v>821</v>
      </c>
      <c r="G153" s="4">
        <v>5098</v>
      </c>
      <c r="H153" s="4">
        <v>2049</v>
      </c>
      <c r="L153" s="4">
        <v>299</v>
      </c>
      <c r="M153" s="4">
        <v>7147</v>
      </c>
      <c r="N153" s="4">
        <v>188</v>
      </c>
      <c r="O153" s="4">
        <v>9625</v>
      </c>
      <c r="P153" s="4">
        <v>6854</v>
      </c>
      <c r="Q153" s="4">
        <v>4290</v>
      </c>
    </row>
    <row r="154" spans="1:17" ht="13.2" x14ac:dyDescent="0.25">
      <c r="A154" s="15">
        <v>44043</v>
      </c>
      <c r="B154" s="4">
        <v>8</v>
      </c>
      <c r="C154" s="38">
        <v>44043.333333333336</v>
      </c>
      <c r="D154" s="4">
        <v>21201</v>
      </c>
      <c r="E154" s="4">
        <v>13208</v>
      </c>
      <c r="F154" s="4">
        <v>836</v>
      </c>
      <c r="G154" s="4">
        <v>4974</v>
      </c>
      <c r="H154" s="4">
        <v>2183</v>
      </c>
      <c r="L154" s="4">
        <v>432</v>
      </c>
      <c r="M154" s="4">
        <v>7157</v>
      </c>
      <c r="N154" s="4">
        <v>407</v>
      </c>
      <c r="O154" s="4">
        <v>9753</v>
      </c>
      <c r="P154" s="4">
        <v>6996</v>
      </c>
      <c r="Q154" s="4">
        <v>4452</v>
      </c>
    </row>
    <row r="155" spans="1:17" ht="13.2" x14ac:dyDescent="0.25">
      <c r="A155" s="15">
        <v>44044</v>
      </c>
      <c r="B155" s="4">
        <v>8</v>
      </c>
      <c r="C155" s="38">
        <v>44044.333333333336</v>
      </c>
      <c r="D155" s="4">
        <v>21575</v>
      </c>
      <c r="E155" s="4">
        <v>13887</v>
      </c>
      <c r="F155" s="4">
        <v>852</v>
      </c>
      <c r="G155" s="4">
        <v>4683</v>
      </c>
      <c r="H155" s="4">
        <v>2153</v>
      </c>
      <c r="L155" s="4">
        <v>374</v>
      </c>
      <c r="M155" s="4">
        <v>6836</v>
      </c>
      <c r="N155" s="4">
        <v>679</v>
      </c>
      <c r="O155" s="4">
        <v>9718</v>
      </c>
      <c r="P155" s="4">
        <v>7110</v>
      </c>
      <c r="Q155" s="4">
        <v>4747</v>
      </c>
    </row>
    <row r="156" spans="1:17" ht="13.2" x14ac:dyDescent="0.25">
      <c r="A156" s="15">
        <v>44045</v>
      </c>
      <c r="B156" s="4">
        <v>8</v>
      </c>
      <c r="C156" s="38">
        <v>44045.333333333336</v>
      </c>
      <c r="D156" s="4">
        <v>21954</v>
      </c>
      <c r="E156" s="4">
        <v>14027</v>
      </c>
      <c r="F156" s="4">
        <v>852</v>
      </c>
      <c r="G156" s="4">
        <v>4916</v>
      </c>
      <c r="H156" s="4">
        <v>2159</v>
      </c>
      <c r="L156" s="4">
        <v>379</v>
      </c>
      <c r="M156" s="4">
        <v>7075</v>
      </c>
      <c r="N156" s="4">
        <v>140</v>
      </c>
      <c r="O156" s="4">
        <v>9879</v>
      </c>
      <c r="P156" s="4">
        <v>7245</v>
      </c>
      <c r="Q156" s="4">
        <v>4830</v>
      </c>
    </row>
    <row r="157" spans="1:17" ht="13.2" x14ac:dyDescent="0.25">
      <c r="A157" s="15">
        <v>44046</v>
      </c>
      <c r="B157" s="4">
        <v>8</v>
      </c>
      <c r="C157" s="38">
        <v>44046.333333333336</v>
      </c>
      <c r="D157" s="4">
        <v>22443</v>
      </c>
      <c r="E157" s="4">
        <v>14165</v>
      </c>
      <c r="F157" s="4">
        <v>867</v>
      </c>
      <c r="G157" s="4">
        <v>5084</v>
      </c>
      <c r="H157" s="4">
        <v>2327</v>
      </c>
      <c r="L157" s="4">
        <v>489</v>
      </c>
      <c r="M157" s="4">
        <v>7411</v>
      </c>
      <c r="N157" s="4">
        <v>138</v>
      </c>
      <c r="O157" s="4">
        <v>10099</v>
      </c>
      <c r="P157" s="4">
        <v>7406</v>
      </c>
      <c r="Q157" s="4">
        <v>4938</v>
      </c>
    </row>
    <row r="158" spans="1:17" ht="13.2" x14ac:dyDescent="0.25">
      <c r="A158" s="15">
        <v>44047</v>
      </c>
      <c r="B158" s="4">
        <v>8</v>
      </c>
      <c r="C158" s="38">
        <v>44047.333333333336</v>
      </c>
      <c r="D158" s="4">
        <v>22909</v>
      </c>
      <c r="E158" s="4">
        <v>14381</v>
      </c>
      <c r="F158" s="4">
        <v>880</v>
      </c>
      <c r="G158" s="4">
        <v>5216</v>
      </c>
      <c r="H158" s="4">
        <v>2432</v>
      </c>
      <c r="L158" s="4">
        <v>466</v>
      </c>
      <c r="M158" s="4">
        <v>7648</v>
      </c>
      <c r="N158" s="4">
        <v>216</v>
      </c>
      <c r="O158" s="4">
        <v>10079</v>
      </c>
      <c r="P158" s="4">
        <v>7560</v>
      </c>
      <c r="Q158" s="4">
        <v>5270</v>
      </c>
    </row>
    <row r="159" spans="1:17" ht="13.2" x14ac:dyDescent="0.25">
      <c r="A159" s="15">
        <v>44048</v>
      </c>
      <c r="B159" s="4">
        <v>8</v>
      </c>
      <c r="C159" s="38">
        <v>44048.333333333336</v>
      </c>
      <c r="D159" s="4">
        <v>23266</v>
      </c>
      <c r="E159" s="4">
        <v>14760</v>
      </c>
      <c r="F159" s="4">
        <v>895</v>
      </c>
      <c r="G159" s="4">
        <v>5128</v>
      </c>
      <c r="H159" s="4">
        <v>2483</v>
      </c>
      <c r="L159" s="4">
        <v>357</v>
      </c>
      <c r="M159" s="4">
        <v>7611</v>
      </c>
      <c r="N159" s="4">
        <v>379</v>
      </c>
      <c r="O159" s="4">
        <v>10279</v>
      </c>
      <c r="P159" s="4">
        <v>7617</v>
      </c>
      <c r="Q159" s="4">
        <v>5370</v>
      </c>
    </row>
    <row r="160" spans="1:17" ht="13.2" x14ac:dyDescent="0.25">
      <c r="A160" s="15">
        <v>44049</v>
      </c>
      <c r="B160" s="4">
        <v>8</v>
      </c>
      <c r="C160" s="38">
        <v>44049.333333333336</v>
      </c>
      <c r="D160" s="4">
        <v>23863</v>
      </c>
      <c r="E160" s="4">
        <v>15006</v>
      </c>
      <c r="F160" s="4">
        <v>908</v>
      </c>
      <c r="G160" s="4">
        <v>5397</v>
      </c>
      <c r="H160" s="4">
        <v>2552</v>
      </c>
      <c r="L160" s="4">
        <v>597</v>
      </c>
      <c r="M160" s="4">
        <v>7949</v>
      </c>
      <c r="N160" s="4">
        <v>246</v>
      </c>
      <c r="O160" s="4">
        <v>10450</v>
      </c>
      <c r="P160" s="4">
        <v>7636</v>
      </c>
      <c r="Q160" s="4">
        <v>5777</v>
      </c>
    </row>
    <row r="161" spans="1:17" ht="13.2" x14ac:dyDescent="0.25">
      <c r="A161" s="15">
        <v>44050</v>
      </c>
      <c r="B161" s="4">
        <v>8</v>
      </c>
      <c r="C161" s="38">
        <v>44050.333333333336</v>
      </c>
      <c r="D161" s="4">
        <v>24521</v>
      </c>
      <c r="E161" s="4">
        <v>15201</v>
      </c>
      <c r="F161" s="4">
        <v>922</v>
      </c>
      <c r="G161" s="4">
        <v>5803</v>
      </c>
      <c r="H161" s="4">
        <v>2595</v>
      </c>
      <c r="L161" s="4">
        <v>658</v>
      </c>
      <c r="M161" s="4">
        <v>8398</v>
      </c>
      <c r="N161" s="4">
        <v>195</v>
      </c>
      <c r="O161" s="4">
        <v>10570</v>
      </c>
      <c r="P161" s="4">
        <v>7836</v>
      </c>
      <c r="Q161" s="4">
        <v>6115</v>
      </c>
    </row>
    <row r="162" spans="1:17" ht="13.2" x14ac:dyDescent="0.25">
      <c r="A162" s="15">
        <v>44051</v>
      </c>
      <c r="B162" s="4">
        <v>8</v>
      </c>
      <c r="C162" s="38">
        <v>44051.333333333336</v>
      </c>
      <c r="D162" s="4">
        <v>25242</v>
      </c>
      <c r="E162" s="4">
        <v>15710</v>
      </c>
      <c r="F162" s="4">
        <v>934</v>
      </c>
      <c r="G162" s="4">
        <v>6110</v>
      </c>
      <c r="H162" s="4">
        <v>2488</v>
      </c>
      <c r="L162" s="4">
        <v>721</v>
      </c>
      <c r="M162" s="4">
        <v>8598</v>
      </c>
      <c r="N162" s="4">
        <v>509</v>
      </c>
      <c r="O162" s="4">
        <v>11106</v>
      </c>
      <c r="P162" s="4">
        <v>8077</v>
      </c>
      <c r="Q162" s="4">
        <v>6059</v>
      </c>
    </row>
    <row r="163" spans="1:17" ht="13.2" x14ac:dyDescent="0.25">
      <c r="A163" s="15">
        <v>44052</v>
      </c>
      <c r="B163" s="4">
        <v>8</v>
      </c>
      <c r="C163" s="38">
        <v>44052.333333333336</v>
      </c>
      <c r="D163" s="4">
        <v>25714</v>
      </c>
      <c r="E163" s="4">
        <v>16268</v>
      </c>
      <c r="F163" s="4">
        <v>939</v>
      </c>
      <c r="G163" s="4">
        <v>6091</v>
      </c>
      <c r="H163" s="4">
        <v>2416</v>
      </c>
      <c r="L163" s="4">
        <v>472</v>
      </c>
      <c r="M163" s="4">
        <v>8507</v>
      </c>
      <c r="N163" s="4">
        <v>558</v>
      </c>
      <c r="O163" s="4">
        <v>14143</v>
      </c>
      <c r="P163" s="4">
        <v>8077</v>
      </c>
      <c r="Q163" s="4">
        <v>3494</v>
      </c>
    </row>
    <row r="164" spans="1:17" ht="13.2" x14ac:dyDescent="0.25">
      <c r="A164" s="15">
        <v>44053</v>
      </c>
      <c r="B164" s="4">
        <v>8</v>
      </c>
      <c r="C164" s="38">
        <v>44053.333333333336</v>
      </c>
      <c r="D164" s="4">
        <v>26193</v>
      </c>
      <c r="E164" s="4">
        <v>16446</v>
      </c>
      <c r="F164" s="4">
        <v>940</v>
      </c>
      <c r="G164" s="4">
        <v>6252</v>
      </c>
      <c r="H164" s="4">
        <v>2555</v>
      </c>
      <c r="L164" s="4">
        <v>479</v>
      </c>
      <c r="M164" s="4">
        <v>8807</v>
      </c>
      <c r="N164" s="4">
        <v>178</v>
      </c>
      <c r="O164" s="4">
        <v>14400</v>
      </c>
      <c r="P164" s="4">
        <v>8381</v>
      </c>
      <c r="Q164" s="4">
        <v>3412</v>
      </c>
    </row>
    <row r="165" spans="1:17" ht="13.2" x14ac:dyDescent="0.25">
      <c r="A165" s="15">
        <v>44054</v>
      </c>
      <c r="B165" s="4">
        <v>8</v>
      </c>
      <c r="C165" s="38">
        <v>44054.333333333336</v>
      </c>
      <c r="D165" s="4">
        <v>26664</v>
      </c>
      <c r="E165" s="4">
        <v>16927</v>
      </c>
      <c r="F165" s="4">
        <v>953</v>
      </c>
      <c r="G165" s="4">
        <v>6236</v>
      </c>
      <c r="H165" s="4">
        <v>2548</v>
      </c>
      <c r="L165" s="4">
        <v>471</v>
      </c>
      <c r="M165" s="4">
        <v>8784</v>
      </c>
      <c r="N165" s="4">
        <v>481</v>
      </c>
      <c r="O165" s="4">
        <v>14665</v>
      </c>
      <c r="P165" s="4">
        <v>8532</v>
      </c>
      <c r="Q165" s="4">
        <v>3467</v>
      </c>
    </row>
    <row r="166" spans="1:17" ht="13.2" x14ac:dyDescent="0.25">
      <c r="A166" s="15">
        <v>44055</v>
      </c>
      <c r="B166" s="4">
        <v>8</v>
      </c>
      <c r="C166" s="38">
        <v>44055.333333333336</v>
      </c>
      <c r="D166" s="4">
        <v>27242</v>
      </c>
      <c r="E166" s="4">
        <v>17349</v>
      </c>
      <c r="F166" s="4">
        <v>968</v>
      </c>
      <c r="G166" s="4">
        <v>6208</v>
      </c>
      <c r="H166" s="4">
        <v>2717</v>
      </c>
      <c r="L166" s="4">
        <v>578</v>
      </c>
      <c r="M166" s="4">
        <v>8925</v>
      </c>
      <c r="N166" s="4">
        <v>422</v>
      </c>
      <c r="O166" s="4">
        <v>14983</v>
      </c>
      <c r="P166" s="4">
        <v>8717</v>
      </c>
      <c r="Q166" s="4">
        <v>3542</v>
      </c>
    </row>
    <row r="167" spans="1:17" ht="13.2" x14ac:dyDescent="0.25">
      <c r="A167" s="15">
        <v>44056</v>
      </c>
      <c r="B167" s="4">
        <v>8</v>
      </c>
      <c r="C167" s="38">
        <v>44056.333333333336</v>
      </c>
      <c r="D167" s="4">
        <v>27863</v>
      </c>
      <c r="E167" s="4">
        <v>17838</v>
      </c>
      <c r="F167" s="4">
        <v>981</v>
      </c>
      <c r="G167" s="4">
        <v>6330</v>
      </c>
      <c r="H167" s="4">
        <v>2714</v>
      </c>
      <c r="L167" s="4">
        <v>621</v>
      </c>
      <c r="M167" s="4">
        <v>9044</v>
      </c>
      <c r="N167" s="4">
        <v>489</v>
      </c>
      <c r="O167" s="4">
        <v>15324</v>
      </c>
      <c r="P167" s="4">
        <v>8916</v>
      </c>
      <c r="Q167" s="4">
        <v>3623</v>
      </c>
    </row>
    <row r="168" spans="1:17" ht="13.2" x14ac:dyDescent="0.25">
      <c r="A168" s="15">
        <v>44057</v>
      </c>
      <c r="B168" s="4">
        <v>8</v>
      </c>
      <c r="C168" s="38">
        <v>44057.333333333336</v>
      </c>
      <c r="D168" s="4">
        <v>28438</v>
      </c>
      <c r="E168" s="4">
        <v>18528</v>
      </c>
      <c r="F168" s="4">
        <v>985</v>
      </c>
      <c r="G168" s="4">
        <v>6331</v>
      </c>
      <c r="H168" s="4">
        <v>2594</v>
      </c>
      <c r="L168" s="4">
        <v>575</v>
      </c>
      <c r="M168" s="4">
        <v>8925</v>
      </c>
      <c r="N168" s="4">
        <v>690</v>
      </c>
      <c r="O168" s="4">
        <v>15324</v>
      </c>
      <c r="P168" s="4">
        <v>8916</v>
      </c>
      <c r="Q168" s="4">
        <v>4198</v>
      </c>
    </row>
    <row r="169" spans="1:17" ht="13.2" x14ac:dyDescent="0.25">
      <c r="A169" s="15">
        <v>44058</v>
      </c>
      <c r="B169" s="4">
        <v>8</v>
      </c>
      <c r="C169" s="38">
        <v>44058.333333333336</v>
      </c>
      <c r="D169" s="4">
        <v>29036</v>
      </c>
      <c r="E169" s="4">
        <v>18974</v>
      </c>
      <c r="F169" s="4">
        <v>991</v>
      </c>
      <c r="G169" s="4">
        <v>6457</v>
      </c>
      <c r="H169" s="4">
        <v>2614</v>
      </c>
      <c r="L169" s="4">
        <v>598</v>
      </c>
      <c r="M169" s="4">
        <v>9071</v>
      </c>
      <c r="N169" s="4">
        <v>446</v>
      </c>
      <c r="O169" s="4">
        <v>16118</v>
      </c>
      <c r="P169" s="4">
        <v>8992</v>
      </c>
      <c r="Q169" s="4">
        <v>3926</v>
      </c>
    </row>
    <row r="170" spans="1:17" ht="13.2" x14ac:dyDescent="0.25">
      <c r="A170" s="15">
        <v>44059</v>
      </c>
      <c r="B170" s="4">
        <v>8</v>
      </c>
      <c r="C170" s="38">
        <v>44059.333333333336</v>
      </c>
      <c r="D170" s="4">
        <v>29554</v>
      </c>
      <c r="E170" s="4">
        <v>19708</v>
      </c>
      <c r="F170" s="4">
        <v>995</v>
      </c>
      <c r="G170" s="4">
        <v>6284</v>
      </c>
      <c r="H170" s="4">
        <v>2567</v>
      </c>
      <c r="L170" s="4">
        <v>518</v>
      </c>
      <c r="M170" s="4">
        <v>8851</v>
      </c>
      <c r="N170" s="4">
        <v>734</v>
      </c>
      <c r="O170" s="4">
        <v>16250</v>
      </c>
      <c r="P170" s="4">
        <v>9457</v>
      </c>
      <c r="Q170" s="5">
        <v>3847</v>
      </c>
    </row>
    <row r="171" spans="1:17" ht="13.2" x14ac:dyDescent="0.25">
      <c r="A171" s="15">
        <v>44060</v>
      </c>
      <c r="B171" s="4">
        <v>8</v>
      </c>
      <c r="C171" s="38">
        <v>44060.333333333336</v>
      </c>
      <c r="D171" s="4">
        <v>30092</v>
      </c>
      <c r="E171" s="4">
        <v>19916</v>
      </c>
      <c r="F171" s="4">
        <v>1011</v>
      </c>
      <c r="G171" s="4">
        <v>6514</v>
      </c>
      <c r="H171" s="4">
        <v>2651</v>
      </c>
      <c r="L171" s="4">
        <v>538</v>
      </c>
      <c r="M171" s="4">
        <v>9165</v>
      </c>
      <c r="N171" s="4">
        <v>208</v>
      </c>
      <c r="O171" s="4">
        <v>16551</v>
      </c>
      <c r="P171" s="4">
        <v>9630</v>
      </c>
      <c r="Q171" s="4">
        <v>3911</v>
      </c>
    </row>
    <row r="172" spans="1:17" ht="13.2" x14ac:dyDescent="0.25">
      <c r="A172" s="15">
        <v>44061</v>
      </c>
      <c r="B172" s="4">
        <v>8</v>
      </c>
      <c r="C172" s="38">
        <v>44061.333333333336</v>
      </c>
      <c r="D172" s="4">
        <v>30597</v>
      </c>
      <c r="E172" s="4">
        <v>20505</v>
      </c>
      <c r="F172" s="4">
        <v>1028</v>
      </c>
      <c r="G172" s="4">
        <v>6602</v>
      </c>
      <c r="H172" s="4">
        <v>2462</v>
      </c>
      <c r="L172" s="4">
        <v>505</v>
      </c>
      <c r="M172" s="4">
        <v>9064</v>
      </c>
      <c r="N172" s="4">
        <v>589</v>
      </c>
      <c r="O172" s="4">
        <v>16820</v>
      </c>
      <c r="P172" s="4">
        <v>9680</v>
      </c>
      <c r="Q172" s="4">
        <v>4097</v>
      </c>
    </row>
    <row r="173" spans="1:17" ht="13.2" x14ac:dyDescent="0.25">
      <c r="A173" s="15">
        <v>44062</v>
      </c>
      <c r="B173" s="4">
        <v>8</v>
      </c>
      <c r="C173" s="38">
        <v>44062.333333333336</v>
      </c>
      <c r="D173" s="4">
        <v>31162</v>
      </c>
      <c r="E173" s="4">
        <v>21069</v>
      </c>
      <c r="F173" s="4">
        <v>1046</v>
      </c>
      <c r="G173" s="4">
        <v>6488</v>
      </c>
      <c r="H173" s="4">
        <v>2559</v>
      </c>
      <c r="L173" s="4">
        <v>565</v>
      </c>
      <c r="M173" s="4">
        <v>9047</v>
      </c>
      <c r="N173" s="4">
        <v>564</v>
      </c>
      <c r="O173" s="4">
        <v>17099</v>
      </c>
      <c r="P173" s="4">
        <v>9972</v>
      </c>
      <c r="Q173" s="4">
        <v>4091</v>
      </c>
    </row>
    <row r="174" spans="1:17" ht="13.2" x14ac:dyDescent="0.25">
      <c r="A174" s="15">
        <v>44063</v>
      </c>
      <c r="B174" s="4">
        <v>8</v>
      </c>
      <c r="C174" s="38">
        <v>44063.333333333336</v>
      </c>
      <c r="D174" s="4">
        <v>31757</v>
      </c>
      <c r="E174" s="4">
        <v>21795</v>
      </c>
      <c r="F174" s="4">
        <v>1061</v>
      </c>
      <c r="G174" s="4">
        <v>6357</v>
      </c>
      <c r="H174" s="4">
        <v>2544</v>
      </c>
      <c r="L174" s="4">
        <v>595</v>
      </c>
      <c r="M174" s="4">
        <v>8901</v>
      </c>
      <c r="N174" s="4">
        <v>726</v>
      </c>
      <c r="O174" s="4">
        <v>17300</v>
      </c>
      <c r="P174" s="4">
        <v>10102</v>
      </c>
      <c r="Q174" s="4">
        <v>4355</v>
      </c>
    </row>
    <row r="175" spans="1:17" ht="13.2" x14ac:dyDescent="0.25">
      <c r="A175" s="15">
        <v>44064</v>
      </c>
      <c r="B175" s="4">
        <v>8</v>
      </c>
      <c r="C175" s="38">
        <v>44064.333333333336</v>
      </c>
      <c r="D175" s="4">
        <v>32398</v>
      </c>
      <c r="E175" s="4">
        <v>22228</v>
      </c>
      <c r="F175" s="4">
        <v>1076</v>
      </c>
      <c r="G175" s="4">
        <v>6518</v>
      </c>
      <c r="H175" s="4">
        <v>2576</v>
      </c>
      <c r="L175" s="4">
        <v>641</v>
      </c>
      <c r="M175" s="4">
        <v>9094</v>
      </c>
      <c r="N175" s="4">
        <v>433</v>
      </c>
      <c r="O175" s="4">
        <v>17500</v>
      </c>
      <c r="P175" s="4">
        <v>10102</v>
      </c>
      <c r="Q175" s="4">
        <v>4796</v>
      </c>
    </row>
    <row r="176" spans="1:17" ht="13.2" x14ac:dyDescent="0.25">
      <c r="A176" s="15">
        <v>44065</v>
      </c>
      <c r="B176" s="4">
        <v>8</v>
      </c>
      <c r="C176" s="38">
        <v>44065.333333333336</v>
      </c>
      <c r="D176" s="4">
        <v>32999</v>
      </c>
      <c r="E176" s="4">
        <v>22877</v>
      </c>
      <c r="F176" s="4">
        <v>1091</v>
      </c>
      <c r="G176" s="4">
        <v>6269</v>
      </c>
      <c r="H176" s="4">
        <v>2762</v>
      </c>
      <c r="L176" s="4">
        <v>601</v>
      </c>
      <c r="M176" s="4">
        <v>9031</v>
      </c>
      <c r="N176" s="4">
        <v>649</v>
      </c>
      <c r="O176" s="4">
        <v>18100</v>
      </c>
      <c r="P176" s="4">
        <v>10409</v>
      </c>
      <c r="Q176" s="4">
        <v>4490</v>
      </c>
    </row>
    <row r="177" spans="1:17" ht="13.2" x14ac:dyDescent="0.25">
      <c r="A177" s="15">
        <v>44066</v>
      </c>
      <c r="B177" s="4">
        <v>8</v>
      </c>
      <c r="C177" s="38">
        <v>44066.333333333336</v>
      </c>
      <c r="D177" s="4">
        <v>33636</v>
      </c>
      <c r="E177" s="4">
        <v>23567</v>
      </c>
      <c r="F177" s="4">
        <v>1107</v>
      </c>
      <c r="G177" s="4">
        <v>6040</v>
      </c>
      <c r="H177" s="4">
        <v>2922</v>
      </c>
      <c r="L177" s="4">
        <v>637</v>
      </c>
      <c r="M177" s="4">
        <v>8962</v>
      </c>
      <c r="N177" s="4">
        <v>690</v>
      </c>
      <c r="O177" s="4">
        <v>18399</v>
      </c>
      <c r="P177" s="4">
        <v>10633</v>
      </c>
      <c r="Q177" s="4">
        <v>4604</v>
      </c>
    </row>
    <row r="178" spans="1:17" ht="13.2" x14ac:dyDescent="0.25">
      <c r="A178" s="15">
        <v>44067</v>
      </c>
      <c r="B178" s="4">
        <v>8</v>
      </c>
      <c r="C178" s="38">
        <v>44067.333333333336</v>
      </c>
      <c r="D178" s="4">
        <v>34295</v>
      </c>
      <c r="E178" s="4">
        <v>25463</v>
      </c>
      <c r="F178" s="4">
        <v>1112</v>
      </c>
      <c r="G178" s="4">
        <v>5090</v>
      </c>
      <c r="H178" s="4">
        <v>2630</v>
      </c>
      <c r="L178" s="4">
        <v>659</v>
      </c>
      <c r="M178" s="4">
        <v>7720</v>
      </c>
      <c r="N178" s="4">
        <v>1896</v>
      </c>
      <c r="O178" s="4">
        <v>18688</v>
      </c>
      <c r="P178" s="4">
        <v>10874</v>
      </c>
      <c r="Q178" s="4">
        <v>4733</v>
      </c>
    </row>
    <row r="179" spans="1:17" ht="13.2" x14ac:dyDescent="0.25">
      <c r="A179" s="15">
        <v>44068</v>
      </c>
      <c r="B179" s="4">
        <v>8</v>
      </c>
      <c r="C179" s="38">
        <v>44068.333333333336</v>
      </c>
      <c r="D179" s="4">
        <v>34931</v>
      </c>
      <c r="E179" s="4">
        <v>25986</v>
      </c>
      <c r="F179" s="4">
        <v>1129</v>
      </c>
      <c r="G179" s="4">
        <v>5130</v>
      </c>
      <c r="H179" s="4">
        <v>2686</v>
      </c>
      <c r="L179" s="4">
        <v>636</v>
      </c>
      <c r="M179" s="4">
        <v>7816</v>
      </c>
      <c r="N179" s="4">
        <v>523</v>
      </c>
      <c r="O179" s="4">
        <v>18788</v>
      </c>
      <c r="P179" s="4">
        <v>10913</v>
      </c>
      <c r="Q179" s="5">
        <v>5230</v>
      </c>
    </row>
    <row r="180" spans="1:17" ht="13.2" x14ac:dyDescent="0.25">
      <c r="A180" s="15">
        <v>44069</v>
      </c>
      <c r="B180" s="4">
        <v>8</v>
      </c>
      <c r="C180" s="38">
        <v>44069.333333333336</v>
      </c>
      <c r="D180" s="4">
        <v>35642</v>
      </c>
      <c r="E180" s="4">
        <v>26750</v>
      </c>
      <c r="F180" s="4">
        <v>1144</v>
      </c>
      <c r="G180" s="4">
        <v>4978</v>
      </c>
      <c r="H180" s="4">
        <v>2770</v>
      </c>
      <c r="L180" s="4">
        <v>711</v>
      </c>
      <c r="M180" s="4">
        <v>7748</v>
      </c>
      <c r="N180" s="4">
        <v>764</v>
      </c>
      <c r="O180" s="4">
        <v>19088</v>
      </c>
      <c r="P180" s="4">
        <v>11113</v>
      </c>
      <c r="Q180" s="4">
        <v>5441</v>
      </c>
    </row>
    <row r="181" spans="1:17" ht="13.2" x14ac:dyDescent="0.25">
      <c r="A181" s="15">
        <v>44070</v>
      </c>
      <c r="B181" s="4">
        <v>8</v>
      </c>
      <c r="C181" s="38">
        <v>44070.333333333336</v>
      </c>
      <c r="D181" s="4">
        <v>36462</v>
      </c>
      <c r="E181" s="4">
        <v>28288</v>
      </c>
      <c r="F181" s="4">
        <v>1147</v>
      </c>
      <c r="G181" s="4">
        <v>4499</v>
      </c>
      <c r="H181" s="4">
        <v>2528</v>
      </c>
      <c r="L181" s="4">
        <v>820</v>
      </c>
      <c r="M181" s="4">
        <v>7027</v>
      </c>
      <c r="N181" s="4">
        <v>1538</v>
      </c>
      <c r="O181" s="4">
        <v>19308</v>
      </c>
      <c r="P181" s="4">
        <v>11313</v>
      </c>
      <c r="Q181" s="4">
        <v>5841</v>
      </c>
    </row>
    <row r="182" spans="1:17" ht="13.2" x14ac:dyDescent="0.25">
      <c r="A182" s="15">
        <v>44071</v>
      </c>
      <c r="B182" s="4">
        <v>8</v>
      </c>
      <c r="C182" s="38">
        <v>44071.333333333336</v>
      </c>
      <c r="D182" s="4">
        <v>37278</v>
      </c>
      <c r="E182" s="4">
        <v>29169</v>
      </c>
      <c r="F182" s="4">
        <v>1154</v>
      </c>
      <c r="G182" s="4">
        <v>4128</v>
      </c>
      <c r="H182" s="4">
        <v>2827</v>
      </c>
      <c r="L182" s="4">
        <v>816</v>
      </c>
      <c r="M182" s="4">
        <v>6955</v>
      </c>
      <c r="N182" s="4">
        <v>881</v>
      </c>
      <c r="O182" s="4">
        <v>20500</v>
      </c>
      <c r="P182" s="4">
        <v>11513</v>
      </c>
      <c r="Q182" s="4">
        <v>5265</v>
      </c>
    </row>
    <row r="183" spans="1:17" ht="13.2" x14ac:dyDescent="0.25">
      <c r="A183" s="15">
        <v>44072</v>
      </c>
      <c r="B183" s="4">
        <v>8</v>
      </c>
      <c r="C183" s="38">
        <v>44072.333333333336</v>
      </c>
      <c r="D183" s="4">
        <v>38166</v>
      </c>
      <c r="E183" s="4">
        <v>29768</v>
      </c>
      <c r="F183" s="4">
        <v>1172</v>
      </c>
      <c r="G183" s="4">
        <v>4414</v>
      </c>
      <c r="H183" s="4">
        <v>2812</v>
      </c>
      <c r="L183" s="4">
        <v>888</v>
      </c>
      <c r="M183" s="4">
        <v>7226</v>
      </c>
      <c r="N183" s="4">
        <v>599</v>
      </c>
      <c r="O183" s="4">
        <v>20991</v>
      </c>
      <c r="P183" s="4">
        <v>11713</v>
      </c>
      <c r="Q183" s="4">
        <v>5462</v>
      </c>
    </row>
    <row r="184" spans="1:17" ht="13.2" x14ac:dyDescent="0.25">
      <c r="A184" s="15">
        <v>44073</v>
      </c>
      <c r="B184" s="4">
        <v>8</v>
      </c>
      <c r="C184" s="38">
        <v>44073.333333333336</v>
      </c>
      <c r="D184" s="4">
        <v>39280</v>
      </c>
      <c r="E184" s="4">
        <v>30134</v>
      </c>
      <c r="F184" s="4">
        <v>1186</v>
      </c>
      <c r="G184" s="4">
        <v>4945</v>
      </c>
      <c r="H184" s="4">
        <v>3015</v>
      </c>
      <c r="L184" s="4">
        <v>1114</v>
      </c>
      <c r="M184" s="4">
        <v>7960</v>
      </c>
      <c r="N184" s="4">
        <v>366</v>
      </c>
      <c r="O184" s="4">
        <v>21491</v>
      </c>
      <c r="P184" s="4">
        <v>11827</v>
      </c>
      <c r="Q184" s="4">
        <v>5962</v>
      </c>
    </row>
    <row r="185" spans="1:17" ht="13.2" x14ac:dyDescent="0.25">
      <c r="A185" s="15">
        <v>44074</v>
      </c>
      <c r="B185" s="4">
        <v>8</v>
      </c>
      <c r="C185" s="38">
        <v>44074.333333333336</v>
      </c>
      <c r="D185" s="4">
        <v>40309</v>
      </c>
      <c r="E185" s="4">
        <v>30538</v>
      </c>
      <c r="F185" s="4">
        <v>1202</v>
      </c>
      <c r="G185" s="4">
        <v>5281</v>
      </c>
      <c r="H185" s="4">
        <v>3288</v>
      </c>
      <c r="L185" s="4">
        <v>1029</v>
      </c>
      <c r="M185" s="4">
        <v>8569</v>
      </c>
      <c r="N185" s="4">
        <v>404</v>
      </c>
      <c r="O185" s="4">
        <v>20500</v>
      </c>
      <c r="P185" s="4">
        <v>12027</v>
      </c>
      <c r="Q185" s="4">
        <v>7782</v>
      </c>
    </row>
    <row r="186" spans="1:17" ht="13.2" x14ac:dyDescent="0.25">
      <c r="A186" s="15">
        <v>44075</v>
      </c>
      <c r="B186" s="4">
        <v>8</v>
      </c>
      <c r="C186" s="38">
        <v>44075.333333333336</v>
      </c>
      <c r="D186" s="4">
        <v>41250</v>
      </c>
      <c r="E186" s="4">
        <v>31267</v>
      </c>
      <c r="F186" s="4">
        <v>1219</v>
      </c>
      <c r="G186" s="4">
        <v>5423</v>
      </c>
      <c r="H186" s="4">
        <v>3341</v>
      </c>
      <c r="L186" s="4">
        <v>941</v>
      </c>
      <c r="M186" s="4">
        <v>8764</v>
      </c>
      <c r="N186" s="4">
        <v>729</v>
      </c>
      <c r="O186" s="4">
        <v>20500</v>
      </c>
      <c r="P186" s="4">
        <v>12027</v>
      </c>
      <c r="Q186" s="4">
        <v>8723</v>
      </c>
    </row>
    <row r="187" spans="1:17" ht="13.2" x14ac:dyDescent="0.25">
      <c r="A187" s="15">
        <v>44076</v>
      </c>
      <c r="B187" s="4">
        <v>8</v>
      </c>
      <c r="C187" s="38">
        <v>44076.333333333336</v>
      </c>
      <c r="D187" s="4">
        <v>42303</v>
      </c>
      <c r="E187" s="4">
        <v>31741</v>
      </c>
      <c r="F187" s="4">
        <v>1237</v>
      </c>
      <c r="G187" s="4">
        <v>5757</v>
      </c>
      <c r="H187" s="4">
        <v>3568</v>
      </c>
      <c r="L187" s="4">
        <v>1053</v>
      </c>
      <c r="M187" s="4">
        <v>9325</v>
      </c>
      <c r="N187" s="4">
        <v>474</v>
      </c>
      <c r="O187" s="4">
        <v>23553</v>
      </c>
      <c r="P187" s="4">
        <v>12327</v>
      </c>
      <c r="Q187" s="4">
        <v>6423</v>
      </c>
    </row>
    <row r="188" spans="1:17" ht="13.2" x14ac:dyDescent="0.25">
      <c r="A188" s="15">
        <v>44077</v>
      </c>
      <c r="B188" s="4">
        <v>8</v>
      </c>
      <c r="C188" s="38">
        <v>44077.333333333336</v>
      </c>
      <c r="D188" s="4">
        <v>43709</v>
      </c>
      <c r="E188" s="4">
        <v>32424</v>
      </c>
      <c r="F188" s="4">
        <v>1253</v>
      </c>
      <c r="G188" s="4">
        <v>6323</v>
      </c>
      <c r="H188" s="4">
        <v>3709</v>
      </c>
      <c r="L188" s="4">
        <v>1406</v>
      </c>
      <c r="M188" s="4">
        <v>10032</v>
      </c>
      <c r="N188" s="4">
        <v>683</v>
      </c>
      <c r="O188" s="4">
        <v>23953</v>
      </c>
      <c r="P188" s="4">
        <v>12827</v>
      </c>
      <c r="Q188" s="4">
        <v>6929</v>
      </c>
    </row>
    <row r="189" spans="1:17" ht="13.2" x14ac:dyDescent="0.25">
      <c r="A189" s="15">
        <v>44078</v>
      </c>
      <c r="B189" s="4">
        <v>8</v>
      </c>
      <c r="C189" s="38">
        <v>44078.333333333336</v>
      </c>
      <c r="D189" s="4">
        <v>44604</v>
      </c>
      <c r="E189" s="4">
        <v>33260</v>
      </c>
      <c r="F189" s="4">
        <v>1260</v>
      </c>
      <c r="G189" s="4">
        <v>6257</v>
      </c>
      <c r="H189" s="4">
        <v>3827</v>
      </c>
      <c r="L189" s="4">
        <v>895</v>
      </c>
      <c r="M189" s="4">
        <v>10084</v>
      </c>
      <c r="N189" s="4">
        <v>836</v>
      </c>
      <c r="O189" s="4">
        <v>24507</v>
      </c>
      <c r="P189" s="4">
        <v>13027</v>
      </c>
      <c r="Q189" s="5">
        <v>7070</v>
      </c>
    </row>
    <row r="190" spans="1:17" ht="13.2" x14ac:dyDescent="0.25">
      <c r="A190" s="15">
        <v>44079</v>
      </c>
      <c r="B190" s="4">
        <v>8</v>
      </c>
      <c r="C190" s="38">
        <v>44079.333333333336</v>
      </c>
      <c r="D190" s="4">
        <v>45446</v>
      </c>
      <c r="E190" s="4">
        <v>33991</v>
      </c>
      <c r="F190" s="4">
        <v>1277</v>
      </c>
      <c r="G190" s="4">
        <v>6501</v>
      </c>
      <c r="H190" s="4">
        <v>3677</v>
      </c>
      <c r="L190" s="4">
        <v>842</v>
      </c>
      <c r="M190" s="4">
        <v>10178</v>
      </c>
      <c r="N190" s="4">
        <v>731</v>
      </c>
      <c r="O190" s="4">
        <v>25000</v>
      </c>
      <c r="P190" s="4">
        <v>14409</v>
      </c>
      <c r="Q190" s="4">
        <v>6037</v>
      </c>
    </row>
    <row r="191" spans="1:17" ht="13.2" x14ac:dyDescent="0.25">
      <c r="A191" s="15">
        <v>44080</v>
      </c>
      <c r="B191" s="4">
        <v>8</v>
      </c>
      <c r="C191" s="38">
        <v>44080.333333333336</v>
      </c>
      <c r="D191" s="4">
        <v>46691</v>
      </c>
      <c r="E191" s="4">
        <v>34738</v>
      </c>
      <c r="F191" s="4">
        <v>1289</v>
      </c>
      <c r="G191" s="4">
        <v>6582</v>
      </c>
      <c r="H191" s="4">
        <v>4082</v>
      </c>
      <c r="L191" s="4">
        <v>1245</v>
      </c>
      <c r="M191" s="4">
        <v>10664</v>
      </c>
      <c r="N191" s="4">
        <v>747</v>
      </c>
      <c r="O191" s="4">
        <v>25600</v>
      </c>
      <c r="P191" s="4">
        <v>13941</v>
      </c>
      <c r="Q191" s="4">
        <v>7150</v>
      </c>
    </row>
    <row r="192" spans="1:17" ht="13.2" x14ac:dyDescent="0.25">
      <c r="A192" s="15">
        <v>44081</v>
      </c>
      <c r="B192" s="4">
        <v>8</v>
      </c>
      <c r="C192" s="38">
        <v>44081.333333333336</v>
      </c>
      <c r="D192" s="4">
        <v>47796</v>
      </c>
      <c r="E192" s="4">
        <v>35431</v>
      </c>
      <c r="F192" s="4">
        <v>1318</v>
      </c>
      <c r="G192" s="4">
        <v>6706</v>
      </c>
      <c r="H192" s="4">
        <v>4341</v>
      </c>
      <c r="L192" s="4">
        <v>1105</v>
      </c>
      <c r="M192" s="4">
        <v>11047</v>
      </c>
      <c r="N192" s="4">
        <v>693</v>
      </c>
      <c r="O192" s="4">
        <v>26005</v>
      </c>
      <c r="P192" s="4">
        <v>14241</v>
      </c>
      <c r="Q192" s="4">
        <v>7550</v>
      </c>
    </row>
    <row r="193" spans="1:17" ht="13.2" x14ac:dyDescent="0.25">
      <c r="A193" s="15">
        <v>44082</v>
      </c>
      <c r="B193" s="4">
        <v>8</v>
      </c>
      <c r="C193" s="38">
        <v>44082.333333333336</v>
      </c>
      <c r="D193" s="4">
        <v>48811</v>
      </c>
      <c r="E193" s="4">
        <v>36451</v>
      </c>
      <c r="F193" s="4">
        <v>1330</v>
      </c>
      <c r="G193" s="4">
        <v>6598</v>
      </c>
      <c r="H193" s="4">
        <v>4432</v>
      </c>
      <c r="L193" s="4">
        <v>1015</v>
      </c>
      <c r="M193" s="4">
        <v>11030</v>
      </c>
      <c r="N193" s="4">
        <v>1020</v>
      </c>
      <c r="O193" s="4">
        <v>26005</v>
      </c>
      <c r="P193" s="4">
        <v>14241</v>
      </c>
      <c r="Q193" s="4">
        <v>8565</v>
      </c>
    </row>
    <row r="194" spans="1:17" ht="13.2" x14ac:dyDescent="0.25">
      <c r="A194" s="15">
        <v>44083</v>
      </c>
      <c r="B194" s="4">
        <v>8</v>
      </c>
      <c r="C194" s="38">
        <v>44083.333333333336</v>
      </c>
      <c r="D194" s="4">
        <v>49837</v>
      </c>
      <c r="E194" s="4">
        <v>37245</v>
      </c>
      <c r="F194" s="4">
        <v>1347</v>
      </c>
      <c r="G194" s="4">
        <v>6691</v>
      </c>
      <c r="H194" s="4">
        <v>4554</v>
      </c>
      <c r="L194" s="4">
        <v>1026</v>
      </c>
      <c r="M194" s="4">
        <v>11245</v>
      </c>
      <c r="N194" s="4">
        <v>794</v>
      </c>
      <c r="O194" s="4">
        <v>27502</v>
      </c>
      <c r="P194" s="4">
        <v>14441</v>
      </c>
      <c r="Q194" s="4">
        <v>7894</v>
      </c>
    </row>
    <row r="195" spans="1:17" ht="13.2" x14ac:dyDescent="0.25">
      <c r="A195" s="15">
        <v>44084</v>
      </c>
      <c r="B195" s="4">
        <v>8</v>
      </c>
      <c r="C195" s="38">
        <v>44084.333333333336</v>
      </c>
      <c r="D195" s="4">
        <v>51287</v>
      </c>
      <c r="E195" s="4">
        <v>38226</v>
      </c>
      <c r="F195" s="4">
        <v>1365</v>
      </c>
      <c r="G195" s="4">
        <v>6968</v>
      </c>
      <c r="H195" s="4">
        <v>4728</v>
      </c>
      <c r="L195" s="4">
        <v>1450</v>
      </c>
      <c r="M195" s="4">
        <v>11696</v>
      </c>
      <c r="N195" s="4">
        <v>981</v>
      </c>
      <c r="O195" s="4">
        <v>28502</v>
      </c>
      <c r="P195" s="4">
        <v>14841</v>
      </c>
      <c r="Q195" s="4">
        <v>7944</v>
      </c>
    </row>
    <row r="196" spans="1:17" ht="13.2" x14ac:dyDescent="0.25">
      <c r="A196" s="15">
        <v>44085</v>
      </c>
      <c r="B196" s="4">
        <v>8</v>
      </c>
      <c r="C196" s="38">
        <v>44085.333333333336</v>
      </c>
      <c r="D196" s="4">
        <v>52321</v>
      </c>
      <c r="E196" s="4">
        <v>39115</v>
      </c>
      <c r="F196" s="4">
        <v>1382</v>
      </c>
      <c r="G196" s="4">
        <v>7143</v>
      </c>
      <c r="H196" s="4">
        <v>4681</v>
      </c>
      <c r="L196" s="4">
        <v>1034</v>
      </c>
      <c r="M196" s="4">
        <v>11824</v>
      </c>
      <c r="N196" s="4">
        <v>889</v>
      </c>
      <c r="O196" s="4">
        <v>28902</v>
      </c>
      <c r="P196" s="4">
        <v>18741</v>
      </c>
      <c r="Q196" s="4">
        <v>4678</v>
      </c>
    </row>
    <row r="197" spans="1:17" ht="13.2" x14ac:dyDescent="0.25">
      <c r="A197" s="15">
        <v>44086</v>
      </c>
      <c r="B197" s="4">
        <v>8</v>
      </c>
      <c r="C197" s="38">
        <v>44086.333333333336</v>
      </c>
      <c r="D197" s="4">
        <v>53761</v>
      </c>
      <c r="E197" s="4">
        <v>40183</v>
      </c>
      <c r="F197" s="4">
        <v>1404</v>
      </c>
      <c r="G197" s="4">
        <v>7490</v>
      </c>
      <c r="H197" s="4">
        <v>4684</v>
      </c>
      <c r="L197" s="4">
        <v>1440</v>
      </c>
      <c r="M197" s="4">
        <v>12174</v>
      </c>
      <c r="N197" s="4">
        <v>1068</v>
      </c>
      <c r="O197" s="4">
        <v>29253</v>
      </c>
      <c r="P197" s="4">
        <v>19041</v>
      </c>
      <c r="Q197" s="4">
        <v>5467</v>
      </c>
    </row>
    <row r="198" spans="1:17" ht="15.75" customHeight="1" x14ac:dyDescent="0.3">
      <c r="A198" s="15">
        <v>44087</v>
      </c>
      <c r="B198" s="10">
        <v>8</v>
      </c>
      <c r="C198" s="38">
        <v>44087.333333333336</v>
      </c>
      <c r="D198" s="35">
        <v>54864</v>
      </c>
      <c r="E198" s="35">
        <v>41014</v>
      </c>
      <c r="F198" s="35">
        <v>1410</v>
      </c>
      <c r="G198" s="35">
        <v>7791</v>
      </c>
      <c r="H198" s="35">
        <v>4649</v>
      </c>
      <c r="I198" s="32"/>
      <c r="J198" s="32"/>
      <c r="K198" s="32"/>
      <c r="L198" s="10">
        <v>1103</v>
      </c>
      <c r="M198" s="10">
        <v>12440</v>
      </c>
      <c r="N198" s="10">
        <v>831</v>
      </c>
      <c r="O198" s="10">
        <v>29553</v>
      </c>
      <c r="P198" s="10">
        <v>19733</v>
      </c>
      <c r="Q198" s="10">
        <v>5578</v>
      </c>
    </row>
    <row r="199" spans="1:17" ht="13.2" x14ac:dyDescent="0.25">
      <c r="A199" s="15">
        <v>44088</v>
      </c>
      <c r="B199" s="4">
        <v>8</v>
      </c>
      <c r="C199" s="38">
        <v>44088.333333333336</v>
      </c>
      <c r="D199" s="4">
        <v>55926</v>
      </c>
      <c r="E199" s="4">
        <v>42325</v>
      </c>
      <c r="F199" s="4">
        <v>1440</v>
      </c>
      <c r="G199" s="4">
        <v>7530</v>
      </c>
      <c r="H199" s="4">
        <v>4631</v>
      </c>
      <c r="L199" s="4">
        <v>1062</v>
      </c>
      <c r="M199" s="4">
        <v>12161</v>
      </c>
      <c r="N199" s="4">
        <v>1311</v>
      </c>
      <c r="O199" s="4">
        <v>6885</v>
      </c>
      <c r="P199" s="4">
        <v>1947</v>
      </c>
      <c r="Q199" s="4">
        <v>3329</v>
      </c>
    </row>
    <row r="200" spans="1:17" ht="13.2" x14ac:dyDescent="0.25">
      <c r="A200" s="15">
        <v>44089</v>
      </c>
      <c r="B200" s="4">
        <v>8</v>
      </c>
      <c r="C200" s="38">
        <v>44089.333333333336</v>
      </c>
      <c r="D200" s="4">
        <v>56953</v>
      </c>
      <c r="E200" s="4">
        <v>43306</v>
      </c>
      <c r="F200" s="4">
        <v>1468</v>
      </c>
      <c r="G200" s="4">
        <v>7711</v>
      </c>
      <c r="H200" s="4">
        <v>4468</v>
      </c>
      <c r="L200" s="4">
        <v>1027</v>
      </c>
      <c r="M200" s="4">
        <v>12179</v>
      </c>
      <c r="N200" s="4">
        <v>981</v>
      </c>
      <c r="O200" s="4">
        <v>7058</v>
      </c>
      <c r="P200" s="4">
        <v>1947</v>
      </c>
      <c r="Q200" s="4">
        <v>3174</v>
      </c>
    </row>
    <row r="201" spans="1:17" ht="13.2" x14ac:dyDescent="0.25">
      <c r="A201" s="15">
        <v>44090</v>
      </c>
      <c r="B201" s="4">
        <v>8</v>
      </c>
      <c r="C201" s="38">
        <v>44090.333333333336</v>
      </c>
      <c r="D201" s="4">
        <v>58458</v>
      </c>
      <c r="E201" s="4">
        <v>44251</v>
      </c>
      <c r="F201" s="4">
        <v>1498</v>
      </c>
      <c r="G201" s="4">
        <v>7907</v>
      </c>
      <c r="H201" s="4">
        <v>4802</v>
      </c>
      <c r="L201" s="4">
        <v>1505</v>
      </c>
      <c r="M201" s="4">
        <v>12709</v>
      </c>
      <c r="N201" s="4">
        <v>945</v>
      </c>
      <c r="O201" s="4">
        <v>1673</v>
      </c>
      <c r="P201" s="4">
        <v>6900</v>
      </c>
      <c r="Q201" s="4">
        <v>4136</v>
      </c>
    </row>
    <row r="202" spans="1:17" ht="13.2" x14ac:dyDescent="0.25">
      <c r="A202" s="15">
        <v>44091</v>
      </c>
      <c r="B202" s="4">
        <v>8</v>
      </c>
      <c r="C202" s="38">
        <v>44091.333333333336</v>
      </c>
      <c r="D202" s="4">
        <v>59472</v>
      </c>
      <c r="E202" s="4">
        <v>45207</v>
      </c>
      <c r="F202" s="4">
        <v>1513</v>
      </c>
      <c r="G202" s="4">
        <v>8013</v>
      </c>
      <c r="H202" s="4">
        <v>4739</v>
      </c>
      <c r="L202" s="4">
        <v>1014</v>
      </c>
      <c r="M202" s="4">
        <v>12752</v>
      </c>
      <c r="N202" s="4">
        <v>956</v>
      </c>
      <c r="O202" s="4">
        <v>6128</v>
      </c>
      <c r="P202" s="4">
        <v>1749</v>
      </c>
      <c r="Q202" s="4">
        <v>4875</v>
      </c>
    </row>
    <row r="203" spans="1:17" ht="15.75" customHeight="1" x14ac:dyDescent="0.3">
      <c r="A203" s="15">
        <v>44092</v>
      </c>
      <c r="B203" s="4">
        <v>8</v>
      </c>
      <c r="C203" s="38">
        <v>44092.333333333336</v>
      </c>
      <c r="D203" s="10">
        <v>60875</v>
      </c>
      <c r="E203" s="10">
        <v>46235</v>
      </c>
      <c r="F203" s="10">
        <v>1535</v>
      </c>
      <c r="G203" s="10">
        <v>8450</v>
      </c>
      <c r="H203" s="10">
        <v>4655</v>
      </c>
      <c r="L203" s="10">
        <v>1403</v>
      </c>
      <c r="M203" s="10">
        <v>13105</v>
      </c>
      <c r="N203" s="10">
        <v>1028</v>
      </c>
      <c r="O203" s="10">
        <v>6989</v>
      </c>
      <c r="P203" s="10">
        <v>2638</v>
      </c>
      <c r="Q203" s="10">
        <v>3478</v>
      </c>
    </row>
    <row r="204" spans="1:17" ht="13.2" x14ac:dyDescent="0.25">
      <c r="A204" s="15">
        <v>44093</v>
      </c>
      <c r="B204" s="4">
        <v>8</v>
      </c>
      <c r="C204" s="38">
        <v>44093.333333333336</v>
      </c>
      <c r="D204" s="4">
        <v>61807</v>
      </c>
      <c r="E204" s="4">
        <v>47260</v>
      </c>
      <c r="F204" s="4">
        <v>1546</v>
      </c>
      <c r="G204" s="4">
        <v>8696</v>
      </c>
      <c r="H204" s="4">
        <v>4305</v>
      </c>
      <c r="L204" s="4">
        <v>932</v>
      </c>
      <c r="M204" s="4">
        <v>13001</v>
      </c>
      <c r="N204" s="4">
        <v>1025</v>
      </c>
      <c r="O204" s="4">
        <v>6296</v>
      </c>
      <c r="P204" s="4">
        <v>5873</v>
      </c>
      <c r="Q204" s="4">
        <v>832</v>
      </c>
    </row>
    <row r="205" spans="1:17" ht="15.75" customHeight="1" x14ac:dyDescent="0.3">
      <c r="A205" s="15">
        <v>44094</v>
      </c>
      <c r="B205" s="10">
        <v>8</v>
      </c>
      <c r="C205" s="38">
        <v>44094.333333333336</v>
      </c>
      <c r="D205" s="19">
        <v>62886</v>
      </c>
      <c r="E205" s="19">
        <v>49209</v>
      </c>
      <c r="F205" s="19">
        <v>1561</v>
      </c>
      <c r="G205" s="19">
        <v>8297</v>
      </c>
      <c r="H205" s="10">
        <v>3819</v>
      </c>
      <c r="I205" s="32"/>
      <c r="J205" s="32"/>
      <c r="K205" s="32"/>
      <c r="L205" s="10">
        <v>1079</v>
      </c>
      <c r="M205" s="10">
        <v>12116</v>
      </c>
      <c r="N205" s="10">
        <v>1949</v>
      </c>
      <c r="O205" s="19">
        <v>6278</v>
      </c>
      <c r="P205" s="19">
        <v>5301</v>
      </c>
      <c r="Q205" s="10">
        <v>537</v>
      </c>
    </row>
    <row r="206" spans="1:17" ht="13.2" x14ac:dyDescent="0.25">
      <c r="A206" s="15">
        <v>44095</v>
      </c>
      <c r="B206" s="4">
        <v>8</v>
      </c>
      <c r="C206" s="38">
        <v>44095.333333333336</v>
      </c>
      <c r="D206" s="4">
        <v>64196</v>
      </c>
      <c r="E206" s="4">
        <v>49630</v>
      </c>
      <c r="F206" s="4">
        <v>1592</v>
      </c>
      <c r="G206" s="4">
        <v>9225</v>
      </c>
      <c r="H206" s="4">
        <v>3749</v>
      </c>
      <c r="L206" s="4">
        <v>1310</v>
      </c>
      <c r="M206" s="4">
        <v>12974</v>
      </c>
      <c r="N206" s="4">
        <v>421</v>
      </c>
      <c r="O206" s="4">
        <v>6278</v>
      </c>
      <c r="P206" s="4">
        <v>5301</v>
      </c>
      <c r="Q206" s="4">
        <v>1395</v>
      </c>
    </row>
    <row r="207" spans="1:17" ht="13.2" x14ac:dyDescent="0.25">
      <c r="A207" s="15">
        <v>44096</v>
      </c>
      <c r="B207" s="4">
        <v>8</v>
      </c>
      <c r="C207" s="38">
        <v>44096.333333333336</v>
      </c>
      <c r="D207" s="4">
        <v>65318</v>
      </c>
      <c r="E207" s="4">
        <v>50473</v>
      </c>
      <c r="F207" s="4">
        <v>1624</v>
      </c>
      <c r="G207" s="4">
        <v>9380</v>
      </c>
      <c r="H207" s="4">
        <v>3841</v>
      </c>
      <c r="L207" s="4">
        <v>1122</v>
      </c>
      <c r="M207" s="4">
        <v>13221</v>
      </c>
      <c r="N207" s="4">
        <v>843</v>
      </c>
      <c r="O207" s="4">
        <v>6871</v>
      </c>
      <c r="P207" s="4">
        <v>4917</v>
      </c>
      <c r="Q207" s="4">
        <v>1433</v>
      </c>
    </row>
    <row r="208" spans="1:17" ht="13.2" x14ac:dyDescent="0.25">
      <c r="A208" s="15">
        <v>44097</v>
      </c>
      <c r="B208" s="4">
        <v>8</v>
      </c>
      <c r="C208" s="38">
        <v>44097.333333333336</v>
      </c>
      <c r="D208" s="4">
        <v>66505</v>
      </c>
      <c r="E208" s="4">
        <v>51578</v>
      </c>
      <c r="F208" s="4">
        <v>1650</v>
      </c>
      <c r="G208" s="4">
        <v>9611</v>
      </c>
      <c r="H208" s="4">
        <v>3666</v>
      </c>
      <c r="L208" s="4">
        <v>1187</v>
      </c>
      <c r="M208" s="4">
        <v>13277</v>
      </c>
      <c r="N208" s="4">
        <v>1105</v>
      </c>
      <c r="O208" s="4">
        <v>6278</v>
      </c>
      <c r="P208" s="4">
        <v>5301</v>
      </c>
      <c r="Q208" s="4">
        <v>1698</v>
      </c>
    </row>
    <row r="209" spans="1:29" ht="13.2" x14ac:dyDescent="0.25">
      <c r="A209" s="15">
        <v>44098</v>
      </c>
      <c r="B209" s="4">
        <v>8</v>
      </c>
      <c r="C209" s="38">
        <v>44098.333333333336</v>
      </c>
      <c r="D209" s="4">
        <v>67638</v>
      </c>
      <c r="E209" s="4">
        <v>52742</v>
      </c>
      <c r="F209" s="4">
        <v>1664</v>
      </c>
      <c r="G209" s="4">
        <v>9714</v>
      </c>
      <c r="H209" s="4">
        <v>3518</v>
      </c>
      <c r="L209" s="4">
        <v>1133</v>
      </c>
      <c r="M209" s="4">
        <v>13232</v>
      </c>
      <c r="N209" s="4">
        <v>1164</v>
      </c>
      <c r="O209" s="4">
        <v>6555</v>
      </c>
      <c r="P209" s="4">
        <v>4277</v>
      </c>
      <c r="Q209" s="4">
        <v>2400</v>
      </c>
    </row>
    <row r="210" spans="1:29" ht="15.75" customHeight="1" x14ac:dyDescent="0.3">
      <c r="A210" s="15">
        <v>44099</v>
      </c>
      <c r="B210" s="4">
        <v>8</v>
      </c>
      <c r="C210" s="38">
        <v>44099.333333333336</v>
      </c>
      <c r="D210" s="19">
        <v>68927</v>
      </c>
      <c r="E210" s="19">
        <v>54352</v>
      </c>
      <c r="F210" s="19">
        <v>1677</v>
      </c>
      <c r="G210" s="19">
        <v>10027</v>
      </c>
      <c r="H210" s="10">
        <v>2871</v>
      </c>
      <c r="I210" s="32"/>
      <c r="J210" s="32"/>
      <c r="K210" s="32"/>
      <c r="L210" s="10">
        <v>1289</v>
      </c>
      <c r="M210" s="10">
        <v>12898</v>
      </c>
      <c r="N210" s="10">
        <v>1610</v>
      </c>
      <c r="O210" s="19">
        <v>6334</v>
      </c>
      <c r="P210" s="19">
        <v>4076</v>
      </c>
      <c r="Q210" s="10">
        <v>2488</v>
      </c>
    </row>
    <row r="211" spans="1:29" ht="13.2" x14ac:dyDescent="0.25">
      <c r="A211" s="15">
        <v>44100</v>
      </c>
      <c r="B211" s="4">
        <v>8</v>
      </c>
      <c r="C211" s="38">
        <v>44100.333333333336</v>
      </c>
      <c r="D211" s="4">
        <v>70184</v>
      </c>
      <c r="E211" s="4">
        <v>55350</v>
      </c>
      <c r="F211" s="4">
        <v>1679</v>
      </c>
      <c r="G211" s="4">
        <v>10594</v>
      </c>
      <c r="H211" s="4">
        <v>2561</v>
      </c>
      <c r="L211" s="4">
        <v>1257</v>
      </c>
      <c r="M211" s="4">
        <v>13155</v>
      </c>
      <c r="N211" s="4">
        <v>998</v>
      </c>
      <c r="O211" s="4">
        <v>7220</v>
      </c>
      <c r="P211" s="4">
        <v>3550</v>
      </c>
      <c r="Q211" s="4">
        <v>2385</v>
      </c>
    </row>
    <row r="212" spans="1:29" ht="15.75" customHeight="1" x14ac:dyDescent="0.3">
      <c r="A212" s="15">
        <v>44101</v>
      </c>
      <c r="B212" s="4">
        <v>8</v>
      </c>
      <c r="C212" s="38">
        <v>44101.333333333336</v>
      </c>
      <c r="D212" s="19">
        <v>71370</v>
      </c>
      <c r="E212" s="19">
        <v>56413</v>
      </c>
      <c r="F212" s="19">
        <v>1692</v>
      </c>
      <c r="G212" s="19">
        <v>10915</v>
      </c>
      <c r="H212" s="10">
        <v>2350</v>
      </c>
      <c r="I212" s="32"/>
      <c r="J212" s="32"/>
      <c r="K212" s="32"/>
      <c r="L212" s="10">
        <v>1186</v>
      </c>
      <c r="M212" s="10">
        <v>13265</v>
      </c>
      <c r="N212" s="10">
        <v>1063</v>
      </c>
      <c r="O212" s="19">
        <v>6976</v>
      </c>
      <c r="P212" s="19">
        <v>3738</v>
      </c>
      <c r="Q212" s="10">
        <v>2551</v>
      </c>
    </row>
    <row r="213" spans="1:29" ht="13.2" x14ac:dyDescent="0.25">
      <c r="A213" s="15">
        <v>44102</v>
      </c>
      <c r="B213" s="4">
        <v>8</v>
      </c>
      <c r="C213" s="38">
        <v>44102.333333333336</v>
      </c>
      <c r="D213" s="4">
        <v>72177</v>
      </c>
      <c r="E213" s="4">
        <v>57741</v>
      </c>
      <c r="F213" s="4">
        <v>1704</v>
      </c>
      <c r="G213" s="4">
        <v>10474</v>
      </c>
      <c r="H213" s="4">
        <v>2258</v>
      </c>
      <c r="L213" s="4">
        <v>807</v>
      </c>
      <c r="M213" s="4">
        <v>12732</v>
      </c>
      <c r="N213" s="4">
        <v>1328</v>
      </c>
      <c r="O213" s="4">
        <v>6678</v>
      </c>
      <c r="P213" s="4">
        <v>5701</v>
      </c>
      <c r="Q213" s="4">
        <v>353</v>
      </c>
    </row>
    <row r="214" spans="1:29" ht="15.75" customHeight="1" x14ac:dyDescent="0.3">
      <c r="A214" s="15">
        <v>44103</v>
      </c>
      <c r="B214" s="4">
        <v>8</v>
      </c>
      <c r="C214" s="38">
        <v>44103.333333333336</v>
      </c>
      <c r="D214" s="19">
        <v>73309</v>
      </c>
      <c r="E214" s="19">
        <v>58865</v>
      </c>
      <c r="F214" s="19">
        <v>1718</v>
      </c>
      <c r="G214" s="19">
        <v>10659</v>
      </c>
      <c r="H214" s="10">
        <v>2067</v>
      </c>
      <c r="I214" s="32"/>
      <c r="J214" s="32"/>
      <c r="K214" s="32"/>
      <c r="L214" s="10">
        <v>1132</v>
      </c>
      <c r="M214" s="10">
        <v>12726</v>
      </c>
      <c r="N214" s="10">
        <v>1124</v>
      </c>
      <c r="O214" s="19">
        <v>7001</v>
      </c>
      <c r="P214" s="19">
        <v>3226</v>
      </c>
      <c r="Q214" s="10">
        <v>2499</v>
      </c>
    </row>
    <row r="215" spans="1:29" ht="13.2" x14ac:dyDescent="0.25">
      <c r="A215" s="15">
        <v>44104</v>
      </c>
      <c r="B215" s="4">
        <v>8</v>
      </c>
      <c r="C215" s="38">
        <v>44104.333333333336</v>
      </c>
      <c r="D215" s="4">
        <v>74368</v>
      </c>
      <c r="E215" s="4">
        <v>60320</v>
      </c>
      <c r="F215" s="4">
        <v>1731</v>
      </c>
      <c r="G215" s="4">
        <v>10353</v>
      </c>
      <c r="H215" s="4">
        <v>1964</v>
      </c>
      <c r="L215" s="4">
        <v>1059</v>
      </c>
      <c r="M215" s="4">
        <v>12317</v>
      </c>
      <c r="N215" s="4">
        <v>1455</v>
      </c>
      <c r="O215" s="4">
        <v>5962</v>
      </c>
      <c r="P215" s="4">
        <v>3124</v>
      </c>
      <c r="Q215" s="4">
        <v>3231</v>
      </c>
    </row>
    <row r="216" spans="1:29" ht="13.2" x14ac:dyDescent="0.25">
      <c r="A216" s="15">
        <v>44105</v>
      </c>
      <c r="B216" s="4">
        <v>8</v>
      </c>
      <c r="C216" s="38">
        <v>44105.333333333336</v>
      </c>
      <c r="D216" s="4">
        <v>75521</v>
      </c>
      <c r="E216" s="4">
        <v>61444</v>
      </c>
      <c r="F216" s="4">
        <v>1737</v>
      </c>
      <c r="G216" s="4">
        <v>10545</v>
      </c>
      <c r="H216" s="4">
        <v>1795</v>
      </c>
      <c r="L216" s="4">
        <v>1153</v>
      </c>
      <c r="M216" s="4">
        <v>12340</v>
      </c>
      <c r="N216" s="4">
        <v>1124</v>
      </c>
      <c r="O216" s="4">
        <v>5972</v>
      </c>
      <c r="P216" s="4">
        <v>3826</v>
      </c>
      <c r="Q216" s="4">
        <v>2542</v>
      </c>
    </row>
    <row r="217" spans="1:29" ht="15.75" customHeight="1" x14ac:dyDescent="0.3">
      <c r="A217" s="15">
        <v>44106</v>
      </c>
      <c r="B217" s="4">
        <v>8</v>
      </c>
      <c r="C217" s="38">
        <v>44106.333333333336</v>
      </c>
      <c r="D217" s="19">
        <v>76619</v>
      </c>
      <c r="E217" s="19">
        <v>62279</v>
      </c>
      <c r="F217" s="19">
        <v>1740</v>
      </c>
      <c r="G217" s="19">
        <v>10496</v>
      </c>
      <c r="H217" s="10">
        <v>2104</v>
      </c>
      <c r="I217" s="32"/>
      <c r="J217" s="32"/>
      <c r="K217" s="32"/>
      <c r="L217" s="10">
        <v>1098</v>
      </c>
      <c r="M217" s="10">
        <v>12600</v>
      </c>
      <c r="N217" s="10">
        <v>835</v>
      </c>
      <c r="O217" s="19">
        <v>5932</v>
      </c>
      <c r="P217" s="19">
        <v>3726</v>
      </c>
      <c r="Q217" s="10">
        <v>2942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 spans="1:29" ht="13.2" x14ac:dyDescent="0.25">
      <c r="A218" s="15">
        <v>44107</v>
      </c>
      <c r="B218" s="4">
        <v>8</v>
      </c>
      <c r="C218" s="38">
        <v>44107.333333333336</v>
      </c>
      <c r="D218" s="4">
        <v>77784</v>
      </c>
      <c r="E218" s="4">
        <v>63286</v>
      </c>
      <c r="F218" s="4">
        <v>1743</v>
      </c>
      <c r="G218" s="4">
        <v>10652</v>
      </c>
      <c r="H218" s="4">
        <v>2103</v>
      </c>
      <c r="L218" s="4">
        <v>1165</v>
      </c>
      <c r="M218" s="4">
        <v>12755</v>
      </c>
      <c r="N218" s="4">
        <v>1007</v>
      </c>
      <c r="O218" s="4">
        <v>5773</v>
      </c>
      <c r="P218" s="4">
        <v>3747</v>
      </c>
      <c r="Q218" s="4">
        <v>3235</v>
      </c>
    </row>
    <row r="219" spans="1:29" ht="15.75" customHeight="1" x14ac:dyDescent="0.3">
      <c r="A219" s="15">
        <v>44108</v>
      </c>
      <c r="B219" s="19">
        <v>8</v>
      </c>
      <c r="C219" s="38">
        <v>44108.333333333336</v>
      </c>
      <c r="D219" s="19">
        <v>79214</v>
      </c>
      <c r="E219" s="19">
        <v>64319</v>
      </c>
      <c r="F219" s="19">
        <v>1761</v>
      </c>
      <c r="G219" s="19">
        <v>11091</v>
      </c>
      <c r="H219" s="10">
        <v>2043</v>
      </c>
      <c r="I219" s="32"/>
      <c r="J219" s="32"/>
      <c r="K219" s="32"/>
      <c r="L219" s="10">
        <v>1430</v>
      </c>
      <c r="M219" s="10">
        <v>13134</v>
      </c>
      <c r="N219" s="10">
        <v>1033</v>
      </c>
      <c r="O219" s="19">
        <v>6329</v>
      </c>
      <c r="P219" s="19">
        <v>3552</v>
      </c>
      <c r="Q219" s="10">
        <v>3253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 spans="1:29" ht="13.2" x14ac:dyDescent="0.25">
      <c r="A220" s="15">
        <v>44109</v>
      </c>
      <c r="B220" s="4">
        <v>8</v>
      </c>
      <c r="C220" s="38">
        <v>44109.333333333336</v>
      </c>
      <c r="D220" s="4">
        <v>80036</v>
      </c>
      <c r="E220" s="4">
        <v>65295</v>
      </c>
      <c r="F220" s="4">
        <v>1772</v>
      </c>
      <c r="G220" s="4">
        <v>10912</v>
      </c>
      <c r="H220" s="4">
        <v>2057</v>
      </c>
      <c r="L220" s="4">
        <v>822</v>
      </c>
      <c r="M220" s="4">
        <v>12969</v>
      </c>
      <c r="N220" s="4">
        <v>976</v>
      </c>
      <c r="O220" s="4">
        <v>6565</v>
      </c>
      <c r="P220" s="4">
        <v>3260</v>
      </c>
      <c r="Q220" s="4">
        <v>3144</v>
      </c>
    </row>
    <row r="221" spans="1:29" ht="13.2" x14ac:dyDescent="0.25">
      <c r="A221" s="15">
        <v>44110</v>
      </c>
      <c r="B221" s="4">
        <v>8</v>
      </c>
      <c r="C221" s="38">
        <v>44110.333333333336</v>
      </c>
      <c r="D221" s="4">
        <v>81043</v>
      </c>
      <c r="E221" s="4">
        <v>66315</v>
      </c>
      <c r="F221" s="4">
        <v>1806</v>
      </c>
      <c r="G221" s="4">
        <v>10787</v>
      </c>
      <c r="H221" s="4">
        <v>2135</v>
      </c>
      <c r="L221" s="4">
        <v>1007</v>
      </c>
      <c r="M221" s="4">
        <v>12922</v>
      </c>
      <c r="N221" s="4">
        <v>1020</v>
      </c>
      <c r="O221" s="4">
        <v>6714</v>
      </c>
      <c r="P221" s="4">
        <v>3228</v>
      </c>
      <c r="Q221" s="4">
        <v>2980</v>
      </c>
    </row>
    <row r="222" spans="1:29" ht="13.2" x14ac:dyDescent="0.25">
      <c r="A222" s="15">
        <v>44111</v>
      </c>
      <c r="B222" s="4">
        <v>8</v>
      </c>
      <c r="C222" s="38">
        <v>44111.333333333336</v>
      </c>
      <c r="D222" s="4">
        <v>82383</v>
      </c>
      <c r="E222" s="4">
        <v>67310</v>
      </c>
      <c r="F222" s="4">
        <v>1819</v>
      </c>
      <c r="G222" s="4">
        <v>10807</v>
      </c>
      <c r="H222" s="4">
        <v>2447</v>
      </c>
      <c r="L222" s="4">
        <v>1340</v>
      </c>
      <c r="M222" s="4">
        <v>13254</v>
      </c>
      <c r="N222" s="4">
        <v>995</v>
      </c>
      <c r="O222" s="4">
        <v>6671</v>
      </c>
      <c r="P222" s="4">
        <v>3465</v>
      </c>
      <c r="Q222" s="4">
        <v>3118</v>
      </c>
    </row>
    <row r="223" spans="1:29" ht="13.2" x14ac:dyDescent="0.25">
      <c r="A223" s="15">
        <v>44112</v>
      </c>
      <c r="B223" s="4">
        <v>8</v>
      </c>
      <c r="C223" s="38">
        <v>44112.333333333336</v>
      </c>
      <c r="D223" s="4">
        <v>83392</v>
      </c>
      <c r="E223" s="4">
        <v>68352</v>
      </c>
      <c r="F223" s="4">
        <v>1838</v>
      </c>
      <c r="G223" s="4">
        <v>10717</v>
      </c>
      <c r="H223" s="4">
        <v>2485</v>
      </c>
      <c r="L223" s="4">
        <v>1009</v>
      </c>
      <c r="M223" s="4">
        <v>13202</v>
      </c>
      <c r="N223" s="4">
        <v>1042</v>
      </c>
      <c r="O223" s="4">
        <v>7041</v>
      </c>
      <c r="P223" s="4">
        <v>3280</v>
      </c>
      <c r="Q223" s="4">
        <v>2881</v>
      </c>
    </row>
    <row r="224" spans="1:29" ht="15.75" customHeight="1" x14ac:dyDescent="0.3">
      <c r="A224" s="15">
        <v>44113</v>
      </c>
      <c r="B224" s="19">
        <v>8</v>
      </c>
      <c r="C224" s="38">
        <v>44113.333333333336</v>
      </c>
      <c r="D224" s="19">
        <v>84364</v>
      </c>
      <c r="E224" s="19">
        <v>69203</v>
      </c>
      <c r="F224" s="19">
        <v>1860</v>
      </c>
      <c r="G224" s="19">
        <v>10746</v>
      </c>
      <c r="H224" s="10">
        <v>2555</v>
      </c>
      <c r="I224" s="32"/>
      <c r="J224" s="32"/>
      <c r="K224" s="32"/>
      <c r="L224" s="10">
        <v>972</v>
      </c>
      <c r="M224" s="10">
        <v>13301</v>
      </c>
      <c r="N224" s="10">
        <v>851</v>
      </c>
      <c r="O224" s="19">
        <v>7008</v>
      </c>
      <c r="P224" s="19">
        <v>3362</v>
      </c>
      <c r="Q224" s="10">
        <v>2931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 spans="1:29" ht="13.2" x14ac:dyDescent="0.25">
      <c r="A225" s="15">
        <v>44114</v>
      </c>
      <c r="B225" s="4">
        <v>8</v>
      </c>
      <c r="C225" s="38">
        <v>44114.333333333336</v>
      </c>
      <c r="D225" s="4">
        <v>85617</v>
      </c>
      <c r="E225" s="4">
        <v>70487</v>
      </c>
      <c r="F225" s="4">
        <v>1877</v>
      </c>
      <c r="G225" s="4">
        <v>10698</v>
      </c>
      <c r="H225" s="4">
        <v>2555</v>
      </c>
      <c r="L225" s="4">
        <v>1253</v>
      </c>
      <c r="M225" s="4">
        <v>13253</v>
      </c>
      <c r="N225" s="4">
        <v>1284</v>
      </c>
      <c r="O225" s="4">
        <v>6779</v>
      </c>
      <c r="P225" s="4">
        <v>3164</v>
      </c>
      <c r="Q225" s="4">
        <v>3310</v>
      </c>
    </row>
    <row r="226" spans="1:29" ht="15.75" customHeight="1" x14ac:dyDescent="0.3">
      <c r="A226" s="15">
        <v>44115</v>
      </c>
      <c r="B226" s="19">
        <v>8</v>
      </c>
      <c r="C226" s="38">
        <v>44115.333333333336</v>
      </c>
      <c r="D226" s="19">
        <v>87006</v>
      </c>
      <c r="E226" s="19">
        <v>71549</v>
      </c>
      <c r="F226" s="19">
        <v>1901</v>
      </c>
      <c r="G226" s="19">
        <v>10863</v>
      </c>
      <c r="H226" s="10">
        <v>2693</v>
      </c>
      <c r="I226" s="32"/>
      <c r="J226" s="32"/>
      <c r="K226" s="32"/>
      <c r="L226" s="10">
        <v>1389</v>
      </c>
      <c r="M226" s="10">
        <v>13556</v>
      </c>
      <c r="N226" s="10">
        <v>1062</v>
      </c>
      <c r="O226" s="19">
        <v>6802</v>
      </c>
      <c r="P226" s="19">
        <v>4018</v>
      </c>
      <c r="Q226" s="10">
        <v>2736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 spans="1:29" ht="13.2" x14ac:dyDescent="0.25">
      <c r="A227" s="15">
        <v>44116</v>
      </c>
      <c r="B227" s="4">
        <v>8</v>
      </c>
      <c r="C227" s="38">
        <v>44116.333333333336</v>
      </c>
      <c r="D227" s="4">
        <v>88174</v>
      </c>
      <c r="E227" s="4">
        <v>72633</v>
      </c>
      <c r="F227" s="4">
        <v>1922</v>
      </c>
      <c r="G227" s="4">
        <v>10814</v>
      </c>
      <c r="H227" s="4">
        <v>2805</v>
      </c>
      <c r="L227" s="4">
        <v>1168</v>
      </c>
      <c r="M227" s="4">
        <v>13619</v>
      </c>
      <c r="N227" s="4">
        <v>1084</v>
      </c>
      <c r="O227" s="4">
        <v>6867</v>
      </c>
      <c r="P227" s="4">
        <v>4160</v>
      </c>
      <c r="Q227" s="4">
        <v>2592</v>
      </c>
    </row>
    <row r="228" spans="1:29" ht="15.75" customHeight="1" x14ac:dyDescent="0.3">
      <c r="A228" s="15">
        <v>44117</v>
      </c>
      <c r="B228" s="19">
        <v>8</v>
      </c>
      <c r="C228" s="38">
        <v>44117.333333333336</v>
      </c>
      <c r="D228" s="19">
        <v>89228</v>
      </c>
      <c r="E228" s="19">
        <v>73733</v>
      </c>
      <c r="F228" s="19">
        <v>1944</v>
      </c>
      <c r="G228" s="19">
        <v>10908</v>
      </c>
      <c r="H228" s="19">
        <v>2643</v>
      </c>
      <c r="I228" s="32"/>
      <c r="J228" s="32"/>
      <c r="K228" s="32"/>
      <c r="L228" s="10">
        <v>1054</v>
      </c>
      <c r="M228" s="10">
        <v>13551</v>
      </c>
      <c r="N228" s="10">
        <v>1100</v>
      </c>
      <c r="O228" s="19">
        <v>7393</v>
      </c>
      <c r="P228" s="19">
        <v>4150</v>
      </c>
      <c r="Q228" s="10">
        <v>2008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 spans="1:29" ht="13.2" x14ac:dyDescent="0.25">
      <c r="A229" s="15">
        <v>44118</v>
      </c>
      <c r="B229" s="4">
        <v>8</v>
      </c>
      <c r="C229" s="38">
        <v>44118.333333333336</v>
      </c>
      <c r="D229" s="4">
        <v>90266</v>
      </c>
      <c r="E229" s="4">
        <v>74924</v>
      </c>
      <c r="F229" s="4">
        <v>1961</v>
      </c>
      <c r="G229" s="4">
        <v>10822</v>
      </c>
      <c r="H229" s="4">
        <v>2559</v>
      </c>
      <c r="L229" s="4">
        <v>1038</v>
      </c>
      <c r="M229" s="4">
        <v>13381</v>
      </c>
      <c r="N229" s="4">
        <v>1191</v>
      </c>
      <c r="O229" s="4">
        <v>7023</v>
      </c>
      <c r="P229" s="4">
        <v>4633</v>
      </c>
      <c r="Q229" s="4">
        <v>1725</v>
      </c>
    </row>
    <row r="230" spans="1:29" ht="13.2" x14ac:dyDescent="0.25">
      <c r="A230" s="15">
        <v>44119</v>
      </c>
      <c r="B230" s="4">
        <v>8</v>
      </c>
      <c r="C230" s="38">
        <v>44119.333333333336</v>
      </c>
      <c r="D230" s="4">
        <v>91337</v>
      </c>
      <c r="E230" s="4">
        <v>75974</v>
      </c>
      <c r="F230" s="4">
        <v>1984</v>
      </c>
      <c r="G230" s="4">
        <v>10636</v>
      </c>
      <c r="H230" s="4">
        <v>2743</v>
      </c>
      <c r="L230" s="4">
        <v>1071</v>
      </c>
      <c r="M230" s="4">
        <v>13379</v>
      </c>
      <c r="N230" s="4">
        <v>1050</v>
      </c>
      <c r="O230" s="4">
        <v>6900</v>
      </c>
      <c r="P230" s="4">
        <v>4804</v>
      </c>
      <c r="Q230" s="4">
        <v>1675</v>
      </c>
    </row>
    <row r="231" spans="1:29" ht="15.75" customHeight="1" x14ac:dyDescent="0.3">
      <c r="A231" s="15">
        <v>44120</v>
      </c>
      <c r="B231" s="19">
        <v>8</v>
      </c>
      <c r="C231" s="38">
        <v>44120.333333333336</v>
      </c>
      <c r="D231" s="19">
        <v>92382</v>
      </c>
      <c r="E231" s="19">
        <v>76956</v>
      </c>
      <c r="F231" s="19">
        <v>2008</v>
      </c>
      <c r="G231" s="19">
        <v>10498</v>
      </c>
      <c r="H231" s="19">
        <v>2920</v>
      </c>
      <c r="I231" s="32"/>
      <c r="J231" s="32"/>
      <c r="K231" s="32"/>
      <c r="L231" s="10">
        <v>1045</v>
      </c>
      <c r="M231" s="10">
        <v>13418</v>
      </c>
      <c r="N231" s="10">
        <v>982</v>
      </c>
      <c r="O231" s="19">
        <v>6753</v>
      </c>
      <c r="P231" s="19">
        <v>5174</v>
      </c>
      <c r="Q231" s="10">
        <v>1491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 spans="1:29" ht="13.2" x14ac:dyDescent="0.25">
      <c r="A232" s="15">
        <v>44121</v>
      </c>
      <c r="B232" s="4">
        <v>8</v>
      </c>
      <c r="C232" s="38">
        <v>44121.333333333336</v>
      </c>
      <c r="D232" s="4">
        <v>93356</v>
      </c>
      <c r="E232" s="4">
        <v>78062</v>
      </c>
      <c r="F232" s="4">
        <v>2032</v>
      </c>
      <c r="G232" s="4">
        <v>10591</v>
      </c>
      <c r="H232" s="4">
        <v>2671</v>
      </c>
      <c r="L232" s="4">
        <v>974</v>
      </c>
      <c r="M232" s="4">
        <v>13262</v>
      </c>
      <c r="N232" s="4">
        <v>1106</v>
      </c>
      <c r="O232" s="4">
        <v>6376</v>
      </c>
      <c r="P232" s="4">
        <v>5611</v>
      </c>
      <c r="Q232" s="4">
        <v>1275</v>
      </c>
    </row>
    <row r="233" spans="1:29" ht="15.75" customHeight="1" x14ac:dyDescent="0.3">
      <c r="A233" s="15">
        <v>44122</v>
      </c>
      <c r="B233" s="19">
        <v>8</v>
      </c>
      <c r="C233" s="38">
        <v>44122.333333333336</v>
      </c>
      <c r="D233" s="19">
        <v>94327</v>
      </c>
      <c r="E233" s="19">
        <v>79136</v>
      </c>
      <c r="F233" s="19">
        <v>2051</v>
      </c>
      <c r="G233" s="19">
        <v>10782</v>
      </c>
      <c r="H233" s="19">
        <v>2358</v>
      </c>
      <c r="I233" s="32"/>
      <c r="J233" s="32"/>
      <c r="K233" s="32"/>
      <c r="L233" s="10">
        <v>971</v>
      </c>
      <c r="M233" s="10">
        <v>13140</v>
      </c>
      <c r="N233" s="10">
        <v>1074</v>
      </c>
      <c r="O233" s="19">
        <v>6505</v>
      </c>
      <c r="P233" s="19">
        <v>5891</v>
      </c>
      <c r="Q233" s="10">
        <v>744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 spans="1:29" ht="13.2" x14ac:dyDescent="0.25">
      <c r="A234" s="15">
        <v>44123</v>
      </c>
      <c r="B234" s="4">
        <v>8</v>
      </c>
      <c r="C234" s="38">
        <v>44123.333333333336</v>
      </c>
      <c r="D234" s="4">
        <v>95253</v>
      </c>
      <c r="E234" s="4">
        <v>80261</v>
      </c>
      <c r="F234" s="4">
        <v>2064</v>
      </c>
      <c r="G234" s="4">
        <v>10325</v>
      </c>
      <c r="H234" s="4">
        <v>2603</v>
      </c>
      <c r="L234" s="4">
        <v>926</v>
      </c>
      <c r="M234" s="4">
        <v>12928</v>
      </c>
      <c r="N234" s="4">
        <v>1125</v>
      </c>
      <c r="O234" s="4">
        <v>6185</v>
      </c>
      <c r="P234" s="4">
        <v>5755</v>
      </c>
      <c r="Q234" s="4">
        <v>988</v>
      </c>
    </row>
    <row r="235" spans="1:29" ht="13.2" x14ac:dyDescent="0.25">
      <c r="A235" s="15">
        <v>44124</v>
      </c>
      <c r="B235" s="19">
        <v>8</v>
      </c>
      <c r="C235" s="38">
        <v>44124.333333333336</v>
      </c>
      <c r="D235" s="4">
        <v>96217</v>
      </c>
      <c r="E235" s="4">
        <v>81107</v>
      </c>
      <c r="F235" s="4">
        <v>2086</v>
      </c>
      <c r="G235" s="4">
        <v>10292</v>
      </c>
      <c r="H235" s="4">
        <v>2732</v>
      </c>
      <c r="L235" s="4">
        <v>964</v>
      </c>
      <c r="M235" s="4">
        <v>13024</v>
      </c>
      <c r="N235" s="4">
        <v>846</v>
      </c>
      <c r="O235" s="4">
        <v>6557</v>
      </c>
      <c r="P235" s="4">
        <v>5747</v>
      </c>
      <c r="Q235" s="4">
        <v>720</v>
      </c>
    </row>
    <row r="236" spans="1:29" ht="13.2" x14ac:dyDescent="0.25">
      <c r="A236" s="15">
        <v>44125</v>
      </c>
      <c r="B236" s="4">
        <v>8</v>
      </c>
      <c r="C236" s="38">
        <v>44125.333333333336</v>
      </c>
      <c r="D236" s="4">
        <v>97217</v>
      </c>
      <c r="E236" s="4">
        <v>82178</v>
      </c>
      <c r="F236" s="4">
        <v>2105</v>
      </c>
      <c r="G236" s="4">
        <v>10273</v>
      </c>
      <c r="H236" s="4">
        <v>2661</v>
      </c>
      <c r="L236" s="4">
        <v>1000</v>
      </c>
      <c r="M236" s="4">
        <v>12934</v>
      </c>
      <c r="N236" s="4">
        <v>1071</v>
      </c>
      <c r="O236" s="4">
        <v>6577</v>
      </c>
      <c r="P236" s="4">
        <v>5568</v>
      </c>
      <c r="Q236" s="4">
        <v>789</v>
      </c>
    </row>
    <row r="237" spans="1:29" ht="13.2" x14ac:dyDescent="0.25">
      <c r="A237" s="15">
        <v>44126</v>
      </c>
      <c r="B237" s="4">
        <v>8</v>
      </c>
      <c r="C237" s="38">
        <v>44126.333333333336</v>
      </c>
      <c r="D237" s="4">
        <v>98206</v>
      </c>
      <c r="E237" s="4">
        <v>83338</v>
      </c>
      <c r="F237" s="4">
        <v>2120</v>
      </c>
      <c r="G237" s="4">
        <v>9980</v>
      </c>
      <c r="H237" s="4">
        <v>2768</v>
      </c>
      <c r="L237" s="4">
        <v>989</v>
      </c>
      <c r="M237" s="4">
        <v>12748</v>
      </c>
      <c r="N237" s="4">
        <v>1160</v>
      </c>
      <c r="O237" s="4">
        <v>6530</v>
      </c>
      <c r="P237" s="4">
        <v>5475</v>
      </c>
      <c r="Q237" s="4">
        <v>743</v>
      </c>
    </row>
    <row r="238" spans="1:29" ht="15.75" customHeight="1" x14ac:dyDescent="0.3">
      <c r="A238" s="15">
        <v>44127</v>
      </c>
      <c r="B238" s="19">
        <v>8</v>
      </c>
      <c r="C238" s="38">
        <v>44127.333333333336</v>
      </c>
      <c r="D238" s="19">
        <v>99158</v>
      </c>
      <c r="E238" s="19">
        <v>84430</v>
      </c>
      <c r="F238" s="19">
        <v>2138</v>
      </c>
      <c r="G238" s="19">
        <v>9604</v>
      </c>
      <c r="H238" s="19">
        <v>2986</v>
      </c>
      <c r="I238" s="32"/>
      <c r="J238" s="32"/>
      <c r="K238" s="32"/>
      <c r="L238" s="10">
        <v>952</v>
      </c>
      <c r="M238" s="10">
        <v>12590</v>
      </c>
      <c r="N238" s="10">
        <v>1092</v>
      </c>
      <c r="O238" s="19">
        <v>6366</v>
      </c>
      <c r="P238" s="19">
        <v>5428</v>
      </c>
      <c r="Q238" s="10">
        <v>796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 spans="1:29" ht="13.2" x14ac:dyDescent="0.25">
      <c r="A239" s="15">
        <v>44128</v>
      </c>
      <c r="B239" s="4">
        <v>8</v>
      </c>
      <c r="C239" s="38">
        <v>44128.333333333336</v>
      </c>
      <c r="D239" s="4">
        <v>100220</v>
      </c>
      <c r="E239" s="4">
        <v>85586</v>
      </c>
      <c r="F239" s="4">
        <v>2153</v>
      </c>
      <c r="G239" s="4">
        <v>9557</v>
      </c>
      <c r="H239" s="4">
        <v>2924</v>
      </c>
      <c r="L239" s="4">
        <v>1062</v>
      </c>
      <c r="M239" s="4">
        <v>12481</v>
      </c>
      <c r="N239" s="4">
        <v>1156</v>
      </c>
      <c r="O239" s="4">
        <v>5974</v>
      </c>
      <c r="P239" s="4">
        <v>5541</v>
      </c>
      <c r="Q239" s="4">
        <v>966</v>
      </c>
    </row>
    <row r="240" spans="1:29" ht="15.75" customHeight="1" x14ac:dyDescent="0.3">
      <c r="A240" s="15">
        <v>44129</v>
      </c>
      <c r="B240" s="19">
        <v>8</v>
      </c>
      <c r="C240" s="38">
        <v>44129.333333333336</v>
      </c>
      <c r="D240" s="19">
        <v>100991</v>
      </c>
      <c r="E240" s="19">
        <v>86815</v>
      </c>
      <c r="F240" s="19">
        <v>2164</v>
      </c>
      <c r="G240" s="19">
        <v>9151</v>
      </c>
      <c r="H240" s="19">
        <v>2861</v>
      </c>
      <c r="I240" s="32"/>
      <c r="J240" s="32"/>
      <c r="K240" s="32"/>
      <c r="L240" s="10">
        <v>771</v>
      </c>
      <c r="M240" s="10">
        <v>12012</v>
      </c>
      <c r="N240" s="10">
        <v>1229</v>
      </c>
      <c r="O240" s="19">
        <v>6137</v>
      </c>
      <c r="P240" s="19">
        <v>5091</v>
      </c>
      <c r="Q240" s="10">
        <v>784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 spans="1:29" ht="13.2" x14ac:dyDescent="0.25">
      <c r="A241" s="15">
        <v>44130</v>
      </c>
      <c r="B241" s="4">
        <v>8</v>
      </c>
      <c r="C241" s="38">
        <v>44130.333333333336</v>
      </c>
      <c r="D241" s="4">
        <v>101897</v>
      </c>
      <c r="E241" s="4">
        <v>87977</v>
      </c>
      <c r="F241" s="4">
        <v>2185</v>
      </c>
      <c r="G241" s="4">
        <v>8960</v>
      </c>
      <c r="H241" s="4">
        <v>2775</v>
      </c>
      <c r="L241" s="4">
        <v>906</v>
      </c>
      <c r="M241" s="4">
        <v>11735</v>
      </c>
      <c r="N241" s="4">
        <v>1162</v>
      </c>
      <c r="O241" s="4">
        <v>6083</v>
      </c>
      <c r="P241" s="4">
        <v>4900</v>
      </c>
      <c r="Q241" s="4">
        <v>752</v>
      </c>
    </row>
    <row r="242" spans="1:29" ht="15.75" customHeight="1" x14ac:dyDescent="0.3">
      <c r="A242" s="15">
        <v>44131</v>
      </c>
      <c r="B242" s="19">
        <v>8</v>
      </c>
      <c r="C242" s="38">
        <v>44131.333333333336</v>
      </c>
      <c r="D242" s="19">
        <v>102678</v>
      </c>
      <c r="E242" s="19">
        <v>89060</v>
      </c>
      <c r="F242" s="19">
        <v>2195</v>
      </c>
      <c r="G242" s="19">
        <v>8743</v>
      </c>
      <c r="H242" s="19">
        <v>2680</v>
      </c>
      <c r="I242" s="32"/>
      <c r="J242" s="32"/>
      <c r="K242" s="32"/>
      <c r="L242" s="10">
        <v>781</v>
      </c>
      <c r="M242" s="10">
        <v>11423</v>
      </c>
      <c r="N242" s="10">
        <v>1083</v>
      </c>
      <c r="O242" s="19">
        <v>5947</v>
      </c>
      <c r="P242" s="19">
        <v>4834</v>
      </c>
      <c r="Q242" s="10">
        <v>642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 spans="1:29" ht="13.2" x14ac:dyDescent="0.25">
      <c r="A243" s="15">
        <v>44132</v>
      </c>
      <c r="B243" s="4">
        <v>8</v>
      </c>
      <c r="C243" s="38">
        <v>44132.333333333336</v>
      </c>
      <c r="D243" s="4">
        <v>103522</v>
      </c>
      <c r="E243" s="4">
        <v>90157</v>
      </c>
      <c r="F243" s="4">
        <v>2211</v>
      </c>
      <c r="G243" s="4">
        <v>8438</v>
      </c>
      <c r="H243" s="4">
        <v>2716</v>
      </c>
      <c r="L243" s="4">
        <v>844</v>
      </c>
      <c r="M243" s="4">
        <v>11154</v>
      </c>
      <c r="N243" s="4">
        <v>1097</v>
      </c>
      <c r="O243" s="4">
        <v>5630</v>
      </c>
      <c r="P243" s="4">
        <v>4955</v>
      </c>
      <c r="Q243" s="4">
        <v>569</v>
      </c>
    </row>
    <row r="244" spans="1:29" ht="13.2" x14ac:dyDescent="0.25">
      <c r="A244" s="15">
        <v>44133</v>
      </c>
      <c r="B244" s="4">
        <v>8</v>
      </c>
      <c r="C244" s="38">
        <v>44133.333333333336</v>
      </c>
      <c r="D244" s="4">
        <v>104235</v>
      </c>
      <c r="E244" s="4">
        <v>91235</v>
      </c>
      <c r="F244" s="4">
        <v>2225</v>
      </c>
      <c r="G244" s="4">
        <v>7951</v>
      </c>
      <c r="H244" s="4">
        <v>2824</v>
      </c>
      <c r="L244" s="4">
        <v>713</v>
      </c>
      <c r="M244" s="4">
        <v>10775</v>
      </c>
      <c r="N244" s="4">
        <v>1078</v>
      </c>
      <c r="O244" s="4">
        <v>5410</v>
      </c>
      <c r="P244" s="4">
        <v>4478</v>
      </c>
      <c r="Q244" s="4">
        <v>887</v>
      </c>
    </row>
    <row r="245" spans="1:29" ht="15.75" customHeight="1" x14ac:dyDescent="0.3">
      <c r="A245" s="15">
        <v>44134</v>
      </c>
      <c r="B245" s="19">
        <v>8</v>
      </c>
      <c r="C245" s="38">
        <v>44134.333333333336</v>
      </c>
      <c r="D245" s="19">
        <v>104847</v>
      </c>
      <c r="E245" s="19">
        <v>92312</v>
      </c>
      <c r="F245" s="19">
        <v>2239</v>
      </c>
      <c r="G245" s="19">
        <v>7457</v>
      </c>
      <c r="H245" s="19">
        <v>2839</v>
      </c>
      <c r="I245" s="32"/>
      <c r="J245" s="32"/>
      <c r="K245" s="32"/>
      <c r="L245" s="10">
        <v>612</v>
      </c>
      <c r="M245" s="10">
        <v>10296</v>
      </c>
      <c r="N245" s="10">
        <v>1077</v>
      </c>
      <c r="O245" s="19">
        <v>5410</v>
      </c>
      <c r="P245" s="19">
        <v>4478</v>
      </c>
      <c r="Q245" s="10">
        <v>408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 spans="1:29" ht="13.2" x14ac:dyDescent="0.25">
      <c r="A246" s="15">
        <v>44135</v>
      </c>
      <c r="B246" s="4">
        <v>8</v>
      </c>
      <c r="C246" s="38">
        <v>44135.333333333336</v>
      </c>
      <c r="D246" s="4">
        <v>105597</v>
      </c>
      <c r="E246" s="4">
        <v>94434</v>
      </c>
      <c r="F246" s="4">
        <v>2255</v>
      </c>
      <c r="G246" s="4">
        <v>6524</v>
      </c>
      <c r="H246" s="4">
        <v>2384</v>
      </c>
      <c r="L246" s="4">
        <v>750</v>
      </c>
      <c r="M246" s="4">
        <v>8908</v>
      </c>
      <c r="N246" s="4">
        <v>2122</v>
      </c>
      <c r="O246" s="4">
        <v>4462</v>
      </c>
      <c r="P246" s="4">
        <v>4446</v>
      </c>
      <c r="Q246" s="4">
        <v>0</v>
      </c>
    </row>
    <row r="247" spans="1:29" ht="15.75" customHeight="1" x14ac:dyDescent="0.3">
      <c r="A247" s="15">
        <v>44136</v>
      </c>
      <c r="B247" s="19">
        <v>8</v>
      </c>
      <c r="C247" s="38">
        <v>44136.333333333336</v>
      </c>
      <c r="D247" s="19">
        <v>106205</v>
      </c>
      <c r="E247" s="19">
        <v>94819</v>
      </c>
      <c r="F247" s="19">
        <v>2273</v>
      </c>
      <c r="G247" s="19">
        <v>6935</v>
      </c>
      <c r="H247" s="19">
        <v>2178</v>
      </c>
      <c r="I247" s="32"/>
      <c r="J247" s="32"/>
      <c r="K247" s="32"/>
      <c r="L247" s="10">
        <v>608</v>
      </c>
      <c r="M247" s="10">
        <v>9113</v>
      </c>
      <c r="N247" s="10">
        <v>385</v>
      </c>
      <c r="O247" s="19">
        <v>4106</v>
      </c>
      <c r="P247" s="19">
        <v>4142</v>
      </c>
      <c r="Q247" s="10">
        <v>865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 spans="1:29" ht="13.2" x14ac:dyDescent="0.25">
      <c r="A248" s="15">
        <v>44137</v>
      </c>
      <c r="B248" s="4">
        <v>8</v>
      </c>
      <c r="C248" s="38">
        <v>44137.333333333336</v>
      </c>
      <c r="D248" s="4">
        <v>107229</v>
      </c>
      <c r="E248" s="4">
        <v>95876</v>
      </c>
      <c r="F248" s="4">
        <v>2291</v>
      </c>
      <c r="G248" s="4">
        <v>7312</v>
      </c>
      <c r="H248" s="4">
        <v>1750</v>
      </c>
      <c r="L248" s="4">
        <v>1024</v>
      </c>
      <c r="M248" s="4">
        <v>9062</v>
      </c>
      <c r="N248" s="4">
        <v>1057</v>
      </c>
      <c r="O248" s="4">
        <v>3987</v>
      </c>
      <c r="P248" s="4">
        <v>4258</v>
      </c>
      <c r="Q248" s="4">
        <v>817</v>
      </c>
    </row>
    <row r="249" spans="1:29" ht="13.2" x14ac:dyDescent="0.25">
      <c r="A249" s="15">
        <v>44138</v>
      </c>
      <c r="B249" s="4">
        <v>8</v>
      </c>
      <c r="C249" s="38">
        <v>44138.333333333336</v>
      </c>
      <c r="D249" s="4">
        <v>107846</v>
      </c>
      <c r="E249" s="4">
        <v>96902</v>
      </c>
      <c r="F249" s="4">
        <v>2300</v>
      </c>
      <c r="G249" s="4">
        <v>6844</v>
      </c>
      <c r="H249" s="4">
        <v>1800</v>
      </c>
      <c r="L249" s="4">
        <v>617</v>
      </c>
      <c r="M249" s="4">
        <v>8644</v>
      </c>
      <c r="N249" s="4">
        <v>1026</v>
      </c>
      <c r="O249" s="4">
        <v>3935</v>
      </c>
      <c r="P249" s="4">
        <v>4108</v>
      </c>
      <c r="Q249" s="4">
        <v>601</v>
      </c>
    </row>
    <row r="250" spans="1:29" ht="13.2" x14ac:dyDescent="0.25">
      <c r="A250" s="15">
        <v>44139</v>
      </c>
      <c r="B250" s="4">
        <v>8</v>
      </c>
      <c r="C250" s="38">
        <v>44139.333333333336</v>
      </c>
      <c r="D250" s="4">
        <v>108620</v>
      </c>
      <c r="E250" s="4">
        <v>97833</v>
      </c>
      <c r="F250" s="4">
        <v>2315</v>
      </c>
      <c r="G250" s="4">
        <v>6665</v>
      </c>
      <c r="H250" s="4">
        <v>1807</v>
      </c>
      <c r="L250" s="4">
        <v>774</v>
      </c>
      <c r="M250" s="4">
        <v>8472</v>
      </c>
      <c r="N250" s="4">
        <v>931</v>
      </c>
      <c r="O250" s="4">
        <v>3627</v>
      </c>
      <c r="P250" s="4">
        <v>4456</v>
      </c>
      <c r="Q250" s="4">
        <v>389</v>
      </c>
    </row>
    <row r="251" spans="1:29" ht="13.2" x14ac:dyDescent="0.25">
      <c r="A251" s="15">
        <v>44140</v>
      </c>
      <c r="B251" s="4">
        <v>8</v>
      </c>
      <c r="C251" s="38">
        <v>44140.333333333336</v>
      </c>
      <c r="D251" s="4">
        <v>109411</v>
      </c>
      <c r="E251" s="4">
        <v>98806</v>
      </c>
      <c r="F251" s="4">
        <v>2331</v>
      </c>
      <c r="G251" s="4">
        <v>6260</v>
      </c>
      <c r="H251" s="4">
        <v>2014</v>
      </c>
      <c r="L251" s="4">
        <v>791</v>
      </c>
      <c r="M251" s="4">
        <v>8274</v>
      </c>
      <c r="N251" s="4">
        <v>973</v>
      </c>
      <c r="O251" s="4">
        <v>3398</v>
      </c>
      <c r="P251" s="4">
        <v>4262</v>
      </c>
      <c r="Q251" s="4">
        <v>614</v>
      </c>
    </row>
    <row r="252" spans="1:29" ht="15.75" customHeight="1" x14ac:dyDescent="0.3">
      <c r="A252" s="15">
        <v>44141</v>
      </c>
      <c r="B252" s="19">
        <v>8</v>
      </c>
      <c r="C252" s="38">
        <v>44141.333333333336</v>
      </c>
      <c r="D252" s="19">
        <v>110083</v>
      </c>
      <c r="E252" s="19">
        <v>99830</v>
      </c>
      <c r="F252" s="19">
        <v>2348</v>
      </c>
      <c r="G252" s="19">
        <v>6050</v>
      </c>
      <c r="H252" s="19">
        <v>1855</v>
      </c>
      <c r="I252" s="32"/>
      <c r="J252" s="32"/>
      <c r="K252" s="32"/>
      <c r="L252" s="10">
        <v>672</v>
      </c>
      <c r="M252" s="10">
        <v>7905</v>
      </c>
      <c r="N252" s="10">
        <v>1024</v>
      </c>
      <c r="O252" s="19">
        <v>3266</v>
      </c>
      <c r="P252" s="19">
        <v>4257</v>
      </c>
      <c r="Q252" s="10">
        <v>382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 spans="1:29" ht="13.2" x14ac:dyDescent="0.25">
      <c r="A253" s="15">
        <v>44142</v>
      </c>
      <c r="B253" s="4">
        <v>8</v>
      </c>
      <c r="C253" s="38">
        <v>44142.333333333336</v>
      </c>
      <c r="D253" s="4">
        <v>111201</v>
      </c>
      <c r="E253" s="4">
        <v>100816</v>
      </c>
      <c r="F253" s="4">
        <v>2359</v>
      </c>
      <c r="G253" s="4">
        <v>6159</v>
      </c>
      <c r="H253" s="4">
        <v>1867</v>
      </c>
      <c r="L253" s="4">
        <v>1118</v>
      </c>
      <c r="M253" s="4">
        <v>8026</v>
      </c>
      <c r="N253" s="4">
        <v>986</v>
      </c>
      <c r="O253" s="4">
        <v>3049</v>
      </c>
      <c r="P253" s="4">
        <v>4205</v>
      </c>
      <c r="Q253" s="4">
        <v>772</v>
      </c>
    </row>
    <row r="254" spans="1:29" ht="15.75" customHeight="1" x14ac:dyDescent="0.3">
      <c r="A254" s="15">
        <v>44143</v>
      </c>
      <c r="B254" s="19">
        <v>8</v>
      </c>
      <c r="C254" s="38">
        <v>44143.333333333336</v>
      </c>
      <c r="D254" s="19">
        <v>112027</v>
      </c>
      <c r="E254" s="19">
        <v>101791</v>
      </c>
      <c r="F254" s="19">
        <v>2366</v>
      </c>
      <c r="G254" s="19">
        <v>6338</v>
      </c>
      <c r="H254" s="19">
        <v>1532</v>
      </c>
      <c r="I254" s="32"/>
      <c r="J254" s="32"/>
      <c r="K254" s="32"/>
      <c r="L254" s="10">
        <v>826</v>
      </c>
      <c r="M254" s="10">
        <v>7870</v>
      </c>
      <c r="N254" s="10">
        <v>975</v>
      </c>
      <c r="O254" s="19">
        <v>2640</v>
      </c>
      <c r="P254" s="19">
        <v>3833</v>
      </c>
      <c r="Q254" s="10">
        <v>1397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 spans="1:29" ht="13.2" x14ac:dyDescent="0.25">
      <c r="A255" s="15">
        <v>44144</v>
      </c>
      <c r="B255" s="4">
        <v>8</v>
      </c>
      <c r="C255" s="38">
        <v>44144.333333333336</v>
      </c>
      <c r="D255" s="4">
        <v>112743</v>
      </c>
      <c r="E255" s="4">
        <v>102844</v>
      </c>
      <c r="F255" s="4">
        <v>2377</v>
      </c>
      <c r="G255" s="4">
        <v>6050</v>
      </c>
      <c r="H255" s="4">
        <v>1472</v>
      </c>
      <c r="L255" s="4">
        <v>716</v>
      </c>
      <c r="M255" s="4">
        <v>7522</v>
      </c>
      <c r="N255" s="4">
        <v>1053</v>
      </c>
      <c r="O255" s="4">
        <v>3336</v>
      </c>
      <c r="P255" s="4">
        <v>3628</v>
      </c>
      <c r="Q255" s="4">
        <v>558</v>
      </c>
    </row>
    <row r="256" spans="1:29" ht="15.75" customHeight="1" x14ac:dyDescent="0.3">
      <c r="A256" s="15">
        <v>44145</v>
      </c>
      <c r="B256" s="19">
        <v>8</v>
      </c>
      <c r="C256" s="38">
        <v>44145.333333333336</v>
      </c>
      <c r="D256" s="19">
        <v>113756</v>
      </c>
      <c r="E256" s="19">
        <v>104144</v>
      </c>
      <c r="F256" s="19">
        <v>2391</v>
      </c>
      <c r="G256" s="19">
        <v>5724</v>
      </c>
      <c r="H256" s="19">
        <v>1497</v>
      </c>
      <c r="I256" s="32"/>
      <c r="J256" s="32"/>
      <c r="K256" s="32"/>
      <c r="L256" s="10">
        <v>1013</v>
      </c>
      <c r="M256" s="10">
        <v>7221</v>
      </c>
      <c r="N256" s="10">
        <v>1300</v>
      </c>
      <c r="O256" s="19">
        <v>3213</v>
      </c>
      <c r="P256" s="19">
        <v>3580</v>
      </c>
      <c r="Q256" s="10">
        <v>428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 spans="1:29" ht="13.2" x14ac:dyDescent="0.25">
      <c r="A257" s="15">
        <v>44146</v>
      </c>
      <c r="B257" s="4">
        <v>8</v>
      </c>
      <c r="C257" s="38">
        <v>44146.333333333336</v>
      </c>
      <c r="D257" s="4">
        <v>114343</v>
      </c>
      <c r="E257" s="4">
        <v>105117</v>
      </c>
      <c r="F257" s="4">
        <v>2403</v>
      </c>
      <c r="G257" s="4">
        <v>5161</v>
      </c>
      <c r="H257" s="4">
        <v>1662</v>
      </c>
      <c r="L257" s="4">
        <v>587</v>
      </c>
      <c r="M257" s="4">
        <v>6823</v>
      </c>
      <c r="N257" s="4">
        <v>973</v>
      </c>
      <c r="O257" s="4">
        <v>2915</v>
      </c>
      <c r="P257" s="4">
        <v>3518</v>
      </c>
      <c r="Q257" s="4">
        <v>390</v>
      </c>
    </row>
    <row r="258" spans="1:29" ht="15.75" customHeight="1" x14ac:dyDescent="0.3">
      <c r="A258" s="15">
        <v>44147</v>
      </c>
      <c r="B258" s="19">
        <v>8</v>
      </c>
      <c r="C258" s="38">
        <v>44147.333333333336</v>
      </c>
      <c r="D258" s="19">
        <v>115174</v>
      </c>
      <c r="E258" s="19">
        <v>106189</v>
      </c>
      <c r="F258" s="19">
        <v>2414</v>
      </c>
      <c r="G258" s="19">
        <v>4878</v>
      </c>
      <c r="H258" s="19">
        <v>1693</v>
      </c>
      <c r="I258" s="32"/>
      <c r="J258" s="32"/>
      <c r="K258" s="32"/>
      <c r="L258" s="10">
        <v>831</v>
      </c>
      <c r="M258" s="10">
        <v>6571</v>
      </c>
      <c r="N258" s="10">
        <v>1072</v>
      </c>
      <c r="O258" s="19">
        <v>2884</v>
      </c>
      <c r="P258" s="19">
        <v>3204</v>
      </c>
      <c r="Q258" s="10">
        <v>483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 spans="1:29" ht="13.2" x14ac:dyDescent="0.25">
      <c r="A259" s="15">
        <v>44148</v>
      </c>
      <c r="B259" s="4">
        <v>8</v>
      </c>
      <c r="C259" s="38">
        <v>44148.333333333336</v>
      </c>
      <c r="D259" s="4">
        <v>116207</v>
      </c>
      <c r="E259" s="4">
        <v>107147</v>
      </c>
      <c r="F259" s="4">
        <v>2428</v>
      </c>
      <c r="G259" s="4">
        <v>5028</v>
      </c>
      <c r="H259" s="4">
        <v>1604</v>
      </c>
      <c r="L259" s="4">
        <v>1033</v>
      </c>
      <c r="M259" s="4">
        <v>6632</v>
      </c>
      <c r="N259" s="4">
        <v>958</v>
      </c>
      <c r="O259" s="4">
        <v>2821</v>
      </c>
      <c r="P259" s="4">
        <v>3193</v>
      </c>
      <c r="Q259" s="4">
        <v>618</v>
      </c>
    </row>
    <row r="260" spans="1:29" ht="13.2" x14ac:dyDescent="0.25">
      <c r="A260" s="15">
        <v>44149</v>
      </c>
      <c r="B260" s="4">
        <v>8</v>
      </c>
      <c r="C260" s="38">
        <v>44149.333333333336</v>
      </c>
      <c r="D260" s="4">
        <v>117462</v>
      </c>
      <c r="E260" s="4">
        <v>108209</v>
      </c>
      <c r="F260" s="4">
        <v>2441</v>
      </c>
      <c r="G260" s="4">
        <v>4710</v>
      </c>
      <c r="H260" s="4">
        <v>2102</v>
      </c>
      <c r="L260" s="4">
        <v>1255</v>
      </c>
      <c r="M260" s="4">
        <v>6812</v>
      </c>
      <c r="N260" s="4">
        <v>1062</v>
      </c>
      <c r="O260" s="4">
        <v>2714</v>
      </c>
      <c r="P260" s="4">
        <v>3197</v>
      </c>
      <c r="Q260" s="4">
        <v>901</v>
      </c>
    </row>
    <row r="261" spans="1:29" ht="15.75" customHeight="1" x14ac:dyDescent="0.3">
      <c r="A261" s="15">
        <v>44150</v>
      </c>
      <c r="B261" s="19">
        <v>8</v>
      </c>
      <c r="C261" s="38">
        <v>44150.333333333336</v>
      </c>
      <c r="D261" s="19">
        <v>118627</v>
      </c>
      <c r="E261" s="19">
        <v>109181</v>
      </c>
      <c r="F261" s="19">
        <v>2448</v>
      </c>
      <c r="G261" s="19">
        <v>4952</v>
      </c>
      <c r="H261" s="19">
        <v>2046</v>
      </c>
      <c r="I261" s="32"/>
      <c r="J261" s="32"/>
      <c r="K261" s="32"/>
      <c r="L261" s="10">
        <v>1165</v>
      </c>
      <c r="M261" s="10">
        <v>6998</v>
      </c>
      <c r="N261" s="10">
        <v>972</v>
      </c>
      <c r="O261" s="19">
        <v>2556</v>
      </c>
      <c r="P261" s="19">
        <v>3659</v>
      </c>
      <c r="Q261" s="10">
        <v>783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 spans="1:29" ht="13.2" x14ac:dyDescent="0.25">
      <c r="A262" s="15">
        <v>44151</v>
      </c>
      <c r="B262" s="4">
        <v>8</v>
      </c>
      <c r="C262" s="38">
        <v>44151.333333333336</v>
      </c>
      <c r="D262" s="4">
        <v>119633</v>
      </c>
      <c r="E262" s="4">
        <v>110221</v>
      </c>
      <c r="F262" s="4">
        <v>2455</v>
      </c>
      <c r="G262" s="4">
        <v>4420</v>
      </c>
      <c r="H262" s="4">
        <v>2537</v>
      </c>
      <c r="L262" s="4">
        <v>1006</v>
      </c>
      <c r="M262" s="4">
        <v>6957</v>
      </c>
      <c r="N262" s="4">
        <v>1040</v>
      </c>
      <c r="O262" s="4">
        <v>2540</v>
      </c>
      <c r="P262" s="4">
        <v>3784</v>
      </c>
      <c r="Q262" s="4">
        <v>633</v>
      </c>
    </row>
    <row r="263" spans="1:29" ht="13.2" x14ac:dyDescent="0.25">
      <c r="A263" s="15">
        <v>44152</v>
      </c>
      <c r="B263" s="4">
        <v>8</v>
      </c>
      <c r="C263" s="38">
        <v>44152.333333333336</v>
      </c>
      <c r="D263" s="4">
        <v>120671</v>
      </c>
      <c r="E263" s="4">
        <v>111096</v>
      </c>
      <c r="F263" s="4">
        <v>2459</v>
      </c>
      <c r="G263" s="4">
        <v>4355</v>
      </c>
      <c r="H263" s="4">
        <v>2761</v>
      </c>
      <c r="L263" s="4">
        <v>1038</v>
      </c>
      <c r="M263" s="4">
        <v>7116</v>
      </c>
      <c r="N263" s="4">
        <v>875</v>
      </c>
      <c r="O263" s="4">
        <v>2652</v>
      </c>
      <c r="P263" s="4">
        <v>3732</v>
      </c>
      <c r="Q263" s="4">
        <v>732</v>
      </c>
    </row>
    <row r="264" spans="1:29" ht="13.2" x14ac:dyDescent="0.25">
      <c r="A264" s="15">
        <v>44153</v>
      </c>
      <c r="B264" s="4">
        <v>8</v>
      </c>
      <c r="C264" s="38">
        <v>44153.333333333336</v>
      </c>
      <c r="D264" s="4">
        <v>121818</v>
      </c>
      <c r="E264" s="4">
        <v>111948</v>
      </c>
      <c r="F264" s="4">
        <v>2470</v>
      </c>
      <c r="G264" s="4">
        <v>4619</v>
      </c>
      <c r="H264" s="4">
        <v>2781</v>
      </c>
      <c r="L264" s="4">
        <v>1147</v>
      </c>
      <c r="M264" s="4">
        <v>7400</v>
      </c>
      <c r="N264" s="4">
        <v>852</v>
      </c>
      <c r="O264" s="4">
        <v>2325</v>
      </c>
      <c r="P264" s="4">
        <v>3757</v>
      </c>
      <c r="Q264" s="4">
        <v>1318</v>
      </c>
    </row>
    <row r="265" spans="1:29" ht="13.2" x14ac:dyDescent="0.25">
      <c r="A265" s="15">
        <v>44154</v>
      </c>
      <c r="B265" s="4">
        <v>8</v>
      </c>
      <c r="C265" s="38">
        <v>44154.333333333336</v>
      </c>
      <c r="D265" s="4">
        <v>123003</v>
      </c>
      <c r="E265" s="4">
        <v>112833</v>
      </c>
      <c r="F265" s="4">
        <v>2484</v>
      </c>
      <c r="G265" s="4">
        <v>4633</v>
      </c>
      <c r="H265" s="4">
        <v>3053</v>
      </c>
      <c r="L265" s="4">
        <v>1185</v>
      </c>
      <c r="M265" s="4">
        <v>7686</v>
      </c>
      <c r="N265" s="4">
        <v>885</v>
      </c>
      <c r="O265" s="4">
        <v>2788</v>
      </c>
      <c r="P265" s="4">
        <v>4099</v>
      </c>
      <c r="Q265" s="4">
        <v>799</v>
      </c>
    </row>
    <row r="266" spans="1:29" ht="15.75" customHeight="1" x14ac:dyDescent="0.3">
      <c r="A266" s="15">
        <v>44155</v>
      </c>
      <c r="B266" s="19">
        <v>8</v>
      </c>
      <c r="C266" s="38">
        <v>44155.333333333336</v>
      </c>
      <c r="D266" s="19">
        <v>124243</v>
      </c>
      <c r="E266" s="19">
        <v>113739</v>
      </c>
      <c r="F266" s="19">
        <v>2501</v>
      </c>
      <c r="G266" s="19">
        <v>4616</v>
      </c>
      <c r="H266" s="19">
        <v>3387</v>
      </c>
      <c r="I266" s="32"/>
      <c r="J266" s="32"/>
      <c r="K266" s="32"/>
      <c r="L266" s="10">
        <v>1240</v>
      </c>
      <c r="M266" s="10">
        <v>8003</v>
      </c>
      <c r="N266" s="10">
        <v>906</v>
      </c>
      <c r="O266" s="19">
        <v>3024</v>
      </c>
      <c r="P266" s="19">
        <v>4198</v>
      </c>
      <c r="Q266" s="10">
        <v>781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 spans="1:29" ht="13.2" x14ac:dyDescent="0.25">
      <c r="A267" s="15">
        <v>44156</v>
      </c>
      <c r="B267" s="4">
        <v>8</v>
      </c>
      <c r="C267" s="38">
        <v>44156.333333333336</v>
      </c>
      <c r="D267" s="4">
        <v>125822</v>
      </c>
      <c r="E267" s="4">
        <v>114863</v>
      </c>
      <c r="F267" s="4">
        <v>2515</v>
      </c>
      <c r="G267" s="4">
        <v>5323</v>
      </c>
      <c r="H267" s="4">
        <v>3121</v>
      </c>
      <c r="L267" s="4">
        <v>1579</v>
      </c>
      <c r="M267" s="4">
        <v>8444</v>
      </c>
      <c r="N267" s="4">
        <v>1124</v>
      </c>
      <c r="O267" s="4">
        <v>3160</v>
      </c>
      <c r="P267" s="4">
        <v>4255</v>
      </c>
      <c r="Q267" s="4">
        <v>1029</v>
      </c>
    </row>
    <row r="268" spans="1:29" ht="15.75" customHeight="1" x14ac:dyDescent="0.3">
      <c r="A268" s="15">
        <v>44157</v>
      </c>
      <c r="B268" s="19">
        <v>8</v>
      </c>
      <c r="C268" s="38">
        <v>44157.333333333336</v>
      </c>
      <c r="D268" s="19">
        <v>127164</v>
      </c>
      <c r="E268" s="19">
        <v>115939</v>
      </c>
      <c r="F268" s="19">
        <v>2531</v>
      </c>
      <c r="G268" s="19">
        <v>5529</v>
      </c>
      <c r="H268" s="19">
        <v>3165</v>
      </c>
      <c r="I268" s="32"/>
      <c r="J268" s="32"/>
      <c r="K268" s="32"/>
      <c r="L268" s="10">
        <v>1342</v>
      </c>
      <c r="M268" s="10">
        <v>8694</v>
      </c>
      <c r="N268" s="10">
        <v>1076</v>
      </c>
      <c r="O268" s="19">
        <v>3322</v>
      </c>
      <c r="P268" s="19">
        <v>4550</v>
      </c>
      <c r="Q268" s="10">
        <v>822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 spans="1:29" ht="13.2" x14ac:dyDescent="0.25">
      <c r="A269" s="15">
        <v>44158</v>
      </c>
      <c r="B269" s="4">
        <v>8</v>
      </c>
      <c r="C269" s="38">
        <v>44158.333333333336</v>
      </c>
      <c r="D269" s="4">
        <v>128173</v>
      </c>
      <c r="E269" s="4">
        <v>117003</v>
      </c>
      <c r="F269" s="4">
        <v>2548</v>
      </c>
      <c r="G269" s="4">
        <v>5592</v>
      </c>
      <c r="H269" s="4">
        <v>3030</v>
      </c>
      <c r="L269" s="4">
        <v>1009</v>
      </c>
      <c r="M269" s="4">
        <v>8622</v>
      </c>
      <c r="N269" s="4">
        <v>1064</v>
      </c>
      <c r="O269" s="4">
        <v>2816</v>
      </c>
      <c r="P269" s="4">
        <v>4185</v>
      </c>
      <c r="Q269" s="4">
        <v>1621</v>
      </c>
    </row>
    <row r="270" spans="1:29" ht="15.75" customHeight="1" x14ac:dyDescent="0.3">
      <c r="A270" s="15">
        <v>44159</v>
      </c>
      <c r="B270" s="19">
        <v>8</v>
      </c>
      <c r="C270" s="38">
        <v>44159.333333333336</v>
      </c>
      <c r="D270" s="19">
        <v>129188</v>
      </c>
      <c r="E270" s="19">
        <v>118062</v>
      </c>
      <c r="F270" s="19">
        <v>2567</v>
      </c>
      <c r="G270" s="19">
        <v>5518</v>
      </c>
      <c r="H270" s="19">
        <v>3041</v>
      </c>
      <c r="I270" s="32"/>
      <c r="J270" s="32"/>
      <c r="K270" s="32"/>
      <c r="L270" s="10">
        <v>1015</v>
      </c>
      <c r="M270" s="10">
        <v>8559</v>
      </c>
      <c r="N270" s="10">
        <v>1059</v>
      </c>
      <c r="O270" s="19">
        <v>3438</v>
      </c>
      <c r="P270" s="19">
        <v>4556</v>
      </c>
      <c r="Q270" s="10">
        <v>565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 spans="1:29" ht="13.2" x14ac:dyDescent="0.25">
      <c r="A271" s="15">
        <v>44160</v>
      </c>
      <c r="B271" s="4">
        <v>8</v>
      </c>
      <c r="C271" s="38">
        <v>44160.333333333336</v>
      </c>
      <c r="D271" s="4">
        <v>130461</v>
      </c>
      <c r="E271" s="4">
        <v>119099</v>
      </c>
      <c r="F271" s="4">
        <v>2584</v>
      </c>
      <c r="G271" s="4">
        <v>6000</v>
      </c>
      <c r="H271" s="4">
        <v>2778</v>
      </c>
      <c r="L271" s="4">
        <v>1273</v>
      </c>
      <c r="M271" s="4">
        <v>8778</v>
      </c>
      <c r="N271" s="4">
        <v>1037</v>
      </c>
      <c r="O271" s="4">
        <v>3527</v>
      </c>
      <c r="P271" s="4">
        <v>4520</v>
      </c>
      <c r="Q271" s="4">
        <v>731</v>
      </c>
    </row>
    <row r="272" spans="1:29" ht="13.2" x14ac:dyDescent="0.25">
      <c r="A272" s="15">
        <v>44161</v>
      </c>
      <c r="B272" s="4">
        <v>8</v>
      </c>
      <c r="C272" s="38">
        <v>44161.333333333336</v>
      </c>
      <c r="D272" s="4">
        <v>131525</v>
      </c>
      <c r="E272" s="4">
        <v>120287</v>
      </c>
      <c r="F272" s="4">
        <v>2597</v>
      </c>
      <c r="G272" s="4">
        <v>5876</v>
      </c>
      <c r="H272" s="4">
        <v>2765</v>
      </c>
      <c r="L272" s="4">
        <v>1064</v>
      </c>
      <c r="M272" s="4">
        <v>8641</v>
      </c>
      <c r="N272" s="4">
        <v>1188</v>
      </c>
      <c r="O272" s="4">
        <v>3710</v>
      </c>
      <c r="P272" s="4">
        <v>4292</v>
      </c>
      <c r="Q272" s="4">
        <v>639</v>
      </c>
    </row>
    <row r="273" spans="1:29" ht="15.75" customHeight="1" x14ac:dyDescent="0.3">
      <c r="A273" s="15">
        <v>44162</v>
      </c>
      <c r="B273" s="19">
        <v>8</v>
      </c>
      <c r="C273" s="38">
        <v>44162.333333333336</v>
      </c>
      <c r="D273" s="19">
        <v>132961</v>
      </c>
      <c r="E273" s="19">
        <v>121082</v>
      </c>
      <c r="F273" s="19">
        <v>2614</v>
      </c>
      <c r="G273" s="19">
        <v>6653</v>
      </c>
      <c r="H273" s="19">
        <v>2612</v>
      </c>
      <c r="I273" s="32"/>
      <c r="J273" s="32"/>
      <c r="K273" s="32"/>
      <c r="L273" s="10">
        <v>1436</v>
      </c>
      <c r="M273" s="10">
        <v>9265</v>
      </c>
      <c r="N273" s="10">
        <v>795</v>
      </c>
      <c r="O273" s="19">
        <v>3711</v>
      </c>
      <c r="P273" s="19">
        <v>4647</v>
      </c>
      <c r="Q273" s="10">
        <v>907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 spans="1:29" ht="15.75" customHeight="1" x14ac:dyDescent="0.3">
      <c r="A274" s="15">
        <v>44163</v>
      </c>
      <c r="B274" s="19">
        <v>8</v>
      </c>
      <c r="C274" s="38">
        <v>44163.333333333336</v>
      </c>
      <c r="D274" s="19">
        <v>134331</v>
      </c>
      <c r="E274" s="19">
        <v>122328</v>
      </c>
      <c r="F274" s="19">
        <v>2632</v>
      </c>
      <c r="G274" s="19">
        <v>6921</v>
      </c>
      <c r="H274" s="19">
        <v>2450</v>
      </c>
      <c r="I274" s="32"/>
      <c r="J274" s="32"/>
      <c r="K274" s="32"/>
      <c r="L274" s="10">
        <v>1370</v>
      </c>
      <c r="M274" s="10">
        <v>9371</v>
      </c>
      <c r="N274" s="10">
        <v>1246</v>
      </c>
      <c r="O274" s="19">
        <v>3938</v>
      </c>
      <c r="P274" s="19">
        <v>4524</v>
      </c>
      <c r="Q274" s="10">
        <v>909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 spans="1:29" ht="13.2" x14ac:dyDescent="0.25">
      <c r="A275" s="15">
        <v>44164</v>
      </c>
      <c r="B275" s="4">
        <v>8</v>
      </c>
      <c r="C275" s="38">
        <v>44164.333333333336</v>
      </c>
      <c r="D275" s="4">
        <v>135762</v>
      </c>
      <c r="E275" s="4">
        <v>123163</v>
      </c>
      <c r="F275" s="4">
        <v>2652</v>
      </c>
      <c r="G275" s="4">
        <v>7608</v>
      </c>
      <c r="H275" s="4">
        <v>2339</v>
      </c>
      <c r="L275" s="4">
        <v>1431</v>
      </c>
      <c r="M275" s="4">
        <v>9947</v>
      </c>
      <c r="N275" s="4">
        <v>835</v>
      </c>
      <c r="O275" s="4">
        <v>3536</v>
      </c>
      <c r="P275" s="4">
        <v>4544</v>
      </c>
      <c r="Q275" s="4">
        <v>1867</v>
      </c>
    </row>
    <row r="276" spans="1:29" ht="13.2" x14ac:dyDescent="0.25">
      <c r="A276" s="15">
        <v>44165</v>
      </c>
      <c r="B276" s="19">
        <v>8</v>
      </c>
      <c r="C276" s="38">
        <v>44165.333333333336</v>
      </c>
      <c r="D276" s="4">
        <v>136861</v>
      </c>
      <c r="E276" s="4">
        <v>124078</v>
      </c>
      <c r="F276" s="4">
        <v>2671</v>
      </c>
      <c r="G276" s="4">
        <v>7823</v>
      </c>
      <c r="H276" s="4">
        <v>2289</v>
      </c>
      <c r="L276" s="4">
        <v>1099</v>
      </c>
      <c r="M276" s="4">
        <v>10112</v>
      </c>
      <c r="N276" s="4">
        <v>915</v>
      </c>
      <c r="O276" s="4">
        <v>4307</v>
      </c>
      <c r="P276" s="4">
        <v>5027</v>
      </c>
      <c r="Q276" s="4">
        <v>778</v>
      </c>
    </row>
    <row r="277" spans="1:29" ht="13.2" x14ac:dyDescent="0.25">
      <c r="A277" s="15">
        <v>44166</v>
      </c>
      <c r="B277" s="4">
        <v>8</v>
      </c>
      <c r="C277" s="38">
        <v>44166.333333333336</v>
      </c>
      <c r="D277" s="4">
        <v>137919</v>
      </c>
      <c r="E277" s="4">
        <v>125102</v>
      </c>
      <c r="F277" s="4">
        <v>2689</v>
      </c>
      <c r="G277" s="4">
        <v>7937</v>
      </c>
      <c r="H277" s="4">
        <v>2191</v>
      </c>
      <c r="L277" s="4">
        <v>1058</v>
      </c>
      <c r="M277" s="4">
        <v>10128</v>
      </c>
      <c r="N277" s="4">
        <v>1024</v>
      </c>
      <c r="O277" s="4">
        <v>2655</v>
      </c>
      <c r="P277" s="4">
        <v>5973</v>
      </c>
      <c r="Q277" s="4">
        <v>1500</v>
      </c>
    </row>
    <row r="278" spans="1:29" ht="13.2" x14ac:dyDescent="0.25">
      <c r="A278" s="15">
        <v>44167</v>
      </c>
      <c r="B278" s="4">
        <v>8</v>
      </c>
      <c r="C278" s="38">
        <v>44167.333333333336</v>
      </c>
      <c r="D278" s="4">
        <v>139085</v>
      </c>
      <c r="E278" s="4">
        <v>126163</v>
      </c>
      <c r="F278" s="4">
        <v>2710</v>
      </c>
      <c r="G278" s="4">
        <v>8202</v>
      </c>
      <c r="H278" s="4">
        <v>2010</v>
      </c>
      <c r="L278" s="4">
        <v>1166</v>
      </c>
      <c r="M278" s="4">
        <v>10212</v>
      </c>
      <c r="N278" s="4">
        <v>1061</v>
      </c>
      <c r="O278" s="4">
        <v>1067</v>
      </c>
      <c r="P278" s="4">
        <v>8586</v>
      </c>
      <c r="Q278" s="4">
        <v>559</v>
      </c>
    </row>
    <row r="279" spans="1:29" ht="13.2" x14ac:dyDescent="0.25">
      <c r="A279" s="15">
        <v>44168</v>
      </c>
      <c r="B279" s="4">
        <v>8</v>
      </c>
      <c r="C279" s="38">
        <v>44168.333333333336</v>
      </c>
      <c r="D279" s="4">
        <v>140238</v>
      </c>
      <c r="E279" s="4">
        <v>127136</v>
      </c>
      <c r="F279" s="4">
        <v>2734</v>
      </c>
      <c r="G279" s="4">
        <v>8155</v>
      </c>
      <c r="H279" s="4">
        <v>2213</v>
      </c>
      <c r="L279" s="4">
        <v>1153</v>
      </c>
      <c r="M279" s="4">
        <v>10368</v>
      </c>
      <c r="N279" s="4">
        <v>973</v>
      </c>
      <c r="O279" s="4">
        <v>1542</v>
      </c>
      <c r="P279" s="4">
        <v>8082</v>
      </c>
      <c r="Q279" s="4">
        <v>744</v>
      </c>
    </row>
    <row r="280" spans="1:29" ht="15.75" customHeight="1" x14ac:dyDescent="0.3">
      <c r="A280" s="15">
        <v>44169</v>
      </c>
      <c r="B280" s="19">
        <v>8</v>
      </c>
      <c r="C280" s="38">
        <v>44169.333333333336</v>
      </c>
      <c r="D280" s="19">
        <v>141270</v>
      </c>
      <c r="E280" s="19">
        <v>128051</v>
      </c>
      <c r="F280" s="19">
        <v>2757</v>
      </c>
      <c r="G280" s="19">
        <v>8073</v>
      </c>
      <c r="H280" s="19">
        <v>2389</v>
      </c>
      <c r="I280" s="32"/>
      <c r="J280" s="32"/>
      <c r="K280" s="32"/>
      <c r="L280" s="10">
        <v>1032</v>
      </c>
      <c r="M280" s="10">
        <v>10462</v>
      </c>
      <c r="N280" s="10">
        <v>915</v>
      </c>
      <c r="O280" s="19">
        <v>2094</v>
      </c>
      <c r="P280" s="19">
        <v>7764</v>
      </c>
      <c r="Q280" s="10">
        <v>604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 spans="1:29" ht="15.75" customHeight="1" x14ac:dyDescent="0.3">
      <c r="A281" s="15">
        <v>44170</v>
      </c>
      <c r="B281" s="19">
        <v>8</v>
      </c>
      <c r="C281" s="38">
        <v>44170.333333333336</v>
      </c>
      <c r="D281" s="19">
        <v>142630</v>
      </c>
      <c r="E281" s="19">
        <v>129067</v>
      </c>
      <c r="F281" s="19">
        <v>2779</v>
      </c>
      <c r="G281" s="19">
        <v>8623</v>
      </c>
      <c r="H281" s="19">
        <v>2161</v>
      </c>
      <c r="I281" s="32"/>
      <c r="J281" s="32"/>
      <c r="K281" s="32"/>
      <c r="L281" s="10">
        <v>1360</v>
      </c>
      <c r="M281" s="10">
        <v>10784</v>
      </c>
      <c r="N281" s="10">
        <v>1016</v>
      </c>
      <c r="O281" s="19">
        <v>2622</v>
      </c>
      <c r="P281" s="19">
        <v>7195</v>
      </c>
      <c r="Q281" s="10">
        <v>967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 spans="1:29" ht="13.2" x14ac:dyDescent="0.25">
      <c r="A282" s="15">
        <v>44171</v>
      </c>
      <c r="B282" s="4">
        <v>8</v>
      </c>
      <c r="C282" s="38">
        <v>44171.333333333336</v>
      </c>
      <c r="D282" s="4">
        <v>143961</v>
      </c>
      <c r="E282" s="4">
        <v>130136</v>
      </c>
      <c r="F282" s="4">
        <v>2799</v>
      </c>
      <c r="G282" s="4">
        <v>8819</v>
      </c>
      <c r="H282" s="4">
        <v>2207</v>
      </c>
      <c r="L282" s="4">
        <v>1331</v>
      </c>
      <c r="M282" s="4">
        <v>11026</v>
      </c>
      <c r="N282" s="4">
        <v>1069</v>
      </c>
      <c r="O282" s="4">
        <v>2622</v>
      </c>
      <c r="P282" s="4">
        <v>6359</v>
      </c>
      <c r="Q282" s="4">
        <v>2045</v>
      </c>
    </row>
    <row r="283" spans="1:29" ht="13.2" x14ac:dyDescent="0.25">
      <c r="A283" s="15">
        <v>44172</v>
      </c>
      <c r="B283" s="19">
        <v>8</v>
      </c>
      <c r="C283" s="38">
        <v>44172.333333333336</v>
      </c>
      <c r="D283" s="4">
        <v>145427</v>
      </c>
      <c r="E283" s="4">
        <v>131071</v>
      </c>
      <c r="F283" s="4">
        <v>2823</v>
      </c>
      <c r="G283" s="4">
        <v>9473</v>
      </c>
      <c r="H283" s="4">
        <v>2060</v>
      </c>
      <c r="L283" s="4">
        <v>1466</v>
      </c>
      <c r="M283" s="4">
        <v>11533</v>
      </c>
      <c r="N283" s="4">
        <v>935</v>
      </c>
      <c r="O283" s="4">
        <v>4058</v>
      </c>
      <c r="P283" s="4">
        <v>6696</v>
      </c>
      <c r="Q283" s="4">
        <v>779</v>
      </c>
    </row>
    <row r="284" spans="1:29" ht="13.2" x14ac:dyDescent="0.25">
      <c r="A284" s="15">
        <v>44173</v>
      </c>
      <c r="B284" s="4">
        <v>8</v>
      </c>
      <c r="C284" s="38">
        <v>44173.333333333336</v>
      </c>
      <c r="D284" s="4">
        <v>146601</v>
      </c>
      <c r="E284" s="4">
        <v>132248</v>
      </c>
      <c r="F284" s="4">
        <v>2842</v>
      </c>
      <c r="G284" s="4">
        <v>9650</v>
      </c>
      <c r="H284" s="4">
        <v>1861</v>
      </c>
      <c r="L284" s="4">
        <v>1174</v>
      </c>
      <c r="M284" s="4">
        <v>11511</v>
      </c>
      <c r="N284" s="4">
        <v>1177</v>
      </c>
      <c r="O284" s="4">
        <v>4550</v>
      </c>
      <c r="P284" s="4">
        <v>6276</v>
      </c>
      <c r="Q284" s="4">
        <v>685</v>
      </c>
    </row>
    <row r="285" spans="1:29" ht="15.75" customHeight="1" x14ac:dyDescent="0.3">
      <c r="A285" s="15">
        <v>44174</v>
      </c>
      <c r="B285" s="19">
        <v>8</v>
      </c>
      <c r="C285" s="38">
        <v>44174.333333333336</v>
      </c>
      <c r="D285" s="19">
        <v>147838</v>
      </c>
      <c r="E285" s="19">
        <v>133318</v>
      </c>
      <c r="F285" s="19">
        <v>2860</v>
      </c>
      <c r="G285" s="19">
        <v>9703</v>
      </c>
      <c r="H285" s="19">
        <v>1957</v>
      </c>
      <c r="I285" s="32"/>
      <c r="J285" s="32"/>
      <c r="K285" s="32"/>
      <c r="L285" s="10">
        <v>1237</v>
      </c>
      <c r="M285" s="10">
        <v>11660</v>
      </c>
      <c r="N285" s="10">
        <v>1070</v>
      </c>
      <c r="O285" s="19">
        <v>5308</v>
      </c>
      <c r="P285" s="19">
        <v>6015</v>
      </c>
      <c r="Q285" s="10">
        <v>337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 spans="1:29" ht="13.2" x14ac:dyDescent="0.25">
      <c r="A286" s="15">
        <v>44175</v>
      </c>
      <c r="B286" s="4">
        <v>8</v>
      </c>
      <c r="C286" s="38">
        <v>44175.333333333336</v>
      </c>
      <c r="D286" s="4">
        <v>149018</v>
      </c>
      <c r="E286" s="4">
        <v>134366</v>
      </c>
      <c r="F286" s="4">
        <v>2880</v>
      </c>
      <c r="G286" s="4">
        <v>9391</v>
      </c>
      <c r="H286" s="4">
        <v>2381</v>
      </c>
      <c r="L286" s="4">
        <v>1180</v>
      </c>
      <c r="M286" s="4">
        <v>11772</v>
      </c>
      <c r="N286" s="4">
        <v>1048</v>
      </c>
      <c r="O286" s="4">
        <v>4801</v>
      </c>
      <c r="P286" s="4">
        <v>5773</v>
      </c>
      <c r="Q286" s="4">
        <v>1198</v>
      </c>
    </row>
    <row r="287" spans="1:29" ht="15.75" customHeight="1" x14ac:dyDescent="0.3">
      <c r="A287" s="15">
        <v>44176</v>
      </c>
      <c r="B287" s="19">
        <v>8</v>
      </c>
      <c r="C287" s="38">
        <v>44176.333333333336</v>
      </c>
      <c r="D287" s="19">
        <v>150250</v>
      </c>
      <c r="E287" s="19">
        <v>135545</v>
      </c>
      <c r="F287" s="19">
        <v>2902</v>
      </c>
      <c r="G287" s="19">
        <v>9078</v>
      </c>
      <c r="H287" s="19">
        <v>2725</v>
      </c>
      <c r="I287" s="32"/>
      <c r="J287" s="32"/>
      <c r="K287" s="32"/>
      <c r="L287" s="10">
        <v>1232</v>
      </c>
      <c r="M287" s="10">
        <v>11803</v>
      </c>
      <c r="N287" s="10">
        <v>1179</v>
      </c>
      <c r="O287" s="19">
        <v>5016</v>
      </c>
      <c r="P287" s="19">
        <v>5939</v>
      </c>
      <c r="Q287" s="10">
        <v>848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 spans="1:29" ht="13.2" x14ac:dyDescent="0.25">
      <c r="A288" s="15">
        <v>44177</v>
      </c>
      <c r="B288" s="4">
        <v>8</v>
      </c>
      <c r="C288" s="38">
        <v>44177.333333333336</v>
      </c>
      <c r="D288" s="4">
        <v>151201</v>
      </c>
      <c r="E288" s="4">
        <v>136489</v>
      </c>
      <c r="F288" s="4">
        <v>2922</v>
      </c>
      <c r="G288" s="4">
        <v>8822</v>
      </c>
      <c r="H288" s="4">
        <v>2968</v>
      </c>
      <c r="L288" s="4">
        <v>951</v>
      </c>
      <c r="M288" s="4">
        <v>11790</v>
      </c>
      <c r="N288" s="4">
        <v>944</v>
      </c>
      <c r="O288" s="4">
        <v>5189</v>
      </c>
      <c r="P288" s="4">
        <v>5782</v>
      </c>
      <c r="Q288" s="4">
        <v>819</v>
      </c>
    </row>
    <row r="289" spans="1:29" ht="15.75" customHeight="1" x14ac:dyDescent="0.3">
      <c r="A289" s="15">
        <v>44178</v>
      </c>
      <c r="B289" s="19">
        <v>8</v>
      </c>
      <c r="C289" s="38">
        <v>44178.333333333336</v>
      </c>
      <c r="D289" s="10">
        <v>152499</v>
      </c>
      <c r="E289" s="10">
        <v>137605</v>
      </c>
      <c r="F289" s="19">
        <v>2941</v>
      </c>
      <c r="G289" s="19">
        <v>8679</v>
      </c>
      <c r="H289" s="19">
        <v>3274</v>
      </c>
      <c r="I289" s="32"/>
      <c r="J289" s="32"/>
      <c r="K289" s="32"/>
      <c r="L289" s="10">
        <v>1298</v>
      </c>
      <c r="M289" s="10">
        <v>11953</v>
      </c>
      <c r="N289" s="10">
        <v>1116</v>
      </c>
      <c r="O289" s="19">
        <v>4585</v>
      </c>
      <c r="P289" s="19">
        <v>5653</v>
      </c>
      <c r="Q289" s="10">
        <v>1715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 spans="1:29" ht="13.2" x14ac:dyDescent="0.25">
      <c r="A290" s="15">
        <v>44179</v>
      </c>
      <c r="B290" s="4">
        <v>8</v>
      </c>
      <c r="C290" s="38">
        <v>44179.333333333336</v>
      </c>
      <c r="D290" s="4">
        <v>154065</v>
      </c>
      <c r="E290" s="4">
        <v>138988</v>
      </c>
      <c r="F290" s="4">
        <v>2963</v>
      </c>
      <c r="G290" s="4">
        <v>8994</v>
      </c>
      <c r="H290" s="4">
        <v>3120</v>
      </c>
      <c r="L290" s="4">
        <v>1566</v>
      </c>
      <c r="M290" s="4">
        <v>12114</v>
      </c>
      <c r="N290" s="4">
        <v>1383</v>
      </c>
      <c r="O290" s="4">
        <v>3776</v>
      </c>
      <c r="P290" s="4">
        <v>5697</v>
      </c>
      <c r="Q290" s="4">
        <v>2641</v>
      </c>
    </row>
    <row r="291" spans="1:29" ht="13.2" x14ac:dyDescent="0.25">
      <c r="A291" s="15">
        <v>44180</v>
      </c>
      <c r="B291" s="4">
        <v>8</v>
      </c>
      <c r="C291" s="38">
        <v>44180.333333333336</v>
      </c>
      <c r="D291" s="4">
        <v>155122</v>
      </c>
      <c r="E291" s="4">
        <v>140225</v>
      </c>
      <c r="F291" s="4">
        <v>2990</v>
      </c>
      <c r="G291" s="4">
        <v>8643</v>
      </c>
      <c r="H291" s="4">
        <v>3264</v>
      </c>
      <c r="L291" s="4">
        <v>1057</v>
      </c>
      <c r="M291" s="4">
        <v>11907</v>
      </c>
      <c r="N291" s="4">
        <v>1237</v>
      </c>
      <c r="O291" s="4">
        <v>5008</v>
      </c>
      <c r="P291" s="4">
        <v>6217</v>
      </c>
      <c r="Q291" s="4">
        <v>682</v>
      </c>
    </row>
    <row r="292" spans="1:29" ht="13.2" x14ac:dyDescent="0.25">
      <c r="A292" s="15">
        <v>44181</v>
      </c>
      <c r="B292" s="4">
        <v>8</v>
      </c>
      <c r="C292" s="38">
        <v>44181.333333333336</v>
      </c>
      <c r="D292" s="4">
        <v>156343</v>
      </c>
      <c r="E292" s="4">
        <v>141365</v>
      </c>
      <c r="F292" s="4">
        <v>3010</v>
      </c>
      <c r="G292" s="4">
        <v>8263</v>
      </c>
      <c r="H292" s="4">
        <v>3705</v>
      </c>
      <c r="L292" s="4">
        <v>1221</v>
      </c>
      <c r="M292" s="4">
        <v>11968</v>
      </c>
      <c r="N292" s="4">
        <v>1140</v>
      </c>
      <c r="O292" s="4">
        <v>5054</v>
      </c>
      <c r="P292" s="4">
        <v>6224</v>
      </c>
      <c r="Q292" s="4">
        <v>690</v>
      </c>
    </row>
    <row r="293" spans="1:29" ht="13.2" x14ac:dyDescent="0.25">
      <c r="A293" s="15">
        <v>44182</v>
      </c>
      <c r="B293" s="4">
        <v>8</v>
      </c>
      <c r="C293" s="38">
        <v>44182.333333333336</v>
      </c>
      <c r="D293" s="4">
        <v>158033</v>
      </c>
      <c r="E293" s="4">
        <v>142741</v>
      </c>
      <c r="F293" s="4">
        <v>3027</v>
      </c>
      <c r="G293" s="4">
        <v>7851</v>
      </c>
      <c r="H293" s="4">
        <v>4414</v>
      </c>
      <c r="L293" s="4">
        <v>1690</v>
      </c>
      <c r="M293" s="4">
        <v>12265</v>
      </c>
      <c r="N293" s="4">
        <v>1376</v>
      </c>
      <c r="O293" s="4">
        <v>5082</v>
      </c>
      <c r="P293" s="4">
        <v>5985</v>
      </c>
      <c r="Q293" s="4">
        <v>1198</v>
      </c>
    </row>
    <row r="294" spans="1:29" ht="15.75" customHeight="1" x14ac:dyDescent="0.3">
      <c r="A294" s="15">
        <v>44183</v>
      </c>
      <c r="B294" s="19">
        <v>8</v>
      </c>
      <c r="C294" s="38">
        <v>44183.333333333336</v>
      </c>
      <c r="D294" s="19">
        <v>159620</v>
      </c>
      <c r="E294" s="19">
        <v>143959</v>
      </c>
      <c r="F294" s="19">
        <v>3048</v>
      </c>
      <c r="G294" s="19">
        <v>7673</v>
      </c>
      <c r="H294" s="19">
        <v>4940</v>
      </c>
      <c r="I294" s="32"/>
      <c r="J294" s="32"/>
      <c r="K294" s="32"/>
      <c r="L294" s="10">
        <v>1587</v>
      </c>
      <c r="M294" s="10">
        <v>12613</v>
      </c>
      <c r="N294" s="10">
        <v>1218</v>
      </c>
      <c r="O294" s="19">
        <v>4568</v>
      </c>
      <c r="P294" s="19">
        <v>5792</v>
      </c>
      <c r="Q294" s="10">
        <v>2253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 spans="1:29" ht="15.75" customHeight="1" x14ac:dyDescent="0.3">
      <c r="A295" s="15">
        <v>44184</v>
      </c>
      <c r="B295" s="19">
        <v>8</v>
      </c>
      <c r="C295" s="38">
        <v>44184.333333333336</v>
      </c>
      <c r="D295" s="19">
        <v>161519</v>
      </c>
      <c r="E295" s="19">
        <v>145066</v>
      </c>
      <c r="F295" s="19">
        <v>3068</v>
      </c>
      <c r="G295" s="19">
        <v>8112</v>
      </c>
      <c r="H295" s="19">
        <v>5273</v>
      </c>
      <c r="I295" s="32"/>
      <c r="J295" s="32"/>
      <c r="K295" s="32"/>
      <c r="L295" s="10">
        <v>1899</v>
      </c>
      <c r="M295" s="10">
        <v>13385</v>
      </c>
      <c r="N295" s="10">
        <v>1107</v>
      </c>
      <c r="O295" s="19">
        <v>5825</v>
      </c>
      <c r="P295" s="19">
        <v>6099</v>
      </c>
      <c r="Q295" s="10">
        <v>1461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 spans="1:29" ht="13.2" x14ac:dyDescent="0.25">
      <c r="A296" s="15">
        <v>44185</v>
      </c>
      <c r="B296" s="4">
        <v>8</v>
      </c>
      <c r="C296" s="38">
        <v>44185.333333333336</v>
      </c>
      <c r="D296" s="4">
        <v>163111</v>
      </c>
      <c r="E296" s="4">
        <v>146958</v>
      </c>
      <c r="F296" s="4">
        <v>3087</v>
      </c>
      <c r="G296" s="4">
        <v>8057</v>
      </c>
      <c r="H296" s="4">
        <v>5009</v>
      </c>
      <c r="L296" s="4">
        <v>1592</v>
      </c>
      <c r="M296" s="4">
        <v>13066</v>
      </c>
      <c r="N296" s="4">
        <v>1892</v>
      </c>
      <c r="O296" s="4">
        <v>6216</v>
      </c>
      <c r="P296" s="4">
        <v>5831</v>
      </c>
      <c r="Q296" s="4">
        <v>1019</v>
      </c>
    </row>
    <row r="297" spans="1:29" ht="13.2" x14ac:dyDescent="0.25">
      <c r="A297" s="15">
        <v>44186</v>
      </c>
      <c r="B297" s="19">
        <v>8</v>
      </c>
      <c r="C297" s="38">
        <v>44186.333333333336</v>
      </c>
      <c r="D297" s="4">
        <v>164577</v>
      </c>
      <c r="E297" s="4">
        <v>148308</v>
      </c>
      <c r="F297" s="4">
        <v>3097</v>
      </c>
      <c r="G297" s="4">
        <v>8366</v>
      </c>
      <c r="H297" s="4">
        <v>4806</v>
      </c>
      <c r="L297" s="4">
        <v>1466</v>
      </c>
      <c r="M297" s="4">
        <v>13172</v>
      </c>
      <c r="N297" s="4">
        <v>1350</v>
      </c>
      <c r="O297" s="4">
        <v>6200</v>
      </c>
      <c r="P297" s="4">
        <v>6046</v>
      </c>
      <c r="Q297" s="4">
        <v>926</v>
      </c>
    </row>
    <row r="298" spans="1:29" ht="13.2" x14ac:dyDescent="0.25">
      <c r="A298" s="15">
        <v>44187</v>
      </c>
      <c r="B298" s="4">
        <v>8</v>
      </c>
      <c r="C298" s="38">
        <v>44187.333333333336</v>
      </c>
      <c r="D298" s="4">
        <v>165888</v>
      </c>
      <c r="E298" s="4">
        <v>149691</v>
      </c>
      <c r="F298" s="4">
        <v>3115</v>
      </c>
      <c r="G298" s="4">
        <v>8620</v>
      </c>
      <c r="H298" s="4">
        <v>4462</v>
      </c>
      <c r="L298" s="4">
        <v>1311</v>
      </c>
      <c r="M298" s="4">
        <v>13082</v>
      </c>
      <c r="N298" s="4">
        <v>1383</v>
      </c>
      <c r="O298" s="4">
        <v>6119</v>
      </c>
      <c r="P298" s="4">
        <v>6078</v>
      </c>
      <c r="Q298" s="4">
        <v>885</v>
      </c>
    </row>
    <row r="299" spans="1:29" ht="15.75" customHeight="1" x14ac:dyDescent="0.3">
      <c r="A299" s="15">
        <v>44188</v>
      </c>
      <c r="B299" s="19">
        <v>8</v>
      </c>
      <c r="C299" s="38">
        <v>44188.333333333336</v>
      </c>
      <c r="D299" s="10">
        <v>167842</v>
      </c>
      <c r="E299" s="10">
        <v>151122</v>
      </c>
      <c r="F299" s="19">
        <v>3130</v>
      </c>
      <c r="G299" s="19">
        <v>8643</v>
      </c>
      <c r="H299" s="19">
        <v>4947</v>
      </c>
      <c r="I299" s="32"/>
      <c r="J299" s="32"/>
      <c r="K299" s="32"/>
      <c r="L299" s="10">
        <v>1954</v>
      </c>
      <c r="M299" s="10">
        <v>13590</v>
      </c>
      <c r="N299" s="10">
        <v>1431</v>
      </c>
      <c r="O299" s="19">
        <v>6110</v>
      </c>
      <c r="P299" s="19">
        <v>6391</v>
      </c>
      <c r="Q299" s="10">
        <v>1089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 spans="1:29" ht="15.75" customHeight="1" x14ac:dyDescent="0.3">
      <c r="A300" s="15">
        <v>44189</v>
      </c>
      <c r="B300" s="19">
        <v>8</v>
      </c>
      <c r="C300" s="38">
        <v>44189.333333333336</v>
      </c>
      <c r="D300" s="10">
        <v>169775</v>
      </c>
      <c r="E300" s="10">
        <v>152491</v>
      </c>
      <c r="F300" s="19">
        <v>3146</v>
      </c>
      <c r="G300" s="19">
        <v>8833</v>
      </c>
      <c r="H300" s="19">
        <v>5305</v>
      </c>
      <c r="I300" s="32"/>
      <c r="J300" s="32"/>
      <c r="K300" s="32"/>
      <c r="L300" s="10">
        <v>1933</v>
      </c>
      <c r="M300" s="10">
        <v>14138</v>
      </c>
      <c r="N300" s="10">
        <v>1369</v>
      </c>
      <c r="O300" s="19">
        <v>6596</v>
      </c>
      <c r="P300" s="19">
        <v>7011</v>
      </c>
      <c r="Q300" s="10">
        <v>531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 spans="1:29" ht="13.2" x14ac:dyDescent="0.25">
      <c r="A301" s="15">
        <v>44190</v>
      </c>
      <c r="B301" s="4">
        <v>8</v>
      </c>
      <c r="C301" s="38">
        <v>44190.333333333336</v>
      </c>
      <c r="D301" s="4">
        <v>171871</v>
      </c>
      <c r="E301" s="4">
        <v>154242</v>
      </c>
      <c r="F301" s="4">
        <v>3167</v>
      </c>
      <c r="G301" s="4">
        <v>8720</v>
      </c>
      <c r="H301" s="4">
        <v>5742</v>
      </c>
      <c r="L301" s="4">
        <v>2096</v>
      </c>
      <c r="M301" s="4">
        <v>14462</v>
      </c>
      <c r="N301" s="4">
        <v>1751</v>
      </c>
      <c r="O301" s="4">
        <v>6206</v>
      </c>
      <c r="P301" s="4">
        <v>6903</v>
      </c>
      <c r="Q301" s="4">
        <v>1353</v>
      </c>
    </row>
    <row r="302" spans="1:29" ht="13.2" x14ac:dyDescent="0.25">
      <c r="A302" s="15">
        <v>44191</v>
      </c>
      <c r="B302" s="4">
        <v>8</v>
      </c>
      <c r="C302" s="38">
        <v>44191.333333333336</v>
      </c>
      <c r="D302" s="4">
        <v>173929</v>
      </c>
      <c r="E302" s="4">
        <v>156798</v>
      </c>
      <c r="F302" s="4">
        <v>3182</v>
      </c>
      <c r="G302" s="4">
        <v>9439</v>
      </c>
      <c r="H302" s="4">
        <v>4510</v>
      </c>
      <c r="L302" s="4">
        <v>2058</v>
      </c>
      <c r="M302" s="4">
        <v>13949</v>
      </c>
      <c r="N302" s="4">
        <v>2556</v>
      </c>
      <c r="O302" s="4">
        <v>5885</v>
      </c>
      <c r="P302" s="4">
        <v>6691</v>
      </c>
      <c r="Q302" s="4">
        <v>1373</v>
      </c>
    </row>
    <row r="303" spans="1:29" ht="15.75" customHeight="1" x14ac:dyDescent="0.3">
      <c r="A303" s="15">
        <v>44192</v>
      </c>
      <c r="B303" s="19">
        <v>8</v>
      </c>
      <c r="C303" s="38">
        <v>44192.333333333336</v>
      </c>
      <c r="D303" s="19">
        <v>175926</v>
      </c>
      <c r="E303" s="19">
        <v>158615</v>
      </c>
      <c r="F303" s="19">
        <v>3204</v>
      </c>
      <c r="G303" s="19">
        <v>9655</v>
      </c>
      <c r="H303" s="19">
        <v>4452</v>
      </c>
      <c r="I303" s="32"/>
      <c r="J303" s="32"/>
      <c r="K303" s="32"/>
      <c r="L303" s="10">
        <v>1997</v>
      </c>
      <c r="M303" s="10">
        <v>14107</v>
      </c>
      <c r="N303" s="10">
        <v>1817</v>
      </c>
      <c r="O303" s="19">
        <v>4651</v>
      </c>
      <c r="P303" s="19">
        <v>6495</v>
      </c>
      <c r="Q303" s="10">
        <v>2961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 spans="1:29" ht="13.2" x14ac:dyDescent="0.25">
      <c r="A304" s="15">
        <v>44193</v>
      </c>
      <c r="B304" s="4">
        <v>8</v>
      </c>
      <c r="C304" s="38">
        <v>44193.333333333336</v>
      </c>
      <c r="D304" s="4">
        <v>177604</v>
      </c>
      <c r="E304" s="4">
        <v>159878</v>
      </c>
      <c r="F304" s="4">
        <v>3226</v>
      </c>
      <c r="G304" s="4">
        <v>9919</v>
      </c>
      <c r="H304" s="4">
        <v>4581</v>
      </c>
      <c r="L304" s="4">
        <v>1678</v>
      </c>
      <c r="M304" s="4">
        <v>14500</v>
      </c>
      <c r="N304" s="4">
        <v>1263</v>
      </c>
      <c r="O304" s="4">
        <v>4046</v>
      </c>
      <c r="P304" s="4">
        <v>6567</v>
      </c>
      <c r="Q304" s="4">
        <v>3887</v>
      </c>
    </row>
    <row r="305" spans="1:29" ht="13.2" x14ac:dyDescent="0.25">
      <c r="A305" s="15">
        <v>44194</v>
      </c>
      <c r="B305" s="19">
        <v>8</v>
      </c>
      <c r="C305" s="38">
        <v>44194.333333333336</v>
      </c>
      <c r="D305" s="4">
        <v>179660</v>
      </c>
      <c r="E305" s="4">
        <v>161337</v>
      </c>
      <c r="F305" s="4">
        <v>3246</v>
      </c>
      <c r="G305" s="4">
        <v>10018</v>
      </c>
      <c r="H305" s="4">
        <v>5059</v>
      </c>
      <c r="L305" s="4">
        <v>2056</v>
      </c>
      <c r="M305" s="4">
        <v>15077</v>
      </c>
      <c r="N305" s="4">
        <v>1459</v>
      </c>
      <c r="O305" s="4">
        <v>6545</v>
      </c>
      <c r="P305" s="4">
        <v>7026</v>
      </c>
      <c r="Q305" s="4">
        <v>1506</v>
      </c>
    </row>
    <row r="306" spans="1:29" ht="13.2" x14ac:dyDescent="0.25">
      <c r="A306" s="15">
        <v>44195</v>
      </c>
      <c r="B306" s="4">
        <v>8</v>
      </c>
      <c r="C306" s="38">
        <v>44195.333333333336</v>
      </c>
      <c r="D306" s="4">
        <v>181713</v>
      </c>
      <c r="E306" s="4">
        <v>162911</v>
      </c>
      <c r="F306" s="4">
        <v>3266</v>
      </c>
      <c r="G306" s="4">
        <v>9882</v>
      </c>
      <c r="H306" s="4">
        <v>5654</v>
      </c>
      <c r="L306" s="4">
        <v>2053</v>
      </c>
      <c r="M306" s="4">
        <v>15536</v>
      </c>
      <c r="N306" s="4">
        <v>1574</v>
      </c>
      <c r="O306" s="4">
        <v>7010</v>
      </c>
      <c r="P306" s="4">
        <v>7122</v>
      </c>
      <c r="Q306" s="4">
        <v>1404</v>
      </c>
    </row>
    <row r="307" spans="1:29" ht="13.2" x14ac:dyDescent="0.25">
      <c r="A307" s="15">
        <v>44196</v>
      </c>
      <c r="B307" s="4">
        <v>8</v>
      </c>
      <c r="C307" s="38">
        <v>44196.333333333336</v>
      </c>
      <c r="D307" s="4">
        <v>183735</v>
      </c>
      <c r="E307" s="4">
        <v>164881</v>
      </c>
      <c r="F307" s="4">
        <v>3287</v>
      </c>
      <c r="G307" s="4">
        <v>9746</v>
      </c>
      <c r="H307" s="4">
        <v>5821</v>
      </c>
      <c r="L307" s="4">
        <v>2022</v>
      </c>
      <c r="M307" s="4">
        <v>15567</v>
      </c>
      <c r="N307" s="4">
        <v>1970</v>
      </c>
      <c r="O307" s="4">
        <v>6069</v>
      </c>
      <c r="P307" s="4">
        <v>6831</v>
      </c>
      <c r="Q307" s="4">
        <v>2667</v>
      </c>
    </row>
    <row r="308" spans="1:29" ht="15.75" customHeight="1" x14ac:dyDescent="0.3">
      <c r="A308" s="15">
        <v>44197</v>
      </c>
      <c r="B308" s="19">
        <v>8</v>
      </c>
      <c r="C308" s="38">
        <v>44197.333333333336</v>
      </c>
      <c r="D308" s="19">
        <v>185691</v>
      </c>
      <c r="E308" s="19">
        <v>166512</v>
      </c>
      <c r="F308" s="19">
        <v>3308</v>
      </c>
      <c r="G308" s="19">
        <v>10082</v>
      </c>
      <c r="H308" s="19">
        <v>5789</v>
      </c>
      <c r="I308" s="32"/>
      <c r="J308" s="32"/>
      <c r="K308" s="32"/>
      <c r="L308" s="10">
        <v>1956</v>
      </c>
      <c r="M308" s="10">
        <v>15871</v>
      </c>
      <c r="N308" s="10">
        <v>1631</v>
      </c>
      <c r="O308" s="19">
        <v>7785</v>
      </c>
      <c r="P308" s="19">
        <v>6572</v>
      </c>
      <c r="Q308" s="10">
        <v>1514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 spans="1:29" ht="15.75" customHeight="1" x14ac:dyDescent="0.3">
      <c r="A309" s="15">
        <v>44198</v>
      </c>
      <c r="B309" s="19">
        <v>8</v>
      </c>
      <c r="C309" s="38">
        <v>44198.333333333336</v>
      </c>
      <c r="D309" s="10">
        <v>187586</v>
      </c>
      <c r="E309" s="10">
        <v>168781</v>
      </c>
      <c r="F309" s="19">
        <v>3334</v>
      </c>
      <c r="G309" s="19">
        <v>10872</v>
      </c>
      <c r="H309" s="19">
        <v>4599</v>
      </c>
      <c r="I309" s="32"/>
      <c r="J309" s="32"/>
      <c r="K309" s="32"/>
      <c r="L309" s="10">
        <v>1895</v>
      </c>
      <c r="M309" s="10">
        <v>15471</v>
      </c>
      <c r="N309" s="10">
        <v>2269</v>
      </c>
      <c r="O309" s="19">
        <v>8034</v>
      </c>
      <c r="P309" s="19">
        <v>6168</v>
      </c>
      <c r="Q309" s="10">
        <v>1269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 spans="1:29" ht="13.2" x14ac:dyDescent="0.25">
      <c r="A310" s="15">
        <v>44199</v>
      </c>
      <c r="B310" s="4">
        <v>8</v>
      </c>
      <c r="C310" s="38">
        <v>44199.333333333336</v>
      </c>
      <c r="D310" s="4">
        <v>189243</v>
      </c>
      <c r="E310" s="4">
        <v>170510</v>
      </c>
      <c r="F310" s="4">
        <v>3345</v>
      </c>
      <c r="G310" s="4">
        <v>10978</v>
      </c>
      <c r="H310" s="4">
        <v>4410</v>
      </c>
      <c r="L310" s="4">
        <v>1657</v>
      </c>
      <c r="M310" s="4">
        <v>15388</v>
      </c>
      <c r="N310" s="4">
        <v>1729</v>
      </c>
      <c r="O310" s="4">
        <v>8035</v>
      </c>
      <c r="P310" s="4">
        <v>6104</v>
      </c>
      <c r="Q310" s="4">
        <v>1249</v>
      </c>
    </row>
    <row r="311" spans="1:29" ht="13.2" x14ac:dyDescent="0.25">
      <c r="A311" s="15">
        <v>44200</v>
      </c>
      <c r="B311" s="19">
        <v>8</v>
      </c>
      <c r="C311" s="38">
        <v>44200.333333333336</v>
      </c>
      <c r="D311" s="4">
        <v>191075</v>
      </c>
      <c r="E311" s="4">
        <v>173036</v>
      </c>
      <c r="F311" s="4">
        <v>3369</v>
      </c>
      <c r="G311" s="4">
        <v>10371</v>
      </c>
      <c r="H311" s="4">
        <v>4299</v>
      </c>
      <c r="L311" s="4">
        <v>1832</v>
      </c>
      <c r="M311" s="4">
        <v>14670</v>
      </c>
      <c r="N311" s="4">
        <v>2526</v>
      </c>
      <c r="O311" s="4">
        <v>7364</v>
      </c>
      <c r="P311" s="4">
        <v>6234</v>
      </c>
      <c r="Q311" s="4">
        <v>1072</v>
      </c>
    </row>
    <row r="312" spans="1:29" ht="13.2" x14ac:dyDescent="0.25">
      <c r="A312" s="15">
        <v>44201</v>
      </c>
      <c r="B312" s="4">
        <v>8</v>
      </c>
      <c r="C312" s="38">
        <v>44201.333333333336</v>
      </c>
      <c r="D312" s="4">
        <v>192899</v>
      </c>
      <c r="E312" s="4">
        <v>174131</v>
      </c>
      <c r="F312" s="4">
        <v>3392</v>
      </c>
      <c r="G312" s="4">
        <v>10897</v>
      </c>
      <c r="H312" s="4">
        <v>4479</v>
      </c>
      <c r="L312" s="4">
        <v>1824</v>
      </c>
      <c r="M312" s="4">
        <v>15376</v>
      </c>
      <c r="N312" s="4">
        <v>1095</v>
      </c>
      <c r="O312" s="4">
        <v>6820</v>
      </c>
      <c r="P312" s="4">
        <v>6139</v>
      </c>
      <c r="Q312" s="4">
        <v>2417</v>
      </c>
    </row>
    <row r="313" spans="1:29" ht="15.75" customHeight="1" x14ac:dyDescent="0.3">
      <c r="A313" s="15">
        <v>44202</v>
      </c>
      <c r="B313" s="19">
        <v>8</v>
      </c>
      <c r="C313" s="38">
        <v>44202.333333333336</v>
      </c>
      <c r="D313" s="10">
        <v>195301</v>
      </c>
      <c r="E313" s="10">
        <v>175441</v>
      </c>
      <c r="F313" s="10">
        <v>3410</v>
      </c>
      <c r="G313" s="10">
        <v>12196</v>
      </c>
      <c r="H313" s="10">
        <v>4254</v>
      </c>
      <c r="I313" s="32"/>
      <c r="J313" s="32"/>
      <c r="K313" s="32"/>
      <c r="L313" s="10">
        <v>2402</v>
      </c>
      <c r="M313" s="10">
        <v>16450</v>
      </c>
      <c r="N313" s="10">
        <v>1310</v>
      </c>
      <c r="O313" s="19">
        <v>8688</v>
      </c>
      <c r="P313" s="19">
        <v>7762</v>
      </c>
      <c r="Q313" s="10">
        <v>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 spans="1:29" ht="15.75" customHeight="1" x14ac:dyDescent="0.3">
      <c r="A314" s="15">
        <v>44203</v>
      </c>
      <c r="B314" s="19">
        <v>8</v>
      </c>
      <c r="C314" s="38">
        <v>44203.333333333336</v>
      </c>
      <c r="D314" s="10">
        <v>197699</v>
      </c>
      <c r="E314" s="10">
        <v>176882</v>
      </c>
      <c r="F314" s="10">
        <v>3435</v>
      </c>
      <c r="G314" s="10">
        <v>12781</v>
      </c>
      <c r="H314" s="10">
        <v>4601</v>
      </c>
      <c r="I314" s="32"/>
      <c r="J314" s="32"/>
      <c r="K314" s="32"/>
      <c r="L314" s="10">
        <v>2398</v>
      </c>
      <c r="M314" s="10">
        <v>17382</v>
      </c>
      <c r="N314" s="10">
        <v>1441</v>
      </c>
      <c r="O314" s="19">
        <v>7848</v>
      </c>
      <c r="P314" s="19">
        <v>8006</v>
      </c>
      <c r="Q314" s="10">
        <v>1528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 spans="1:29" ht="13.2" x14ac:dyDescent="0.25">
      <c r="A315" s="15">
        <v>44204</v>
      </c>
      <c r="B315" s="4">
        <v>8</v>
      </c>
      <c r="C315" s="38">
        <v>44204.333333333336</v>
      </c>
      <c r="D315" s="4">
        <v>200658</v>
      </c>
      <c r="E315" s="4">
        <v>179562</v>
      </c>
      <c r="F315" s="4">
        <v>3463</v>
      </c>
      <c r="G315" s="4">
        <v>13397</v>
      </c>
      <c r="H315" s="4">
        <v>4236</v>
      </c>
      <c r="L315" s="4">
        <v>2959</v>
      </c>
      <c r="M315" s="4">
        <v>17633</v>
      </c>
      <c r="N315" s="4">
        <v>2680</v>
      </c>
      <c r="O315" s="4">
        <v>7272</v>
      </c>
      <c r="P315" s="4">
        <v>8628</v>
      </c>
      <c r="Q315" s="4">
        <v>1733</v>
      </c>
    </row>
    <row r="316" spans="1:29" ht="15.75" customHeight="1" x14ac:dyDescent="0.3">
      <c r="A316" s="15">
        <v>44205</v>
      </c>
      <c r="B316" s="19">
        <v>8</v>
      </c>
      <c r="C316" s="38">
        <v>44205.333333333336</v>
      </c>
      <c r="D316" s="10">
        <v>203411</v>
      </c>
      <c r="E316" s="10">
        <v>181613</v>
      </c>
      <c r="F316" s="10">
        <v>3485</v>
      </c>
      <c r="G316" s="10">
        <v>13076</v>
      </c>
      <c r="H316" s="10">
        <v>5237</v>
      </c>
      <c r="I316" s="32"/>
      <c r="J316" s="32"/>
      <c r="K316" s="32"/>
      <c r="L316" s="10">
        <v>2753</v>
      </c>
      <c r="M316" s="10">
        <v>18313</v>
      </c>
      <c r="N316" s="10">
        <v>2051</v>
      </c>
      <c r="O316" s="19">
        <v>6781</v>
      </c>
      <c r="P316" s="19">
        <v>9628</v>
      </c>
      <c r="Q316" s="10">
        <v>1904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 spans="1:29" ht="13.2" x14ac:dyDescent="0.25">
      <c r="A317" s="15">
        <v>44206</v>
      </c>
      <c r="B317" s="4">
        <v>8</v>
      </c>
      <c r="C317" s="38">
        <v>44206.333333333336</v>
      </c>
      <c r="D317" s="4">
        <v>206122</v>
      </c>
      <c r="E317" s="4">
        <v>184576</v>
      </c>
      <c r="F317" s="4">
        <v>3517</v>
      </c>
      <c r="G317" s="4">
        <v>13166</v>
      </c>
      <c r="H317" s="4">
        <v>4863</v>
      </c>
      <c r="L317" s="4">
        <v>2711</v>
      </c>
      <c r="M317" s="4">
        <v>18029</v>
      </c>
      <c r="N317" s="4">
        <v>2963</v>
      </c>
      <c r="O317" s="4">
        <v>6284</v>
      </c>
      <c r="P317" s="4">
        <v>9914</v>
      </c>
      <c r="Q317" s="4">
        <v>1831</v>
      </c>
    </row>
    <row r="318" spans="1:29" ht="13.2" x14ac:dyDescent="0.25">
      <c r="A318" s="15">
        <v>44207</v>
      </c>
      <c r="B318" s="19">
        <v>8</v>
      </c>
      <c r="C318" s="38">
        <v>44207.333333333336</v>
      </c>
      <c r="D318" s="4">
        <v>208583</v>
      </c>
      <c r="E318" s="4">
        <v>187086</v>
      </c>
      <c r="F318" s="4">
        <v>3551</v>
      </c>
      <c r="G318" s="4">
        <v>13541</v>
      </c>
      <c r="H318" s="4">
        <v>4405</v>
      </c>
      <c r="L318" s="4">
        <v>2461</v>
      </c>
      <c r="M318" s="4">
        <v>17946</v>
      </c>
      <c r="N318" s="4">
        <v>2510</v>
      </c>
      <c r="O318" s="4">
        <v>5180</v>
      </c>
      <c r="P318" s="4">
        <v>9246</v>
      </c>
      <c r="Q318" s="4">
        <v>3520</v>
      </c>
    </row>
    <row r="319" spans="1:29" ht="13.2" x14ac:dyDescent="0.25">
      <c r="A319" s="15">
        <v>44208</v>
      </c>
      <c r="B319" s="4">
        <v>8</v>
      </c>
      <c r="C319" s="38">
        <v>44208.333333333336</v>
      </c>
      <c r="D319" s="4">
        <v>211252</v>
      </c>
      <c r="E319" s="4">
        <v>188675</v>
      </c>
      <c r="F319" s="4">
        <v>3589</v>
      </c>
      <c r="G319" s="4">
        <v>14591</v>
      </c>
      <c r="H319" s="4">
        <v>4397</v>
      </c>
      <c r="L319" s="4">
        <v>2669</v>
      </c>
      <c r="M319" s="4">
        <v>18988</v>
      </c>
      <c r="N319" s="4">
        <v>1589</v>
      </c>
      <c r="O319" s="4">
        <v>6861</v>
      </c>
      <c r="P319" s="4">
        <v>10618</v>
      </c>
      <c r="Q319" s="4">
        <v>1509</v>
      </c>
    </row>
    <row r="320" spans="1:29" ht="13.2" x14ac:dyDescent="0.25">
      <c r="A320" s="15">
        <v>44209</v>
      </c>
      <c r="B320" s="4">
        <v>8</v>
      </c>
      <c r="C320" s="38">
        <v>44209.333333333336</v>
      </c>
      <c r="D320" s="4">
        <v>214728</v>
      </c>
      <c r="E320" s="4">
        <v>191635</v>
      </c>
      <c r="F320" s="4">
        <v>3634</v>
      </c>
      <c r="G320" s="4">
        <v>15009</v>
      </c>
      <c r="H320" s="4">
        <v>4450</v>
      </c>
      <c r="L320" s="4">
        <v>3476</v>
      </c>
      <c r="M320" s="4">
        <v>19459</v>
      </c>
      <c r="N320" s="4">
        <v>2960</v>
      </c>
      <c r="O320" s="4">
        <v>6757</v>
      </c>
      <c r="P320" s="4">
        <v>10186</v>
      </c>
      <c r="Q320" s="4">
        <v>2516</v>
      </c>
    </row>
    <row r="321" spans="1:29" ht="13.2" x14ac:dyDescent="0.25">
      <c r="A321" s="15">
        <v>44210</v>
      </c>
      <c r="B321" s="4">
        <v>8</v>
      </c>
      <c r="C321" s="38">
        <v>44210.333333333336</v>
      </c>
      <c r="D321" s="4">
        <v>217893</v>
      </c>
      <c r="E321" s="4">
        <v>193719</v>
      </c>
      <c r="F321" s="4">
        <v>3675</v>
      </c>
      <c r="G321" s="4">
        <v>15852</v>
      </c>
      <c r="H321" s="4">
        <v>4647</v>
      </c>
      <c r="L321" s="4">
        <v>3165</v>
      </c>
      <c r="M321" s="4">
        <v>20499</v>
      </c>
      <c r="N321" s="4">
        <v>2084</v>
      </c>
      <c r="O321" s="4">
        <v>5878</v>
      </c>
      <c r="P321" s="4">
        <v>10055</v>
      </c>
      <c r="Q321" s="4">
        <v>4566</v>
      </c>
    </row>
    <row r="322" spans="1:29" ht="15.75" customHeight="1" x14ac:dyDescent="0.3">
      <c r="A322" s="15">
        <v>44211</v>
      </c>
      <c r="B322" s="19">
        <v>8</v>
      </c>
      <c r="C322" s="38">
        <v>44211.333333333336</v>
      </c>
      <c r="D322" s="10">
        <v>220434</v>
      </c>
      <c r="E322" s="10">
        <v>195924</v>
      </c>
      <c r="F322" s="19">
        <v>3710</v>
      </c>
      <c r="G322" s="19">
        <v>15553</v>
      </c>
      <c r="H322" s="19">
        <v>5247</v>
      </c>
      <c r="I322" s="32"/>
      <c r="J322" s="32"/>
      <c r="K322" s="32"/>
      <c r="L322" s="10">
        <v>2541</v>
      </c>
      <c r="M322" s="10">
        <v>20800</v>
      </c>
      <c r="N322" s="10">
        <v>2205</v>
      </c>
      <c r="O322" s="19">
        <v>5182</v>
      </c>
      <c r="P322" s="19">
        <v>9366</v>
      </c>
      <c r="Q322" s="10">
        <v>6252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 spans="1:29" ht="13.2" x14ac:dyDescent="0.25">
      <c r="A323" s="15">
        <v>44212</v>
      </c>
      <c r="B323" s="4">
        <v>8</v>
      </c>
      <c r="C323" s="38">
        <v>44212.333333333336</v>
      </c>
      <c r="D323" s="4">
        <v>223970</v>
      </c>
      <c r="E323" s="4">
        <v>198136</v>
      </c>
      <c r="F323" s="4">
        <v>3745</v>
      </c>
      <c r="G323" s="4">
        <v>17524</v>
      </c>
      <c r="H323" s="4">
        <v>4565</v>
      </c>
      <c r="L323" s="4">
        <v>3536</v>
      </c>
      <c r="M323" s="4">
        <v>22089</v>
      </c>
      <c r="N323" s="4">
        <v>2212</v>
      </c>
      <c r="O323" s="4">
        <v>6820</v>
      </c>
      <c r="P323" s="4">
        <v>13159</v>
      </c>
      <c r="Q323" s="4">
        <v>2110</v>
      </c>
    </row>
    <row r="324" spans="1:29" ht="15.75" customHeight="1" x14ac:dyDescent="0.3">
      <c r="A324" s="15">
        <v>44213</v>
      </c>
      <c r="B324" s="19">
        <v>8</v>
      </c>
      <c r="C324" s="38">
        <v>44213.333333333336</v>
      </c>
      <c r="D324" s="10">
        <v>227365</v>
      </c>
      <c r="E324" s="10">
        <v>201907</v>
      </c>
      <c r="F324" s="10">
        <v>3779</v>
      </c>
      <c r="G324" s="10">
        <v>16741</v>
      </c>
      <c r="H324" s="10">
        <v>4938</v>
      </c>
      <c r="I324" s="32"/>
      <c r="J324" s="32"/>
      <c r="K324" s="32"/>
      <c r="L324" s="10">
        <v>3395</v>
      </c>
      <c r="M324" s="10">
        <v>21679</v>
      </c>
      <c r="N324" s="10">
        <v>3771</v>
      </c>
      <c r="O324" s="19">
        <v>7281</v>
      </c>
      <c r="P324" s="19">
        <v>12302</v>
      </c>
      <c r="Q324" s="10">
        <v>2096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 spans="1:29" ht="13.2" x14ac:dyDescent="0.25">
      <c r="A325" s="15">
        <v>44214</v>
      </c>
      <c r="B325" s="4">
        <v>8</v>
      </c>
      <c r="C325" s="38">
        <v>44214.333333333336</v>
      </c>
      <c r="D325" s="4">
        <v>229726</v>
      </c>
      <c r="E325" s="4">
        <v>204711</v>
      </c>
      <c r="F325" s="4">
        <v>3815</v>
      </c>
      <c r="G325" s="4">
        <v>16419</v>
      </c>
      <c r="H325" s="4">
        <v>4781</v>
      </c>
      <c r="L325" s="4">
        <v>2361</v>
      </c>
      <c r="M325" s="4">
        <v>21200</v>
      </c>
      <c r="N325" s="4">
        <v>2804</v>
      </c>
      <c r="O325" s="4">
        <v>7379</v>
      </c>
      <c r="P325" s="4">
        <v>12474</v>
      </c>
      <c r="Q325" s="4">
        <v>1347</v>
      </c>
    </row>
    <row r="326" spans="1:29" ht="13.2" x14ac:dyDescent="0.25">
      <c r="A326" s="15">
        <v>44215</v>
      </c>
      <c r="B326" s="19">
        <v>8</v>
      </c>
      <c r="C326" s="38">
        <v>44215.333333333336</v>
      </c>
      <c r="D326" s="4">
        <v>232289</v>
      </c>
      <c r="E326" s="4">
        <v>209238</v>
      </c>
      <c r="F326" s="4">
        <v>3836</v>
      </c>
      <c r="G326" s="4">
        <v>14604</v>
      </c>
      <c r="H326" s="4">
        <v>4611</v>
      </c>
      <c r="L326" s="4">
        <v>2563</v>
      </c>
      <c r="M326" s="4">
        <v>19215</v>
      </c>
      <c r="N326" s="4">
        <v>4527</v>
      </c>
      <c r="O326" s="4">
        <v>7929</v>
      </c>
      <c r="P326" s="4">
        <v>11280</v>
      </c>
      <c r="Q326" s="4">
        <v>6</v>
      </c>
    </row>
    <row r="327" spans="1:29" ht="15.75" customHeight="1" x14ac:dyDescent="0.3">
      <c r="A327" s="15">
        <v>44216</v>
      </c>
      <c r="B327" s="19">
        <v>8</v>
      </c>
      <c r="C327" s="38">
        <v>44216.333333333336</v>
      </c>
      <c r="D327" s="10">
        <v>236075</v>
      </c>
      <c r="E327" s="10">
        <v>210983</v>
      </c>
      <c r="F327" s="10">
        <v>3868</v>
      </c>
      <c r="G327" s="10">
        <v>16389</v>
      </c>
      <c r="H327" s="10">
        <v>4835</v>
      </c>
      <c r="I327" s="32"/>
      <c r="J327" s="32"/>
      <c r="K327" s="32"/>
      <c r="L327" s="10">
        <v>3786</v>
      </c>
      <c r="M327" s="10">
        <v>21224</v>
      </c>
      <c r="N327" s="10">
        <v>1745</v>
      </c>
      <c r="O327" s="19">
        <v>7496</v>
      </c>
      <c r="P327" s="19">
        <v>12015</v>
      </c>
      <c r="Q327" s="10">
        <v>1713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 spans="1:29" ht="13.2" x14ac:dyDescent="0.25">
      <c r="A328" s="15">
        <v>44217</v>
      </c>
      <c r="B328" s="19">
        <v>8</v>
      </c>
      <c r="C328" s="38">
        <v>44217.333333333336</v>
      </c>
      <c r="D328" s="4">
        <v>239226</v>
      </c>
      <c r="E328" s="4">
        <v>213570</v>
      </c>
      <c r="F328" s="4">
        <v>3900</v>
      </c>
      <c r="G328" s="4">
        <v>16966</v>
      </c>
      <c r="H328" s="4">
        <v>4790</v>
      </c>
      <c r="L328" s="4">
        <v>3151</v>
      </c>
      <c r="M328" s="4">
        <v>21756</v>
      </c>
      <c r="N328" s="4">
        <v>2587</v>
      </c>
      <c r="O328" s="4">
        <v>8865</v>
      </c>
      <c r="P328" s="4">
        <v>10856</v>
      </c>
      <c r="Q328" s="4">
        <v>2035</v>
      </c>
    </row>
    <row r="329" spans="1:29" ht="13.2" x14ac:dyDescent="0.25">
      <c r="A329" s="15">
        <v>44218</v>
      </c>
      <c r="B329" s="4">
        <v>8</v>
      </c>
      <c r="C329" s="38">
        <v>44218.333333333336</v>
      </c>
      <c r="D329" s="4">
        <v>243018</v>
      </c>
      <c r="E329" s="4">
        <v>215719</v>
      </c>
      <c r="F329" s="4">
        <v>3940</v>
      </c>
      <c r="G329" s="4">
        <v>17752</v>
      </c>
      <c r="H329" s="4">
        <v>5607</v>
      </c>
      <c r="L329" s="4">
        <v>3792</v>
      </c>
      <c r="M329" s="4">
        <v>23359</v>
      </c>
      <c r="N329" s="4">
        <v>2149</v>
      </c>
      <c r="O329" s="4">
        <v>9171</v>
      </c>
      <c r="P329" s="4">
        <v>11421</v>
      </c>
      <c r="Q329" s="4">
        <v>2767</v>
      </c>
    </row>
    <row r="330" spans="1:29" ht="13.2" x14ac:dyDescent="0.25">
      <c r="A330" s="15">
        <v>44219</v>
      </c>
      <c r="B330" s="4">
        <v>8</v>
      </c>
      <c r="C330" s="38">
        <v>44219.333333333336</v>
      </c>
      <c r="D330" s="4">
        <v>246303</v>
      </c>
      <c r="E330" s="4">
        <v>219287</v>
      </c>
      <c r="F330" s="4">
        <v>3980</v>
      </c>
      <c r="G330" s="4">
        <v>18657</v>
      </c>
      <c r="H330" s="4">
        <v>4379</v>
      </c>
      <c r="L330" s="4">
        <v>3285</v>
      </c>
      <c r="M330" s="4">
        <v>23036</v>
      </c>
      <c r="N330" s="4">
        <v>3568</v>
      </c>
      <c r="O330" s="4">
        <v>7706</v>
      </c>
      <c r="P330" s="4">
        <v>10272</v>
      </c>
      <c r="Q330" s="4">
        <v>5058</v>
      </c>
    </row>
    <row r="331" spans="1:29" ht="15.75" customHeight="1" x14ac:dyDescent="0.3">
      <c r="A331" s="15">
        <v>44220</v>
      </c>
      <c r="B331" s="19">
        <v>8</v>
      </c>
      <c r="C331" s="38">
        <v>44220.333333333336</v>
      </c>
      <c r="D331" s="10">
        <v>249815</v>
      </c>
      <c r="E331" s="10">
        <v>221567</v>
      </c>
      <c r="F331" s="10">
        <v>4024</v>
      </c>
      <c r="G331" s="10">
        <v>19554</v>
      </c>
      <c r="H331" s="10">
        <v>4670</v>
      </c>
      <c r="I331" s="32"/>
      <c r="J331" s="32"/>
      <c r="K331" s="32"/>
      <c r="L331" s="10">
        <v>3512</v>
      </c>
      <c r="M331" s="10">
        <v>24224</v>
      </c>
      <c r="N331" s="10">
        <v>2280</v>
      </c>
      <c r="O331" s="19">
        <v>8723</v>
      </c>
      <c r="P331" s="19">
        <v>13240</v>
      </c>
      <c r="Q331" s="10">
        <v>2261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 spans="1:29" ht="13.2" x14ac:dyDescent="0.25">
      <c r="A332" s="15">
        <v>44221</v>
      </c>
      <c r="B332" s="4">
        <v>8</v>
      </c>
      <c r="C332" s="38">
        <v>44221.333333333336</v>
      </c>
      <c r="D332" s="4">
        <v>252266</v>
      </c>
      <c r="E332" s="4">
        <v>224071</v>
      </c>
      <c r="F332" s="4">
        <v>4063</v>
      </c>
      <c r="G332" s="4">
        <v>19869</v>
      </c>
      <c r="H332" s="4">
        <v>4263</v>
      </c>
      <c r="L332" s="4">
        <v>2451</v>
      </c>
      <c r="M332" s="4">
        <v>24132</v>
      </c>
      <c r="N332" s="4">
        <v>2504</v>
      </c>
      <c r="O332" s="4">
        <v>8589</v>
      </c>
      <c r="P332" s="4">
        <v>14100</v>
      </c>
      <c r="Q332" s="4">
        <v>1443</v>
      </c>
    </row>
    <row r="333" spans="1:29" ht="13.2" x14ac:dyDescent="0.25">
      <c r="A333" s="15">
        <v>44222</v>
      </c>
      <c r="B333" s="4">
        <v>8</v>
      </c>
      <c r="C333" s="38">
        <v>44222.333333333336</v>
      </c>
      <c r="D333" s="4">
        <v>254580</v>
      </c>
      <c r="E333" s="4">
        <v>227010</v>
      </c>
      <c r="F333" s="4">
        <v>4108</v>
      </c>
      <c r="G333" s="4">
        <v>19432</v>
      </c>
      <c r="H333" s="4">
        <v>4030</v>
      </c>
      <c r="L333" s="4">
        <v>2314</v>
      </c>
      <c r="M333" s="4">
        <v>23462</v>
      </c>
      <c r="N333" s="4">
        <v>2939</v>
      </c>
      <c r="O333" s="4">
        <v>8165</v>
      </c>
      <c r="P333" s="4">
        <v>13551</v>
      </c>
      <c r="Q333" s="4">
        <v>1746</v>
      </c>
    </row>
    <row r="334" spans="1:29" ht="13.2" x14ac:dyDescent="0.25">
      <c r="A334" s="15">
        <v>44223</v>
      </c>
      <c r="B334" s="4">
        <v>8</v>
      </c>
      <c r="C334" s="38">
        <v>44223.333333333336</v>
      </c>
      <c r="D334" s="4">
        <v>256416</v>
      </c>
      <c r="E334" s="4">
        <v>229981</v>
      </c>
      <c r="F334" s="4">
        <v>4134</v>
      </c>
      <c r="G334" s="4">
        <v>18528</v>
      </c>
      <c r="H334" s="4">
        <v>3773</v>
      </c>
      <c r="L334" s="4">
        <v>1836</v>
      </c>
      <c r="M334" s="4">
        <v>22301</v>
      </c>
      <c r="N334" s="4">
        <v>2971</v>
      </c>
      <c r="O334" s="4">
        <v>7212</v>
      </c>
      <c r="P334" s="4">
        <v>13819</v>
      </c>
      <c r="Q334" s="4">
        <v>1270</v>
      </c>
    </row>
    <row r="335" spans="1:29" ht="15.75" customHeight="1" x14ac:dyDescent="0.3">
      <c r="A335" s="15">
        <v>44224</v>
      </c>
      <c r="B335" s="19">
        <v>8</v>
      </c>
      <c r="C335" s="38">
        <v>44224.333333333336</v>
      </c>
      <c r="D335" s="10">
        <v>259305</v>
      </c>
      <c r="E335" s="10">
        <v>232701</v>
      </c>
      <c r="F335" s="10">
        <v>4185</v>
      </c>
      <c r="G335" s="10">
        <v>18473</v>
      </c>
      <c r="H335" s="10">
        <v>3946</v>
      </c>
      <c r="I335" s="32"/>
      <c r="J335" s="32"/>
      <c r="K335" s="32"/>
      <c r="L335" s="10">
        <v>2889</v>
      </c>
      <c r="M335" s="10">
        <v>22419</v>
      </c>
      <c r="N335" s="10">
        <v>2720</v>
      </c>
      <c r="O335" s="19">
        <v>6806</v>
      </c>
      <c r="P335" s="19">
        <v>13859</v>
      </c>
      <c r="Q335" s="10">
        <v>1754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 spans="1:29" ht="13.2" x14ac:dyDescent="0.25">
      <c r="A336" s="15">
        <v>44225</v>
      </c>
      <c r="B336" s="4">
        <v>8</v>
      </c>
      <c r="C336" s="38">
        <v>44225.333333333336</v>
      </c>
      <c r="D336" s="4">
        <v>262753</v>
      </c>
      <c r="E336" s="4">
        <v>235140</v>
      </c>
      <c r="F336" s="4">
        <v>4224</v>
      </c>
      <c r="G336" s="4">
        <v>19381</v>
      </c>
      <c r="H336" s="4">
        <v>4008</v>
      </c>
      <c r="L336" s="4">
        <v>3448</v>
      </c>
      <c r="M336" s="4">
        <v>23389</v>
      </c>
      <c r="N336" s="4">
        <v>2439</v>
      </c>
      <c r="O336" s="4">
        <v>6741</v>
      </c>
      <c r="P336" s="4">
        <v>14531</v>
      </c>
      <c r="Q336" s="4">
        <v>2117</v>
      </c>
    </row>
    <row r="337" spans="1:29" ht="15.75" customHeight="1" x14ac:dyDescent="0.3">
      <c r="A337" s="15">
        <v>44226</v>
      </c>
      <c r="B337" s="19">
        <v>8</v>
      </c>
      <c r="C337" s="38">
        <v>44226.333333333336</v>
      </c>
      <c r="D337" s="10">
        <v>266244</v>
      </c>
      <c r="E337" s="10">
        <v>238395</v>
      </c>
      <c r="F337" s="10">
        <v>4254</v>
      </c>
      <c r="G337" s="10">
        <v>20539</v>
      </c>
      <c r="H337" s="10">
        <v>3056</v>
      </c>
      <c r="I337" s="32"/>
      <c r="J337" s="32"/>
      <c r="K337" s="32"/>
      <c r="L337" s="10">
        <v>3491</v>
      </c>
      <c r="M337" s="10">
        <v>23595</v>
      </c>
      <c r="N337" s="10">
        <v>3255</v>
      </c>
      <c r="O337" s="19">
        <v>7498</v>
      </c>
      <c r="P337" s="19">
        <v>13874</v>
      </c>
      <c r="Q337" s="10">
        <v>2223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 spans="1:29" ht="13.2" x14ac:dyDescent="0.25">
      <c r="A338" s="15">
        <v>44227</v>
      </c>
      <c r="B338" s="4">
        <v>8</v>
      </c>
      <c r="C338" s="38">
        <v>44227.333333333336</v>
      </c>
      <c r="D338" s="4">
        <v>269718</v>
      </c>
      <c r="E338" s="4">
        <v>242069</v>
      </c>
      <c r="F338" s="4">
        <v>4267</v>
      </c>
      <c r="G338" s="4">
        <v>19272</v>
      </c>
      <c r="H338" s="4">
        <v>4110</v>
      </c>
      <c r="L338" s="4">
        <v>3474</v>
      </c>
      <c r="M338" s="4">
        <v>23382</v>
      </c>
      <c r="N338" s="4">
        <v>3674</v>
      </c>
      <c r="O338" s="4">
        <v>8724</v>
      </c>
      <c r="P338" s="4">
        <v>12104</v>
      </c>
      <c r="Q338" s="4">
        <v>2554</v>
      </c>
    </row>
    <row r="339" spans="1:29" ht="13.2" x14ac:dyDescent="0.25">
      <c r="A339" s="15">
        <v>44228</v>
      </c>
      <c r="B339" s="19">
        <v>8</v>
      </c>
      <c r="C339" s="38">
        <v>44228.333333333336</v>
      </c>
      <c r="D339" s="4">
        <v>273332</v>
      </c>
      <c r="E339" s="4">
        <v>244202</v>
      </c>
      <c r="F339" s="4">
        <v>4337</v>
      </c>
      <c r="G339" s="4">
        <v>19824</v>
      </c>
      <c r="H339" s="4">
        <v>4969</v>
      </c>
      <c r="L339" s="4">
        <v>3614</v>
      </c>
      <c r="M339" s="4">
        <v>24793</v>
      </c>
      <c r="N339" s="4">
        <v>2133</v>
      </c>
      <c r="O339" s="4">
        <v>8474</v>
      </c>
      <c r="P339" s="4">
        <v>11274</v>
      </c>
      <c r="Q339" s="4">
        <v>5045</v>
      </c>
    </row>
    <row r="340" spans="1:29" ht="13.2" x14ac:dyDescent="0.25">
      <c r="A340" s="15">
        <v>44229</v>
      </c>
      <c r="B340" s="4">
        <v>8</v>
      </c>
      <c r="C340" s="38">
        <v>44229.333333333336</v>
      </c>
      <c r="D340" s="4">
        <v>276694</v>
      </c>
      <c r="E340" s="4">
        <v>248515</v>
      </c>
      <c r="F340" s="4">
        <v>4379</v>
      </c>
      <c r="G340" s="4">
        <v>18925</v>
      </c>
      <c r="H340" s="4">
        <v>4875</v>
      </c>
      <c r="L340" s="4">
        <v>3362</v>
      </c>
      <c r="M340" s="4">
        <v>23800</v>
      </c>
      <c r="N340" s="4">
        <v>4313</v>
      </c>
      <c r="O340" s="4">
        <v>6725</v>
      </c>
      <c r="P340" s="4">
        <v>10372</v>
      </c>
      <c r="Q340" s="4">
        <v>6703</v>
      </c>
    </row>
    <row r="341" spans="1:29" ht="15.75" customHeight="1" x14ac:dyDescent="0.3">
      <c r="A341" s="15">
        <v>44230</v>
      </c>
      <c r="B341" s="19">
        <v>8</v>
      </c>
      <c r="C341" s="38">
        <v>44230.333333333336</v>
      </c>
      <c r="D341" s="10">
        <v>280261</v>
      </c>
      <c r="E341" s="10">
        <v>249810</v>
      </c>
      <c r="F341" s="10">
        <v>4420</v>
      </c>
      <c r="G341" s="10">
        <v>21863</v>
      </c>
      <c r="H341" s="10">
        <v>4168</v>
      </c>
      <c r="I341" s="32"/>
      <c r="J341" s="32"/>
      <c r="K341" s="32"/>
      <c r="L341" s="10">
        <v>3567</v>
      </c>
      <c r="M341" s="10">
        <v>26031</v>
      </c>
      <c r="N341" s="10">
        <v>1295</v>
      </c>
      <c r="O341" s="19">
        <v>9409</v>
      </c>
      <c r="P341" s="19">
        <v>14435</v>
      </c>
      <c r="Q341" s="10">
        <v>2187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 spans="1:29" ht="15.75" customHeight="1" x14ac:dyDescent="0.3">
      <c r="A342" s="15">
        <v>44231</v>
      </c>
      <c r="B342" s="19">
        <v>8</v>
      </c>
      <c r="C342" s="38">
        <v>44231.333333333336</v>
      </c>
      <c r="D342" s="10">
        <v>283893</v>
      </c>
      <c r="E342" s="10">
        <v>254155</v>
      </c>
      <c r="F342" s="10">
        <v>4461</v>
      </c>
      <c r="G342" s="10">
        <v>20419</v>
      </c>
      <c r="H342" s="10">
        <v>4858</v>
      </c>
      <c r="I342" s="32"/>
      <c r="J342" s="32"/>
      <c r="K342" s="32"/>
      <c r="L342" s="10">
        <v>3632</v>
      </c>
      <c r="M342" s="10">
        <v>25277</v>
      </c>
      <c r="N342" s="10">
        <v>4345</v>
      </c>
      <c r="O342" s="19">
        <v>7759</v>
      </c>
      <c r="P342" s="19">
        <v>12670</v>
      </c>
      <c r="Q342" s="10">
        <v>4848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 spans="1:29" ht="13.2" x14ac:dyDescent="0.25">
      <c r="A343" s="15">
        <v>44232</v>
      </c>
      <c r="B343" s="4">
        <v>8</v>
      </c>
      <c r="C343" s="38">
        <v>44232.333333333336</v>
      </c>
      <c r="D343" s="4">
        <v>287233</v>
      </c>
      <c r="E343" s="4">
        <v>256702</v>
      </c>
      <c r="F343" s="4">
        <v>4502</v>
      </c>
      <c r="G343" s="4">
        <v>21191</v>
      </c>
      <c r="H343" s="4">
        <v>4838</v>
      </c>
      <c r="L343" s="4">
        <v>3340</v>
      </c>
      <c r="M343" s="4">
        <v>26029</v>
      </c>
      <c r="N343" s="4">
        <v>2547</v>
      </c>
      <c r="O343" s="4">
        <v>9050</v>
      </c>
      <c r="P343" s="4">
        <v>15663</v>
      </c>
      <c r="Q343" s="4">
        <v>1316</v>
      </c>
    </row>
    <row r="344" spans="1:29" ht="15.75" customHeight="1" x14ac:dyDescent="0.3">
      <c r="A344" s="15">
        <v>44233</v>
      </c>
      <c r="B344" s="19">
        <v>8</v>
      </c>
      <c r="C344" s="38">
        <v>44233.333333333336</v>
      </c>
      <c r="D344" s="10">
        <v>289612</v>
      </c>
      <c r="E344" s="10">
        <v>261027</v>
      </c>
      <c r="F344" s="10">
        <v>4541</v>
      </c>
      <c r="G344" s="10">
        <v>19325</v>
      </c>
      <c r="H344" s="10">
        <v>4719</v>
      </c>
      <c r="I344" s="32"/>
      <c r="J344" s="32"/>
      <c r="K344" s="32"/>
      <c r="L344" s="10">
        <v>2379</v>
      </c>
      <c r="M344" s="10">
        <v>24044</v>
      </c>
      <c r="N344" s="10">
        <v>4325</v>
      </c>
      <c r="O344" s="19">
        <v>7093</v>
      </c>
      <c r="P344" s="19">
        <v>15579</v>
      </c>
      <c r="Q344" s="10">
        <v>1372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 spans="1:29" ht="13.2" x14ac:dyDescent="0.25">
      <c r="A345" s="15">
        <v>44234</v>
      </c>
      <c r="B345" s="4">
        <v>8</v>
      </c>
      <c r="C345" s="38">
        <v>44234.333333333336</v>
      </c>
      <c r="D345" s="4">
        <v>293825</v>
      </c>
      <c r="E345" s="4">
        <v>265369</v>
      </c>
      <c r="F345" s="4">
        <v>4587</v>
      </c>
      <c r="G345" s="4">
        <v>17958</v>
      </c>
      <c r="H345" s="4">
        <v>5911</v>
      </c>
      <c r="L345" s="4">
        <v>4213</v>
      </c>
      <c r="M345" s="4">
        <v>23869</v>
      </c>
      <c r="N345" s="4">
        <v>4342</v>
      </c>
      <c r="O345" s="4">
        <v>5882</v>
      </c>
      <c r="P345" s="4">
        <v>15947</v>
      </c>
      <c r="Q345" s="4">
        <v>2040</v>
      </c>
    </row>
    <row r="346" spans="1:29" ht="13.2" x14ac:dyDescent="0.25">
      <c r="A346" s="15">
        <v>44235</v>
      </c>
      <c r="B346" s="19">
        <v>8</v>
      </c>
      <c r="C346" s="38">
        <v>44235.333333333336</v>
      </c>
      <c r="D346" s="4">
        <v>296969</v>
      </c>
      <c r="E346" s="4">
        <v>268785</v>
      </c>
      <c r="F346" s="4">
        <v>4631</v>
      </c>
      <c r="G346" s="4">
        <v>17766</v>
      </c>
      <c r="H346" s="4">
        <v>5787</v>
      </c>
      <c r="L346" s="4">
        <v>3144</v>
      </c>
      <c r="M346" s="4">
        <v>23553</v>
      </c>
      <c r="N346" s="4">
        <v>3416</v>
      </c>
      <c r="O346" s="4">
        <v>4966</v>
      </c>
      <c r="P346" s="4">
        <v>14527</v>
      </c>
      <c r="Q346" s="4">
        <v>4060</v>
      </c>
    </row>
    <row r="347" spans="1:29" ht="13.2" x14ac:dyDescent="0.25">
      <c r="A347" s="15">
        <v>44236</v>
      </c>
      <c r="B347" s="4">
        <v>8</v>
      </c>
      <c r="C347" s="38">
        <v>44236.333333333336</v>
      </c>
      <c r="D347" s="4">
        <v>300406</v>
      </c>
      <c r="E347" s="4">
        <v>271573</v>
      </c>
      <c r="F347" s="4">
        <v>4681</v>
      </c>
      <c r="G347" s="4">
        <v>18174</v>
      </c>
      <c r="H347" s="4">
        <v>5978</v>
      </c>
      <c r="L347" s="4">
        <v>3437</v>
      </c>
      <c r="M347" s="4">
        <v>24152</v>
      </c>
      <c r="N347" s="4">
        <v>2788</v>
      </c>
      <c r="O347" s="4">
        <v>4266</v>
      </c>
      <c r="P347" s="4">
        <v>13500</v>
      </c>
      <c r="Q347" s="4">
        <v>6386</v>
      </c>
    </row>
    <row r="348" spans="1:29" ht="13.2" x14ac:dyDescent="0.25">
      <c r="A348" s="15">
        <v>44237</v>
      </c>
      <c r="B348" s="4">
        <v>8</v>
      </c>
      <c r="C348" s="38">
        <v>44237.333333333336</v>
      </c>
      <c r="D348" s="4">
        <v>303715</v>
      </c>
      <c r="E348" s="4">
        <v>274817</v>
      </c>
      <c r="F348" s="4">
        <v>4725</v>
      </c>
      <c r="G348" s="4">
        <v>16676</v>
      </c>
      <c r="H348" s="4">
        <v>7497</v>
      </c>
      <c r="L348" s="4">
        <v>3309</v>
      </c>
      <c r="M348" s="4">
        <v>24173</v>
      </c>
      <c r="N348" s="4">
        <v>3244</v>
      </c>
      <c r="O348" s="4">
        <v>3260</v>
      </c>
      <c r="P348" s="4">
        <v>12165</v>
      </c>
      <c r="Q348" s="4">
        <v>8748</v>
      </c>
    </row>
    <row r="349" spans="1:29" ht="13.2" x14ac:dyDescent="0.25">
      <c r="A349" s="15">
        <v>44238</v>
      </c>
      <c r="B349" s="4">
        <v>8</v>
      </c>
      <c r="C349" s="38">
        <v>44238.333333333336</v>
      </c>
      <c r="D349" s="4">
        <v>306229</v>
      </c>
      <c r="E349" s="4">
        <v>278822</v>
      </c>
      <c r="F349" s="4">
        <v>4748</v>
      </c>
      <c r="G349" s="4">
        <v>14119</v>
      </c>
      <c r="H349" s="4">
        <v>8540</v>
      </c>
      <c r="L349" s="4">
        <v>2514</v>
      </c>
      <c r="M349" s="4">
        <v>22659</v>
      </c>
      <c r="N349" s="4">
        <v>4005</v>
      </c>
      <c r="O349" s="4">
        <v>2149</v>
      </c>
      <c r="P349" s="4">
        <v>11293</v>
      </c>
      <c r="Q349" s="4">
        <v>9217</v>
      </c>
    </row>
    <row r="350" spans="1:29" ht="15.75" customHeight="1" x14ac:dyDescent="0.3">
      <c r="A350" s="15">
        <v>44239</v>
      </c>
      <c r="B350" s="19">
        <v>8</v>
      </c>
      <c r="C350" s="38">
        <v>44239.333333333336</v>
      </c>
      <c r="D350" s="10">
        <v>310039</v>
      </c>
      <c r="E350" s="10">
        <v>284579</v>
      </c>
      <c r="F350" s="10">
        <v>4798</v>
      </c>
      <c r="G350" s="10">
        <v>10774</v>
      </c>
      <c r="H350" s="10">
        <v>9888</v>
      </c>
      <c r="I350" s="32"/>
      <c r="J350" s="32"/>
      <c r="K350" s="32"/>
      <c r="L350" s="10">
        <v>3810</v>
      </c>
      <c r="M350" s="10">
        <v>20662</v>
      </c>
      <c r="N350" s="10">
        <v>5757</v>
      </c>
      <c r="O350" s="19">
        <v>683</v>
      </c>
      <c r="P350" s="19">
        <v>8683</v>
      </c>
      <c r="Q350" s="10">
        <v>11296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 spans="1:29" ht="13.2" x14ac:dyDescent="0.25">
      <c r="A351" s="15">
        <v>44240</v>
      </c>
      <c r="B351" s="4">
        <v>8</v>
      </c>
      <c r="C351" s="38">
        <v>44240.333333333336</v>
      </c>
      <c r="D351" s="4">
        <v>313057</v>
      </c>
      <c r="E351" s="4">
        <v>289189</v>
      </c>
      <c r="F351" s="4">
        <v>4850</v>
      </c>
      <c r="G351" s="4">
        <v>9644</v>
      </c>
      <c r="H351" s="4">
        <v>9374</v>
      </c>
      <c r="L351" s="4">
        <v>3018</v>
      </c>
      <c r="M351" s="4">
        <v>19018</v>
      </c>
      <c r="N351" s="4">
        <v>4610</v>
      </c>
      <c r="O351" s="4">
        <v>672</v>
      </c>
      <c r="P351" s="4">
        <v>7586</v>
      </c>
      <c r="Q351" s="4">
        <v>10760</v>
      </c>
    </row>
    <row r="352" spans="1:29" ht="15.75" customHeight="1" x14ac:dyDescent="0.3">
      <c r="A352" s="15">
        <v>44241</v>
      </c>
      <c r="B352" s="19">
        <v>8</v>
      </c>
      <c r="C352" s="38">
        <v>44241.333333333336</v>
      </c>
      <c r="D352" s="10">
        <v>315553</v>
      </c>
      <c r="E352" s="10">
        <v>293538</v>
      </c>
      <c r="F352" s="10">
        <v>4895</v>
      </c>
      <c r="G352" s="10">
        <v>9017</v>
      </c>
      <c r="H352" s="10">
        <v>8103</v>
      </c>
      <c r="I352" s="32"/>
      <c r="J352" s="32"/>
      <c r="K352" s="32"/>
      <c r="L352" s="10">
        <v>2496</v>
      </c>
      <c r="M352" s="10">
        <v>17120</v>
      </c>
      <c r="N352" s="10">
        <v>4349</v>
      </c>
      <c r="O352" s="19">
        <v>1587</v>
      </c>
      <c r="P352" s="19">
        <v>7605</v>
      </c>
      <c r="Q352" s="10">
        <v>7928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 spans="1:29" ht="13.2" x14ac:dyDescent="0.25">
      <c r="A353" s="15">
        <v>44242</v>
      </c>
      <c r="B353" s="4">
        <v>8</v>
      </c>
      <c r="C353" s="38">
        <v>44242.333333333336</v>
      </c>
      <c r="D353" s="4">
        <v>317432</v>
      </c>
      <c r="E353" s="4">
        <v>295623</v>
      </c>
      <c r="F353" s="4">
        <v>4940</v>
      </c>
      <c r="G353" s="4">
        <v>8881</v>
      </c>
      <c r="H353" s="4">
        <v>7988</v>
      </c>
      <c r="L353" s="4">
        <v>1879</v>
      </c>
      <c r="M353" s="4">
        <v>16869</v>
      </c>
      <c r="N353" s="4">
        <v>2085</v>
      </c>
      <c r="O353" s="4">
        <v>3876</v>
      </c>
      <c r="P353" s="4">
        <v>11955</v>
      </c>
      <c r="Q353" s="4">
        <v>1038</v>
      </c>
    </row>
    <row r="354" spans="1:29" ht="13.2" x14ac:dyDescent="0.25">
      <c r="A354" s="15">
        <v>44243</v>
      </c>
      <c r="B354" s="19">
        <v>8</v>
      </c>
      <c r="C354" s="38">
        <v>44243.333333333336</v>
      </c>
      <c r="D354" s="4">
        <v>319293</v>
      </c>
      <c r="E354" s="4">
        <v>297695</v>
      </c>
      <c r="F354" s="4">
        <v>4987</v>
      </c>
      <c r="G354" s="4">
        <v>9042</v>
      </c>
      <c r="H354" s="4">
        <v>7569</v>
      </c>
      <c r="L354" s="4">
        <v>1861</v>
      </c>
      <c r="M354" s="4">
        <v>16611</v>
      </c>
      <c r="N354" s="4">
        <v>2072</v>
      </c>
      <c r="O354" s="4">
        <v>3419</v>
      </c>
      <c r="P354" s="4">
        <v>10799</v>
      </c>
      <c r="Q354" s="4">
        <v>2393</v>
      </c>
    </row>
    <row r="355" spans="1:29" ht="15.75" customHeight="1" x14ac:dyDescent="0.3">
      <c r="A355" s="15">
        <v>44244</v>
      </c>
      <c r="B355" s="19">
        <v>8</v>
      </c>
      <c r="C355" s="38">
        <v>44244.333333333336</v>
      </c>
      <c r="D355" s="10">
        <v>320738</v>
      </c>
      <c r="E355" s="10">
        <v>299795</v>
      </c>
      <c r="F355" s="10">
        <v>5026</v>
      </c>
      <c r="G355" s="10">
        <v>8467</v>
      </c>
      <c r="H355" s="10">
        <v>7450</v>
      </c>
      <c r="I355" s="32"/>
      <c r="J355" s="32"/>
      <c r="K355" s="32"/>
      <c r="L355" s="10">
        <v>1445</v>
      </c>
      <c r="M355" s="10">
        <v>15917</v>
      </c>
      <c r="N355" s="10">
        <v>2100</v>
      </c>
      <c r="O355" s="19">
        <v>2770</v>
      </c>
      <c r="P355" s="19">
        <v>9442</v>
      </c>
      <c r="Q355" s="10">
        <v>3705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 spans="1:29" ht="13.2" x14ac:dyDescent="0.25">
      <c r="A356" s="15">
        <v>44245</v>
      </c>
      <c r="B356" s="4">
        <v>8</v>
      </c>
      <c r="C356" s="38">
        <v>44245.333333333336</v>
      </c>
      <c r="D356" s="4">
        <v>321111</v>
      </c>
      <c r="E356" s="4">
        <v>302451</v>
      </c>
      <c r="F356" s="4">
        <v>5044</v>
      </c>
      <c r="G356" s="4">
        <v>7067</v>
      </c>
      <c r="H356" s="4">
        <v>6549</v>
      </c>
      <c r="L356" s="4">
        <v>373</v>
      </c>
      <c r="M356" s="4">
        <v>13616</v>
      </c>
      <c r="N356" s="4">
        <v>2656</v>
      </c>
      <c r="O356" s="4">
        <v>3272</v>
      </c>
      <c r="P356" s="4">
        <v>10070</v>
      </c>
      <c r="Q356" s="4">
        <v>274</v>
      </c>
    </row>
    <row r="357" spans="1:29" ht="15.75" customHeight="1" x14ac:dyDescent="0.3">
      <c r="A357" s="15">
        <v>44246</v>
      </c>
      <c r="B357" s="19">
        <v>8</v>
      </c>
      <c r="C357" s="38">
        <v>44246.333333333336</v>
      </c>
      <c r="D357" s="10">
        <v>323031</v>
      </c>
      <c r="E357" s="10">
        <v>304995</v>
      </c>
      <c r="F357" s="10">
        <v>5081</v>
      </c>
      <c r="G357" s="10">
        <v>7323</v>
      </c>
      <c r="H357" s="10">
        <v>5632</v>
      </c>
      <c r="I357" s="32"/>
      <c r="J357" s="32"/>
      <c r="K357" s="32"/>
      <c r="L357" s="10">
        <v>1920</v>
      </c>
      <c r="M357" s="10">
        <v>12955</v>
      </c>
      <c r="N357" s="10">
        <v>2544</v>
      </c>
      <c r="O357" s="19">
        <v>2840</v>
      </c>
      <c r="P357" s="19">
        <v>8527</v>
      </c>
      <c r="Q357" s="10">
        <v>1588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 spans="1:29" ht="15.75" customHeight="1" x14ac:dyDescent="0.3">
      <c r="A358" s="15">
        <v>44247</v>
      </c>
      <c r="B358" s="19">
        <v>8</v>
      </c>
      <c r="C358" s="38">
        <v>44247.333333333336</v>
      </c>
      <c r="D358" s="10">
        <v>325903</v>
      </c>
      <c r="E358" s="10">
        <v>307759</v>
      </c>
      <c r="F358" s="10">
        <v>5121</v>
      </c>
      <c r="G358" s="10">
        <v>7165</v>
      </c>
      <c r="H358" s="10">
        <v>5858</v>
      </c>
      <c r="I358" s="32"/>
      <c r="J358" s="32"/>
      <c r="K358" s="32"/>
      <c r="L358" s="10">
        <v>2872</v>
      </c>
      <c r="M358" s="10">
        <v>13023</v>
      </c>
      <c r="N358" s="10">
        <v>2764</v>
      </c>
      <c r="O358" s="19">
        <v>2589</v>
      </c>
      <c r="P358" s="19">
        <v>8729</v>
      </c>
      <c r="Q358" s="10">
        <v>1705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 spans="1:29" ht="13.2" x14ac:dyDescent="0.25">
      <c r="A359" s="15">
        <v>44248</v>
      </c>
      <c r="B359" s="4">
        <v>8</v>
      </c>
      <c r="C359" s="38">
        <v>44248.333333333336</v>
      </c>
      <c r="D359" s="4">
        <v>328623</v>
      </c>
      <c r="E359" s="4">
        <v>310412</v>
      </c>
      <c r="F359" s="4">
        <v>5172</v>
      </c>
      <c r="G359" s="4">
        <v>7137</v>
      </c>
      <c r="H359" s="4">
        <v>5902</v>
      </c>
      <c r="L359" s="4">
        <v>2720</v>
      </c>
      <c r="M359" s="4">
        <v>13039</v>
      </c>
      <c r="N359" s="4">
        <v>2653</v>
      </c>
      <c r="O359" s="4">
        <v>1673</v>
      </c>
      <c r="P359" s="4">
        <v>7851</v>
      </c>
      <c r="Q359" s="4">
        <v>3515</v>
      </c>
    </row>
    <row r="360" spans="1:29" ht="13.2" x14ac:dyDescent="0.25">
      <c r="A360" s="15">
        <v>44249</v>
      </c>
      <c r="B360" s="19">
        <v>8</v>
      </c>
      <c r="C360" s="38">
        <v>44249.333333333336</v>
      </c>
      <c r="D360" s="4">
        <v>331094</v>
      </c>
      <c r="E360" s="4">
        <v>312748</v>
      </c>
      <c r="F360" s="4">
        <v>5206</v>
      </c>
      <c r="G360" s="4">
        <v>7528</v>
      </c>
      <c r="H360" s="4">
        <v>5612</v>
      </c>
      <c r="L360" s="4">
        <v>2471</v>
      </c>
      <c r="M360" s="4">
        <v>13140</v>
      </c>
      <c r="N360" s="4">
        <v>2336</v>
      </c>
      <c r="O360" s="4">
        <v>1156</v>
      </c>
      <c r="P360" s="4">
        <v>6465</v>
      </c>
      <c r="Q360" s="4">
        <v>5519</v>
      </c>
    </row>
    <row r="361" spans="1:29" ht="13.2" x14ac:dyDescent="0.25">
      <c r="A361" s="15">
        <v>44250</v>
      </c>
      <c r="B361" s="4">
        <v>8</v>
      </c>
      <c r="C361" s="38">
        <v>44250.333333333336</v>
      </c>
      <c r="D361" s="4">
        <v>331876</v>
      </c>
      <c r="E361" s="4">
        <v>314563</v>
      </c>
      <c r="F361" s="4">
        <v>5248</v>
      </c>
      <c r="G361" s="4">
        <v>7126</v>
      </c>
      <c r="H361" s="4">
        <v>4939</v>
      </c>
      <c r="L361" s="4">
        <v>782</v>
      </c>
      <c r="M361" s="4">
        <v>12065</v>
      </c>
      <c r="N361" s="4">
        <v>1815</v>
      </c>
      <c r="O361" s="4">
        <v>605</v>
      </c>
      <c r="P361" s="4">
        <v>5070</v>
      </c>
      <c r="Q361" s="4">
        <v>6390</v>
      </c>
    </row>
    <row r="362" spans="1:29" ht="13.2" x14ac:dyDescent="0.25">
      <c r="A362" s="15">
        <v>44251</v>
      </c>
      <c r="B362" s="4">
        <v>8</v>
      </c>
      <c r="C362" s="38">
        <v>44251.333333333336</v>
      </c>
      <c r="D362" s="4">
        <v>332658</v>
      </c>
      <c r="E362" s="4">
        <v>317003</v>
      </c>
      <c r="F362" s="4">
        <v>5301</v>
      </c>
      <c r="G362" s="4">
        <v>6008</v>
      </c>
      <c r="H362" s="4">
        <v>4346</v>
      </c>
      <c r="L362" s="4">
        <v>782</v>
      </c>
      <c r="M362" s="4">
        <v>10354</v>
      </c>
      <c r="N362" s="4">
        <v>2440</v>
      </c>
      <c r="O362" s="4">
        <v>75</v>
      </c>
      <c r="P362" s="4">
        <v>3217</v>
      </c>
      <c r="Q362" s="4">
        <v>7062</v>
      </c>
    </row>
    <row r="363" spans="1:29" ht="15.75" customHeight="1" x14ac:dyDescent="0.3">
      <c r="A363" s="15">
        <v>44252</v>
      </c>
      <c r="B363" s="19">
        <v>8</v>
      </c>
      <c r="C363" s="38">
        <v>44252.333333333336</v>
      </c>
      <c r="D363" s="10">
        <v>334239</v>
      </c>
      <c r="E363" s="10">
        <v>319326</v>
      </c>
      <c r="F363" s="10">
        <v>5346</v>
      </c>
      <c r="G363" s="10">
        <v>5499</v>
      </c>
      <c r="H363" s="10">
        <v>4068</v>
      </c>
      <c r="I363" s="32"/>
      <c r="J363" s="32"/>
      <c r="K363" s="32"/>
      <c r="L363" s="10">
        <v>1581</v>
      </c>
      <c r="M363" s="10">
        <v>9567</v>
      </c>
      <c r="N363" s="10">
        <v>2323</v>
      </c>
      <c r="O363" s="19">
        <v>2476</v>
      </c>
      <c r="P363" s="19">
        <v>4621</v>
      </c>
      <c r="Q363" s="10">
        <v>2470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 spans="1:29" ht="15.75" customHeight="1" x14ac:dyDescent="0.3">
      <c r="A364" s="15">
        <v>44253</v>
      </c>
      <c r="B364" s="4">
        <v>8</v>
      </c>
      <c r="C364" s="38">
        <v>44253.333333333336</v>
      </c>
      <c r="D364" s="4">
        <v>335900</v>
      </c>
      <c r="E364" s="10">
        <v>321038</v>
      </c>
      <c r="F364" s="10">
        <v>5385</v>
      </c>
      <c r="G364" s="4">
        <v>5560</v>
      </c>
      <c r="H364" s="10">
        <v>3917</v>
      </c>
      <c r="L364" s="21">
        <v>1661</v>
      </c>
      <c r="M364" s="4">
        <v>9477</v>
      </c>
      <c r="N364" s="21">
        <v>1712</v>
      </c>
      <c r="O364" s="4">
        <v>1684</v>
      </c>
      <c r="P364" s="4">
        <v>3764</v>
      </c>
      <c r="Q364" s="4">
        <v>4029</v>
      </c>
    </row>
    <row r="365" spans="1:29" ht="15.75" customHeight="1" x14ac:dyDescent="0.3">
      <c r="A365" s="15">
        <v>44254</v>
      </c>
      <c r="B365" s="19">
        <v>8</v>
      </c>
      <c r="C365" s="38">
        <v>44254.333333333336</v>
      </c>
      <c r="D365" s="10">
        <v>337637</v>
      </c>
      <c r="E365" s="10">
        <v>322285</v>
      </c>
      <c r="F365" s="10">
        <v>5439</v>
      </c>
      <c r="G365" s="10">
        <v>5885</v>
      </c>
      <c r="H365" s="10">
        <v>4028</v>
      </c>
      <c r="I365" s="32"/>
      <c r="J365" s="32"/>
      <c r="K365" s="32"/>
      <c r="L365" s="10">
        <v>1737</v>
      </c>
      <c r="M365" s="10">
        <v>9913</v>
      </c>
      <c r="N365" s="10">
        <v>1247</v>
      </c>
      <c r="O365" s="19">
        <v>825</v>
      </c>
      <c r="P365" s="19">
        <v>3628</v>
      </c>
      <c r="Q365" s="10">
        <v>5460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 spans="1:29" ht="13.2" x14ac:dyDescent="0.25">
      <c r="A366" s="15">
        <v>44255</v>
      </c>
      <c r="B366" s="4">
        <v>8</v>
      </c>
      <c r="C366" s="38">
        <v>44255.333333333336</v>
      </c>
      <c r="D366" s="4">
        <v>339735</v>
      </c>
      <c r="E366" s="4">
        <v>323892</v>
      </c>
      <c r="F366" s="4">
        <v>5478</v>
      </c>
      <c r="G366" s="4">
        <v>5940</v>
      </c>
      <c r="H366" s="4">
        <v>4425</v>
      </c>
      <c r="L366" s="4">
        <v>2098</v>
      </c>
      <c r="M366" s="4">
        <v>10365</v>
      </c>
      <c r="N366" s="4">
        <v>1607</v>
      </c>
      <c r="O366" s="4">
        <v>161</v>
      </c>
      <c r="P366" s="4">
        <v>3263</v>
      </c>
      <c r="Q366" s="4">
        <v>6941</v>
      </c>
    </row>
    <row r="367" spans="1:29" ht="15.75" customHeight="1" x14ac:dyDescent="0.3">
      <c r="A367" s="15">
        <v>44256</v>
      </c>
      <c r="B367" s="4">
        <v>8</v>
      </c>
      <c r="C367" s="38">
        <v>44256.333333333336</v>
      </c>
      <c r="D367" s="22">
        <v>341793</v>
      </c>
      <c r="E367" s="22">
        <v>326509</v>
      </c>
      <c r="F367" s="22">
        <v>5528</v>
      </c>
      <c r="G367" s="22">
        <v>5891</v>
      </c>
      <c r="H367" s="22">
        <v>3865</v>
      </c>
      <c r="L367" s="10">
        <v>2058</v>
      </c>
      <c r="M367" s="10">
        <v>9756</v>
      </c>
      <c r="N367" s="10">
        <v>2617</v>
      </c>
      <c r="O367" s="19">
        <v>2380</v>
      </c>
      <c r="P367" s="19">
        <v>6023</v>
      </c>
      <c r="Q367" s="10">
        <v>1353</v>
      </c>
    </row>
    <row r="368" spans="1:29" ht="15.75" customHeight="1" x14ac:dyDescent="0.3">
      <c r="A368" s="15">
        <v>44257</v>
      </c>
      <c r="B368" s="4">
        <v>8</v>
      </c>
      <c r="C368" s="38">
        <v>44257.333333333336</v>
      </c>
      <c r="D368" s="19">
        <v>342371</v>
      </c>
      <c r="E368" s="10">
        <v>328526</v>
      </c>
      <c r="F368" s="10">
        <v>5568</v>
      </c>
      <c r="G368" s="10">
        <v>5072</v>
      </c>
      <c r="H368" s="10">
        <v>3205</v>
      </c>
      <c r="I368" s="32"/>
      <c r="J368" s="32"/>
      <c r="K368" s="32"/>
      <c r="L368" s="10">
        <v>578</v>
      </c>
      <c r="M368" s="10">
        <v>8277</v>
      </c>
      <c r="N368" s="10">
        <v>2017</v>
      </c>
      <c r="O368" s="19">
        <v>1581</v>
      </c>
      <c r="P368" s="19">
        <v>4543</v>
      </c>
      <c r="Q368" s="10">
        <v>2153</v>
      </c>
    </row>
    <row r="369" spans="1:29" ht="13.2" x14ac:dyDescent="0.25">
      <c r="A369" s="15">
        <v>44258</v>
      </c>
      <c r="B369" s="4">
        <v>8</v>
      </c>
      <c r="C369" s="38">
        <v>44258.333333333336</v>
      </c>
      <c r="D369" s="4">
        <v>343808</v>
      </c>
      <c r="E369" s="4">
        <v>331016</v>
      </c>
      <c r="F369" s="4">
        <v>5613</v>
      </c>
      <c r="G369" s="4">
        <v>3742</v>
      </c>
      <c r="H369" s="4">
        <v>3437</v>
      </c>
      <c r="L369" s="4">
        <v>1437</v>
      </c>
      <c r="M369" s="4">
        <v>7179</v>
      </c>
      <c r="N369" s="4">
        <v>2490</v>
      </c>
      <c r="O369" s="4">
        <v>671</v>
      </c>
      <c r="P369" s="4">
        <v>3358</v>
      </c>
      <c r="Q369" s="4">
        <v>3150</v>
      </c>
    </row>
    <row r="370" spans="1:29" ht="13.2" x14ac:dyDescent="0.25">
      <c r="A370" s="15">
        <v>44259</v>
      </c>
      <c r="B370" s="4">
        <v>8</v>
      </c>
      <c r="C370" s="38">
        <v>44259.333333333336</v>
      </c>
      <c r="D370" s="4">
        <v>345816</v>
      </c>
      <c r="E370" s="4">
        <v>332758</v>
      </c>
      <c r="F370" s="4">
        <v>5657</v>
      </c>
      <c r="G370" s="4">
        <v>3940</v>
      </c>
      <c r="H370" s="4">
        <v>3461</v>
      </c>
      <c r="L370" s="4">
        <v>2008</v>
      </c>
      <c r="M370" s="4">
        <v>7401</v>
      </c>
      <c r="N370" s="4">
        <v>1742</v>
      </c>
      <c r="O370" s="4">
        <v>650</v>
      </c>
      <c r="P370" s="4">
        <v>2614</v>
      </c>
      <c r="Q370" s="4">
        <v>4137</v>
      </c>
    </row>
    <row r="371" spans="1:29" ht="13.2" x14ac:dyDescent="0.25">
      <c r="A371" s="15">
        <v>44260</v>
      </c>
      <c r="B371" s="4">
        <v>8</v>
      </c>
      <c r="C371" s="38">
        <v>44260.333333333336</v>
      </c>
      <c r="D371" s="4">
        <v>346975</v>
      </c>
      <c r="E371" s="4">
        <v>334100</v>
      </c>
      <c r="F371" s="4">
        <v>5702</v>
      </c>
      <c r="G371" s="4">
        <v>4026</v>
      </c>
      <c r="H371" s="4">
        <v>3147</v>
      </c>
      <c r="L371" s="4">
        <v>1159</v>
      </c>
      <c r="M371" s="4">
        <v>7173</v>
      </c>
      <c r="N371" s="4">
        <v>1342</v>
      </c>
      <c r="O371" s="4">
        <v>376</v>
      </c>
      <c r="P371" s="4">
        <v>2138</v>
      </c>
      <c r="Q371" s="4">
        <v>4659</v>
      </c>
    </row>
    <row r="372" spans="1:29" ht="15.75" customHeight="1" x14ac:dyDescent="0.3">
      <c r="A372" s="15">
        <v>44261</v>
      </c>
      <c r="B372" s="19">
        <v>8</v>
      </c>
      <c r="C372" s="38">
        <v>44261.333333333336</v>
      </c>
      <c r="D372" s="10">
        <v>348591</v>
      </c>
      <c r="E372" s="10">
        <v>335617</v>
      </c>
      <c r="F372" s="10">
        <v>5748</v>
      </c>
      <c r="G372" s="10">
        <v>4228</v>
      </c>
      <c r="H372" s="10">
        <v>2998</v>
      </c>
      <c r="I372" s="32"/>
      <c r="J372" s="32"/>
      <c r="K372" s="32"/>
      <c r="L372" s="10">
        <v>1616</v>
      </c>
      <c r="M372" s="10">
        <v>7226</v>
      </c>
      <c r="N372" s="10">
        <v>1517</v>
      </c>
      <c r="O372" s="19">
        <v>384</v>
      </c>
      <c r="P372" s="19">
        <v>2191</v>
      </c>
      <c r="Q372" s="10">
        <v>4651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 spans="1:29" ht="13.2" x14ac:dyDescent="0.25">
      <c r="A373" s="15">
        <v>44262</v>
      </c>
      <c r="B373" s="4">
        <v>8</v>
      </c>
      <c r="C373" s="38">
        <v>44262.333333333336</v>
      </c>
      <c r="D373" s="4">
        <v>350425</v>
      </c>
      <c r="E373" s="4">
        <v>337426</v>
      </c>
      <c r="F373" s="4">
        <v>5790</v>
      </c>
      <c r="G373" s="4">
        <v>4194</v>
      </c>
      <c r="H373" s="4">
        <v>3015</v>
      </c>
      <c r="L373" s="4">
        <v>1834</v>
      </c>
      <c r="M373" s="4">
        <v>7209</v>
      </c>
      <c r="N373" s="4">
        <v>1809</v>
      </c>
      <c r="O373" s="4">
        <v>1409</v>
      </c>
      <c r="P373" s="4">
        <v>3661</v>
      </c>
      <c r="Q373" s="4">
        <v>2139</v>
      </c>
    </row>
    <row r="374" spans="1:29" ht="15.75" customHeight="1" x14ac:dyDescent="0.3">
      <c r="A374" s="15">
        <v>44263</v>
      </c>
      <c r="B374" s="4">
        <v>8</v>
      </c>
      <c r="C374" s="38">
        <v>44263.333333333336</v>
      </c>
      <c r="D374" s="10">
        <v>352208</v>
      </c>
      <c r="E374" s="10">
        <v>338931</v>
      </c>
      <c r="F374" s="10">
        <v>5838</v>
      </c>
      <c r="G374" s="10">
        <v>4494</v>
      </c>
      <c r="H374" s="10">
        <v>2945</v>
      </c>
      <c r="L374" s="4">
        <v>1783</v>
      </c>
      <c r="M374" s="4">
        <v>7439</v>
      </c>
      <c r="N374" s="4">
        <v>1505</v>
      </c>
      <c r="O374" s="4">
        <v>2448</v>
      </c>
      <c r="P374" s="4">
        <v>4991</v>
      </c>
      <c r="Q374" s="4">
        <v>0</v>
      </c>
    </row>
    <row r="375" spans="1:29" ht="13.2" x14ac:dyDescent="0.25">
      <c r="A375" s="15">
        <v>44264</v>
      </c>
      <c r="B375" s="4">
        <v>8</v>
      </c>
      <c r="C375" s="38">
        <v>44264.333333333336</v>
      </c>
      <c r="D375" s="4">
        <v>353075</v>
      </c>
      <c r="E375" s="4">
        <v>340587</v>
      </c>
      <c r="F375" s="4">
        <v>5883</v>
      </c>
      <c r="G375" s="4">
        <v>3856</v>
      </c>
      <c r="H375" s="4">
        <v>2749</v>
      </c>
      <c r="L375" s="4">
        <v>867</v>
      </c>
      <c r="M375" s="4">
        <v>6605</v>
      </c>
      <c r="N375" s="4">
        <v>1656</v>
      </c>
      <c r="O375" s="4">
        <v>1892</v>
      </c>
      <c r="P375" s="4">
        <v>4186</v>
      </c>
      <c r="Q375" s="4">
        <v>527</v>
      </c>
    </row>
    <row r="376" spans="1:29" ht="15.75" customHeight="1" x14ac:dyDescent="0.3">
      <c r="A376" s="15">
        <v>44265</v>
      </c>
      <c r="B376" s="4">
        <v>8</v>
      </c>
      <c r="C376" s="38">
        <v>44265.333333333336</v>
      </c>
      <c r="D376" s="22">
        <v>354115</v>
      </c>
      <c r="E376" s="22">
        <v>341398</v>
      </c>
      <c r="F376" s="22">
        <v>5923</v>
      </c>
      <c r="G376" s="22">
        <v>3691</v>
      </c>
      <c r="H376" s="22">
        <v>3103</v>
      </c>
      <c r="I376" s="32"/>
      <c r="J376" s="32"/>
      <c r="K376" s="32"/>
      <c r="L376" s="10">
        <v>1040</v>
      </c>
      <c r="M376" s="10">
        <v>6794</v>
      </c>
      <c r="N376" s="10">
        <v>811</v>
      </c>
      <c r="O376" s="19">
        <v>1573</v>
      </c>
      <c r="P376" s="19">
        <v>3787</v>
      </c>
      <c r="Q376" s="10">
        <v>1434</v>
      </c>
    </row>
    <row r="377" spans="1:29" ht="15.75" customHeight="1" x14ac:dyDescent="0.3">
      <c r="A377" s="15">
        <v>44266</v>
      </c>
      <c r="B377" s="19">
        <v>8</v>
      </c>
      <c r="C377" s="38">
        <v>44266.333333333336</v>
      </c>
      <c r="D377" s="10">
        <v>355869</v>
      </c>
      <c r="E377" s="10">
        <v>342306</v>
      </c>
      <c r="F377" s="10">
        <v>5943</v>
      </c>
      <c r="G377" s="10">
        <v>4253</v>
      </c>
      <c r="H377" s="10">
        <v>3367</v>
      </c>
      <c r="I377" s="32"/>
      <c r="J377" s="32"/>
      <c r="K377" s="32"/>
      <c r="L377" s="10">
        <v>1754</v>
      </c>
      <c r="M377" s="10">
        <v>7620</v>
      </c>
      <c r="N377" s="10">
        <v>908</v>
      </c>
      <c r="O377" s="19">
        <v>1577</v>
      </c>
      <c r="P377" s="19">
        <v>4749</v>
      </c>
      <c r="Q377" s="10">
        <v>1294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 spans="1:29" ht="13.2" x14ac:dyDescent="0.25">
      <c r="A378" s="15">
        <v>44267</v>
      </c>
      <c r="B378" s="4">
        <v>8</v>
      </c>
      <c r="C378" s="38">
        <v>44267.333333333336</v>
      </c>
      <c r="D378" s="4">
        <v>357742</v>
      </c>
      <c r="E378" s="4">
        <v>343351</v>
      </c>
      <c r="F378" s="4">
        <v>5969</v>
      </c>
      <c r="G378" s="4">
        <v>4670</v>
      </c>
      <c r="H378" s="4">
        <v>3752</v>
      </c>
      <c r="L378" s="4">
        <v>1873</v>
      </c>
      <c r="M378" s="4">
        <v>8422</v>
      </c>
      <c r="N378" s="4">
        <v>1045</v>
      </c>
      <c r="O378" s="4">
        <v>1186</v>
      </c>
      <c r="P378" s="4">
        <v>4729</v>
      </c>
      <c r="Q378" s="4">
        <v>2507</v>
      </c>
    </row>
    <row r="379" spans="1:29" ht="15.75" customHeight="1" x14ac:dyDescent="0.3">
      <c r="A379" s="15">
        <v>44268</v>
      </c>
      <c r="B379" s="19">
        <v>8</v>
      </c>
      <c r="C379" s="38">
        <v>44268.333333333336</v>
      </c>
      <c r="D379" s="10">
        <v>358776</v>
      </c>
      <c r="E379" s="10">
        <v>345202</v>
      </c>
      <c r="F379" s="10">
        <v>5991</v>
      </c>
      <c r="G379" s="10">
        <v>4226</v>
      </c>
      <c r="H379" s="10">
        <v>3357</v>
      </c>
      <c r="I379" s="32"/>
      <c r="J379" s="32"/>
      <c r="K379" s="32"/>
      <c r="L379" s="10">
        <v>1034</v>
      </c>
      <c r="M379" s="10">
        <v>7583</v>
      </c>
      <c r="N379" s="10">
        <v>1851</v>
      </c>
      <c r="O379" s="19">
        <v>1670</v>
      </c>
      <c r="P379" s="19">
        <v>5243</v>
      </c>
      <c r="Q379" s="10">
        <v>670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 spans="1:29" ht="15.75" customHeight="1" x14ac:dyDescent="0.3">
      <c r="A380" s="15">
        <v>44269</v>
      </c>
      <c r="B380" s="4">
        <v>8</v>
      </c>
      <c r="C380" s="38">
        <v>44269.333333333336</v>
      </c>
      <c r="D380" s="10">
        <v>359980</v>
      </c>
      <c r="E380" s="10">
        <v>347210</v>
      </c>
      <c r="F380" s="10">
        <v>6026</v>
      </c>
      <c r="G380" s="10">
        <v>3443</v>
      </c>
      <c r="H380" s="10">
        <v>3301</v>
      </c>
      <c r="I380" s="13"/>
      <c r="J380" s="13"/>
      <c r="K380" s="13"/>
      <c r="L380" s="10">
        <v>1204</v>
      </c>
      <c r="M380" s="10">
        <v>6744</v>
      </c>
      <c r="N380" s="10">
        <v>2008</v>
      </c>
      <c r="O380" s="10">
        <v>1195</v>
      </c>
      <c r="P380" s="10">
        <v>4071</v>
      </c>
      <c r="Q380" s="10">
        <v>1478</v>
      </c>
    </row>
    <row r="381" spans="1:29" ht="13.2" x14ac:dyDescent="0.25">
      <c r="A381" s="15">
        <v>44270</v>
      </c>
      <c r="B381" s="4">
        <v>8</v>
      </c>
      <c r="C381" s="38">
        <v>44270.333333333336</v>
      </c>
      <c r="D381" s="4">
        <v>361535</v>
      </c>
      <c r="E381" s="4">
        <v>349002</v>
      </c>
      <c r="F381" s="4">
        <v>6038</v>
      </c>
      <c r="G381" s="4">
        <v>3485</v>
      </c>
      <c r="H381" s="4">
        <v>3010</v>
      </c>
      <c r="L381" s="4">
        <v>1555</v>
      </c>
      <c r="M381" s="4">
        <v>6495</v>
      </c>
      <c r="N381" s="4">
        <v>1792</v>
      </c>
      <c r="O381" s="4">
        <v>1272</v>
      </c>
      <c r="P381" s="4">
        <v>4142</v>
      </c>
      <c r="Q381" s="4">
        <v>1081</v>
      </c>
    </row>
    <row r="382" spans="1:29" ht="13.2" x14ac:dyDescent="0.25">
      <c r="A382" s="15">
        <v>44271</v>
      </c>
      <c r="B382" s="4">
        <v>8</v>
      </c>
      <c r="C382" s="38">
        <v>44271.333333333336</v>
      </c>
      <c r="D382" s="4">
        <v>362370</v>
      </c>
      <c r="E382" s="4">
        <v>350561</v>
      </c>
      <c r="F382" s="4">
        <v>6062</v>
      </c>
      <c r="G382" s="4">
        <v>2996</v>
      </c>
      <c r="H382" s="4">
        <v>2751</v>
      </c>
      <c r="L382" s="4">
        <v>835</v>
      </c>
      <c r="M382" s="4">
        <v>5747</v>
      </c>
      <c r="N382" s="4">
        <v>1559</v>
      </c>
      <c r="O382" s="4">
        <v>832</v>
      </c>
      <c r="P382" s="4">
        <v>3301</v>
      </c>
      <c r="Q382" s="4">
        <v>1614</v>
      </c>
    </row>
    <row r="383" spans="1:29" ht="15.75" customHeight="1" x14ac:dyDescent="0.3">
      <c r="A383" s="15">
        <v>44272</v>
      </c>
      <c r="B383" s="4">
        <v>8</v>
      </c>
      <c r="C383" s="38">
        <v>44272.333333333336</v>
      </c>
      <c r="D383" s="19">
        <v>363700</v>
      </c>
      <c r="E383" s="10">
        <v>351680</v>
      </c>
      <c r="F383" s="10">
        <v>6077</v>
      </c>
      <c r="G383" s="10">
        <v>2907</v>
      </c>
      <c r="H383" s="10">
        <v>3036</v>
      </c>
      <c r="I383" s="32"/>
      <c r="J383" s="32"/>
      <c r="K383" s="32"/>
      <c r="L383" s="10">
        <v>1330</v>
      </c>
      <c r="M383" s="10">
        <v>5943</v>
      </c>
      <c r="N383" s="10">
        <v>1119</v>
      </c>
      <c r="O383" s="19">
        <v>573</v>
      </c>
      <c r="P383" s="19">
        <v>2972</v>
      </c>
      <c r="Q383" s="10">
        <v>2398</v>
      </c>
    </row>
    <row r="384" spans="1:29" ht="15.75" customHeight="1" x14ac:dyDescent="0.3">
      <c r="A384" s="15">
        <v>44273</v>
      </c>
      <c r="B384" s="4">
        <v>8</v>
      </c>
      <c r="C384" s="38">
        <v>44273.333333333336</v>
      </c>
      <c r="D384" s="10">
        <v>365419</v>
      </c>
      <c r="E384" s="10">
        <v>352827</v>
      </c>
      <c r="F384" s="10">
        <v>6100</v>
      </c>
      <c r="G384" s="10">
        <v>3273</v>
      </c>
      <c r="H384" s="10">
        <v>3219</v>
      </c>
      <c r="I384" s="32"/>
      <c r="J384" s="32"/>
      <c r="K384" s="32"/>
      <c r="L384" s="10">
        <v>1719</v>
      </c>
      <c r="M384" s="10">
        <v>6492</v>
      </c>
      <c r="N384" s="10">
        <v>1147</v>
      </c>
      <c r="O384" s="19">
        <v>246</v>
      </c>
      <c r="P384" s="19">
        <v>2705</v>
      </c>
      <c r="Q384" s="10">
        <v>3541</v>
      </c>
    </row>
    <row r="385" spans="1:29" ht="13.2" x14ac:dyDescent="0.25">
      <c r="A385" s="15">
        <v>44274</v>
      </c>
      <c r="B385" s="4">
        <v>8</v>
      </c>
      <c r="C385" s="38">
        <v>44274.333333333336</v>
      </c>
      <c r="D385" s="4">
        <v>367007</v>
      </c>
      <c r="E385" s="4">
        <v>354036</v>
      </c>
      <c r="F385" s="4">
        <v>6120</v>
      </c>
      <c r="G385" s="4">
        <v>3483</v>
      </c>
      <c r="H385" s="4">
        <v>3368</v>
      </c>
      <c r="L385" s="4">
        <v>1588</v>
      </c>
      <c r="M385" s="4">
        <v>6851</v>
      </c>
      <c r="N385" s="4">
        <v>1209</v>
      </c>
      <c r="O385" s="4">
        <v>1150</v>
      </c>
      <c r="P385" s="4">
        <v>4749</v>
      </c>
      <c r="Q385" s="4">
        <v>952</v>
      </c>
    </row>
    <row r="386" spans="1:29" ht="15.75" customHeight="1" x14ac:dyDescent="0.3">
      <c r="A386" s="15">
        <v>44275</v>
      </c>
      <c r="B386" s="4">
        <v>8</v>
      </c>
      <c r="C386" s="38">
        <v>44275.333333333336</v>
      </c>
      <c r="D386" s="10">
        <v>368944</v>
      </c>
      <c r="E386" s="10">
        <v>355221</v>
      </c>
      <c r="F386" s="10">
        <v>6143</v>
      </c>
      <c r="G386" s="10">
        <v>3894</v>
      </c>
      <c r="H386" s="10">
        <v>3686</v>
      </c>
      <c r="I386" s="32"/>
      <c r="J386" s="32"/>
      <c r="K386" s="32"/>
      <c r="L386" s="10">
        <v>1937</v>
      </c>
      <c r="M386" s="10">
        <v>7580</v>
      </c>
      <c r="N386" s="10">
        <v>1185</v>
      </c>
      <c r="O386" s="19">
        <v>831</v>
      </c>
      <c r="P386" s="19">
        <v>4635</v>
      </c>
      <c r="Q386" s="10">
        <v>2114</v>
      </c>
    </row>
    <row r="387" spans="1:29" ht="13.2" x14ac:dyDescent="0.25">
      <c r="A387" s="15">
        <v>44276</v>
      </c>
      <c r="B387" s="4">
        <v>8</v>
      </c>
      <c r="C387" s="38">
        <v>44276.333333333336</v>
      </c>
      <c r="D387" s="4">
        <v>370582</v>
      </c>
      <c r="E387" s="4">
        <v>357100</v>
      </c>
      <c r="F387" s="4">
        <v>6160</v>
      </c>
      <c r="G387" s="4">
        <v>3859</v>
      </c>
      <c r="H387" s="4">
        <v>3463</v>
      </c>
      <c r="L387" s="4">
        <v>1638</v>
      </c>
      <c r="M387" s="4">
        <v>7322</v>
      </c>
      <c r="N387" s="4">
        <v>1879</v>
      </c>
      <c r="O387" s="4">
        <v>551</v>
      </c>
      <c r="P387" s="4">
        <v>3608</v>
      </c>
      <c r="Q387" s="4">
        <v>3163</v>
      </c>
    </row>
    <row r="388" spans="1:29" ht="15.75" customHeight="1" x14ac:dyDescent="0.3">
      <c r="A388" s="15">
        <v>44277</v>
      </c>
      <c r="B388" s="19">
        <v>8</v>
      </c>
      <c r="C388" s="38">
        <v>44277.333333333336</v>
      </c>
      <c r="D388" s="10">
        <v>372056</v>
      </c>
      <c r="E388" s="10">
        <v>358826</v>
      </c>
      <c r="F388" s="10">
        <v>6179</v>
      </c>
      <c r="G388" s="10">
        <v>3775</v>
      </c>
      <c r="H388" s="10">
        <v>3276</v>
      </c>
      <c r="I388" s="32"/>
      <c r="J388" s="32"/>
      <c r="K388" s="32"/>
      <c r="L388" s="10">
        <v>1474</v>
      </c>
      <c r="M388" s="10">
        <v>7051</v>
      </c>
      <c r="N388" s="10">
        <v>1726</v>
      </c>
      <c r="O388" s="19">
        <v>1404</v>
      </c>
      <c r="P388" s="19">
        <v>4804</v>
      </c>
      <c r="Q388" s="10">
        <v>843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 spans="1:29" ht="13.2" x14ac:dyDescent="0.25">
      <c r="A389" s="15">
        <v>44278</v>
      </c>
      <c r="B389" s="4">
        <v>8</v>
      </c>
      <c r="C389" s="38">
        <v>44278.333333333336</v>
      </c>
      <c r="D389" s="4">
        <v>372871</v>
      </c>
      <c r="E389" s="4">
        <v>360479</v>
      </c>
      <c r="F389" s="4">
        <v>6206</v>
      </c>
      <c r="G389" s="4">
        <v>3107</v>
      </c>
      <c r="H389" s="4">
        <v>3079</v>
      </c>
      <c r="L389" s="4">
        <v>815</v>
      </c>
      <c r="M389" s="4">
        <v>6186</v>
      </c>
      <c r="N389" s="4">
        <v>1653</v>
      </c>
      <c r="O389" s="4">
        <v>934</v>
      </c>
      <c r="P389" s="4">
        <v>3766</v>
      </c>
      <c r="Q389" s="4">
        <v>1486</v>
      </c>
    </row>
    <row r="390" spans="1:29" ht="13.2" x14ac:dyDescent="0.25">
      <c r="A390" s="15">
        <v>44279</v>
      </c>
      <c r="B390" s="4">
        <v>8</v>
      </c>
      <c r="C390" s="38">
        <v>44279.333333333336</v>
      </c>
      <c r="D390" s="4">
        <v>373761</v>
      </c>
      <c r="E390" s="4">
        <v>362248</v>
      </c>
      <c r="F390" s="4">
        <v>6224</v>
      </c>
      <c r="G390" s="4">
        <v>2650</v>
      </c>
      <c r="H390" s="4">
        <v>2639</v>
      </c>
      <c r="L390" s="4">
        <v>890</v>
      </c>
      <c r="M390" s="4">
        <v>5289</v>
      </c>
      <c r="N390" s="4">
        <v>1769</v>
      </c>
      <c r="O390" s="4">
        <v>595</v>
      </c>
      <c r="P390" s="4">
        <v>2663</v>
      </c>
      <c r="Q390" s="4">
        <v>2031</v>
      </c>
    </row>
    <row r="391" spans="1:29" ht="13.2" x14ac:dyDescent="0.25">
      <c r="A391" s="15">
        <v>44280</v>
      </c>
      <c r="B391" s="4">
        <v>8</v>
      </c>
      <c r="C391" s="38">
        <v>44280.333333333336</v>
      </c>
      <c r="D391" s="4">
        <v>375487</v>
      </c>
      <c r="E391" s="4">
        <v>362975</v>
      </c>
      <c r="F391" s="4">
        <v>6241</v>
      </c>
      <c r="G391" s="4">
        <v>3222</v>
      </c>
      <c r="H391" s="4">
        <v>3049</v>
      </c>
      <c r="L391" s="4">
        <v>1726</v>
      </c>
      <c r="M391" s="4">
        <v>6271</v>
      </c>
      <c r="N391" s="4">
        <v>727</v>
      </c>
      <c r="O391" s="4">
        <v>536</v>
      </c>
      <c r="P391" s="4">
        <v>2664</v>
      </c>
      <c r="Q391" s="4">
        <v>3071</v>
      </c>
    </row>
    <row r="392" spans="1:29" ht="13.2" x14ac:dyDescent="0.25">
      <c r="A392" s="15">
        <v>44281</v>
      </c>
      <c r="B392" s="4">
        <v>8</v>
      </c>
      <c r="C392" s="38">
        <v>44281.333333333336</v>
      </c>
      <c r="D392" s="4">
        <v>376868</v>
      </c>
      <c r="E392" s="4">
        <v>363599</v>
      </c>
      <c r="F392" s="4">
        <v>6260</v>
      </c>
      <c r="G392" s="4">
        <v>3629</v>
      </c>
      <c r="H392" s="4">
        <v>3380</v>
      </c>
      <c r="L392" s="4">
        <v>1381</v>
      </c>
      <c r="M392" s="4">
        <v>7009</v>
      </c>
      <c r="N392" s="4">
        <v>624</v>
      </c>
      <c r="O392" s="4">
        <v>1476</v>
      </c>
      <c r="P392" s="4">
        <v>4650</v>
      </c>
      <c r="Q392" s="4">
        <v>883</v>
      </c>
    </row>
    <row r="393" spans="1:29" ht="15.75" customHeight="1" x14ac:dyDescent="0.3">
      <c r="A393" s="15">
        <v>44282</v>
      </c>
      <c r="B393" s="4">
        <v>8</v>
      </c>
      <c r="C393" s="38">
        <v>44282.333333333336</v>
      </c>
      <c r="D393" s="10">
        <v>378222</v>
      </c>
      <c r="E393" s="10">
        <v>364251</v>
      </c>
      <c r="F393" s="10">
        <v>6281</v>
      </c>
      <c r="G393" s="10">
        <v>3932</v>
      </c>
      <c r="H393" s="10">
        <v>3758</v>
      </c>
      <c r="I393" s="32"/>
      <c r="J393" s="32"/>
      <c r="K393" s="32"/>
      <c r="L393" s="10">
        <v>1354</v>
      </c>
      <c r="M393" s="10">
        <v>7690</v>
      </c>
      <c r="N393" s="10">
        <v>652</v>
      </c>
      <c r="O393" s="10">
        <v>1269</v>
      </c>
      <c r="P393" s="10">
        <v>4639</v>
      </c>
      <c r="Q393" s="10">
        <v>1782</v>
      </c>
    </row>
    <row r="394" spans="1:29" ht="15.75" customHeight="1" x14ac:dyDescent="0.3">
      <c r="A394" s="15">
        <v>44283</v>
      </c>
      <c r="B394" s="19">
        <v>8</v>
      </c>
      <c r="C394" s="38">
        <v>44283.333333333336</v>
      </c>
      <c r="D394" s="10">
        <v>379692</v>
      </c>
      <c r="E394" s="10">
        <v>365592</v>
      </c>
      <c r="F394" s="10">
        <v>6304</v>
      </c>
      <c r="G394" s="10">
        <v>3966</v>
      </c>
      <c r="H394" s="10">
        <v>3830</v>
      </c>
      <c r="I394" s="32"/>
      <c r="J394" s="32"/>
      <c r="K394" s="32"/>
      <c r="L394" s="10">
        <v>1470</v>
      </c>
      <c r="M394" s="10">
        <v>7796</v>
      </c>
      <c r="N394" s="10">
        <v>1341</v>
      </c>
      <c r="O394" s="19">
        <v>906</v>
      </c>
      <c r="P394" s="19">
        <v>4259</v>
      </c>
      <c r="Q394" s="10">
        <v>2631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 spans="1:29" ht="13.2" x14ac:dyDescent="0.25">
      <c r="A395" s="15">
        <v>44284</v>
      </c>
      <c r="B395" s="4">
        <v>8</v>
      </c>
      <c r="C395" s="38">
        <v>44284.333333333336</v>
      </c>
      <c r="D395" s="4">
        <v>380706</v>
      </c>
      <c r="E395" s="4">
        <v>366615</v>
      </c>
      <c r="F395" s="4">
        <v>6324</v>
      </c>
      <c r="G395" s="4">
        <v>4034</v>
      </c>
      <c r="H395" s="4">
        <v>3733</v>
      </c>
      <c r="L395" s="4">
        <v>1014</v>
      </c>
      <c r="M395" s="4">
        <v>7767</v>
      </c>
      <c r="N395" s="4">
        <v>1023</v>
      </c>
      <c r="O395" s="4">
        <v>1697</v>
      </c>
      <c r="P395" s="4">
        <v>5326</v>
      </c>
      <c r="Q395" s="4">
        <v>744</v>
      </c>
    </row>
    <row r="396" spans="1:29" ht="13.2" x14ac:dyDescent="0.25">
      <c r="A396" s="15">
        <v>44285</v>
      </c>
      <c r="B396" s="19">
        <v>8</v>
      </c>
      <c r="C396" s="38">
        <v>44285.333333333336</v>
      </c>
      <c r="D396" s="4">
        <v>381090</v>
      </c>
      <c r="E396" s="4">
        <v>367819</v>
      </c>
      <c r="F396" s="4">
        <v>6327</v>
      </c>
      <c r="G396" s="4">
        <v>3419</v>
      </c>
      <c r="H396" s="4">
        <v>3525</v>
      </c>
      <c r="L396" s="4">
        <v>384</v>
      </c>
      <c r="M396" s="4">
        <v>6944</v>
      </c>
      <c r="N396" s="4">
        <v>1204</v>
      </c>
      <c r="O396" s="4">
        <v>1250</v>
      </c>
      <c r="P396" s="4">
        <v>4576</v>
      </c>
      <c r="Q396" s="4">
        <v>1118</v>
      </c>
    </row>
    <row r="397" spans="1:29" ht="13.2" x14ac:dyDescent="0.25">
      <c r="A397" s="15">
        <v>44286</v>
      </c>
      <c r="B397" s="4">
        <v>8</v>
      </c>
      <c r="C397" s="38">
        <v>44286.333333333336</v>
      </c>
      <c r="D397" s="4">
        <v>382055</v>
      </c>
      <c r="E397" s="4">
        <v>369007</v>
      </c>
      <c r="F397" s="4">
        <v>6341</v>
      </c>
      <c r="G397" s="4">
        <v>3028</v>
      </c>
      <c r="H397" s="4">
        <v>3679</v>
      </c>
      <c r="L397" s="4">
        <v>965</v>
      </c>
      <c r="M397" s="4">
        <v>6707</v>
      </c>
      <c r="N397" s="4">
        <v>1188</v>
      </c>
      <c r="O397" s="4">
        <v>1005</v>
      </c>
      <c r="P397" s="4">
        <v>3961</v>
      </c>
      <c r="Q397" s="4">
        <v>1741</v>
      </c>
    </row>
    <row r="398" spans="1:29" ht="15.75" customHeight="1" x14ac:dyDescent="0.3">
      <c r="A398" s="15">
        <v>44287</v>
      </c>
      <c r="B398" s="4">
        <v>8</v>
      </c>
      <c r="C398" s="38">
        <v>44287.333333333336</v>
      </c>
      <c r="D398" s="10">
        <v>383392</v>
      </c>
      <c r="E398" s="10">
        <v>369929</v>
      </c>
      <c r="F398" s="10">
        <v>6344</v>
      </c>
      <c r="G398" s="10">
        <v>3447</v>
      </c>
      <c r="H398" s="10">
        <v>3672</v>
      </c>
      <c r="I398" s="32"/>
      <c r="J398" s="32"/>
      <c r="K398" s="32"/>
      <c r="L398" s="10">
        <v>1337</v>
      </c>
      <c r="M398" s="10">
        <v>7119</v>
      </c>
      <c r="N398" s="10">
        <v>922</v>
      </c>
      <c r="O398" s="19">
        <v>705</v>
      </c>
      <c r="P398" s="19">
        <v>4175</v>
      </c>
      <c r="Q398" s="10">
        <v>2239</v>
      </c>
    </row>
    <row r="399" spans="1:29" ht="15.75" customHeight="1" x14ac:dyDescent="0.3">
      <c r="A399" s="15">
        <v>44288</v>
      </c>
      <c r="B399" s="4">
        <v>8</v>
      </c>
      <c r="C399" s="38">
        <v>44288.333333333336</v>
      </c>
      <c r="D399" s="10">
        <v>384632</v>
      </c>
      <c r="E399" s="10">
        <v>371254</v>
      </c>
      <c r="F399" s="10">
        <v>6351</v>
      </c>
      <c r="G399" s="10">
        <v>3433</v>
      </c>
      <c r="H399" s="10">
        <v>3594</v>
      </c>
      <c r="I399" s="32"/>
      <c r="J399" s="32"/>
      <c r="K399" s="32"/>
      <c r="L399" s="10">
        <v>1240</v>
      </c>
      <c r="M399" s="10">
        <v>7027</v>
      </c>
      <c r="N399" s="10">
        <v>1325</v>
      </c>
      <c r="O399" s="19">
        <v>1069</v>
      </c>
      <c r="P399" s="19">
        <v>5153</v>
      </c>
      <c r="Q399" s="10">
        <v>805</v>
      </c>
    </row>
    <row r="400" spans="1:29" ht="13.2" x14ac:dyDescent="0.25">
      <c r="A400" s="15">
        <v>44289</v>
      </c>
      <c r="B400" s="4">
        <v>8</v>
      </c>
      <c r="C400" s="38">
        <v>44289.333333333336</v>
      </c>
      <c r="D400" s="4">
        <v>385730</v>
      </c>
      <c r="E400" s="4">
        <v>372494</v>
      </c>
      <c r="F400" s="4">
        <v>6356</v>
      </c>
      <c r="G400" s="4">
        <v>3317</v>
      </c>
      <c r="H400" s="4">
        <v>3563</v>
      </c>
      <c r="L400" s="4">
        <v>1098</v>
      </c>
      <c r="M400" s="4">
        <v>6880</v>
      </c>
      <c r="N400" s="4">
        <v>1240</v>
      </c>
      <c r="O400" s="4">
        <v>727</v>
      </c>
      <c r="P400" s="4">
        <v>4644</v>
      </c>
      <c r="Q400" s="4">
        <v>1509</v>
      </c>
    </row>
    <row r="401" spans="1:29" ht="15.75" customHeight="1" x14ac:dyDescent="0.3">
      <c r="A401" s="15">
        <v>44290</v>
      </c>
      <c r="B401" s="19">
        <v>8</v>
      </c>
      <c r="C401" s="38">
        <v>44290.333333333336</v>
      </c>
      <c r="D401" s="10">
        <v>386466</v>
      </c>
      <c r="E401" s="10">
        <v>373565</v>
      </c>
      <c r="F401" s="10">
        <v>6360</v>
      </c>
      <c r="G401" s="10">
        <v>3149</v>
      </c>
      <c r="H401" s="10">
        <v>3392</v>
      </c>
      <c r="I401" s="32"/>
      <c r="J401" s="32"/>
      <c r="K401" s="32"/>
      <c r="L401" s="10">
        <v>736</v>
      </c>
      <c r="M401" s="10">
        <v>6541</v>
      </c>
      <c r="N401" s="10">
        <v>1071</v>
      </c>
      <c r="O401" s="19">
        <v>443</v>
      </c>
      <c r="P401" s="19">
        <v>4112</v>
      </c>
      <c r="Q401" s="10">
        <v>1986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 spans="1:29" ht="13.2" x14ac:dyDescent="0.25">
      <c r="A402" s="15">
        <v>44291</v>
      </c>
      <c r="B402" s="4">
        <v>8</v>
      </c>
      <c r="C402" s="38">
        <v>44291.333333333336</v>
      </c>
      <c r="D402" s="4">
        <v>386989</v>
      </c>
      <c r="E402" s="4">
        <v>374542</v>
      </c>
      <c r="F402" s="4">
        <v>6372</v>
      </c>
      <c r="G402" s="4">
        <v>2771</v>
      </c>
      <c r="H402" s="4">
        <v>3304</v>
      </c>
      <c r="L402" s="4">
        <v>523</v>
      </c>
      <c r="M402" s="4">
        <v>6075</v>
      </c>
      <c r="N402" s="4">
        <v>977</v>
      </c>
      <c r="O402" s="4">
        <v>310</v>
      </c>
      <c r="P402" s="4">
        <v>3452</v>
      </c>
      <c r="Q402" s="4">
        <v>2313</v>
      </c>
    </row>
    <row r="403" spans="1:29" ht="13.2" x14ac:dyDescent="0.25">
      <c r="A403" s="15">
        <v>44292</v>
      </c>
      <c r="B403" s="4">
        <v>8</v>
      </c>
      <c r="C403" s="38">
        <v>44292.333333333336</v>
      </c>
      <c r="D403" s="4">
        <v>387476</v>
      </c>
      <c r="E403" s="4">
        <v>375080</v>
      </c>
      <c r="F403" s="4">
        <v>6379</v>
      </c>
      <c r="G403" s="4">
        <v>2705</v>
      </c>
      <c r="H403" s="4">
        <v>3312</v>
      </c>
      <c r="L403" s="4">
        <v>487</v>
      </c>
      <c r="M403" s="4">
        <v>6017</v>
      </c>
      <c r="N403" s="4">
        <v>538</v>
      </c>
      <c r="O403" s="4">
        <v>177</v>
      </c>
      <c r="P403" s="4">
        <v>3184</v>
      </c>
      <c r="Q403" s="4">
        <v>2656</v>
      </c>
    </row>
    <row r="404" spans="1:29" ht="15.75" customHeight="1" x14ac:dyDescent="0.3">
      <c r="A404" s="15">
        <v>44293</v>
      </c>
      <c r="B404" s="4">
        <v>8</v>
      </c>
      <c r="C404" s="38">
        <v>44293.333333333336</v>
      </c>
      <c r="D404" s="10">
        <v>388338</v>
      </c>
      <c r="E404" s="10">
        <v>375651</v>
      </c>
      <c r="F404" s="10">
        <v>6391</v>
      </c>
      <c r="G404" s="10">
        <v>2814</v>
      </c>
      <c r="H404" s="10">
        <v>3482</v>
      </c>
      <c r="I404" s="32"/>
      <c r="J404" s="32"/>
      <c r="K404" s="32"/>
      <c r="L404" s="10">
        <v>862</v>
      </c>
      <c r="M404" s="10">
        <v>6296</v>
      </c>
      <c r="N404" s="10">
        <v>571</v>
      </c>
      <c r="O404" s="10">
        <v>868</v>
      </c>
      <c r="P404" s="10">
        <v>4884</v>
      </c>
      <c r="Q404" s="10">
        <v>544</v>
      </c>
    </row>
    <row r="405" spans="1:29" ht="13.2" x14ac:dyDescent="0.25">
      <c r="A405" s="15">
        <v>44294</v>
      </c>
      <c r="B405" s="4">
        <v>8</v>
      </c>
      <c r="C405" s="38">
        <v>44294.333333333336</v>
      </c>
      <c r="D405" s="21">
        <v>389577</v>
      </c>
      <c r="E405" s="21">
        <v>376270</v>
      </c>
      <c r="F405" s="21">
        <v>6410</v>
      </c>
      <c r="G405" s="21">
        <v>3244</v>
      </c>
      <c r="H405" s="21">
        <v>3653</v>
      </c>
      <c r="L405" s="21">
        <v>1239</v>
      </c>
      <c r="M405" s="21">
        <v>6897</v>
      </c>
      <c r="N405" s="21">
        <v>619</v>
      </c>
      <c r="O405" s="21">
        <v>882</v>
      </c>
      <c r="P405" s="21">
        <v>4700</v>
      </c>
      <c r="Q405" s="21">
        <v>1315</v>
      </c>
    </row>
    <row r="406" spans="1:29" ht="13.2" x14ac:dyDescent="0.25">
      <c r="A406" s="15">
        <v>44295</v>
      </c>
      <c r="B406" s="4">
        <v>8</v>
      </c>
      <c r="C406" s="38">
        <v>44295.333333333336</v>
      </c>
      <c r="D406" s="4">
        <v>390590</v>
      </c>
      <c r="E406" s="4">
        <v>376959</v>
      </c>
      <c r="F406" s="4">
        <v>6424</v>
      </c>
      <c r="G406" s="4">
        <v>3506</v>
      </c>
      <c r="H406" s="4">
        <v>3701</v>
      </c>
      <c r="L406" s="4">
        <v>1013</v>
      </c>
      <c r="M406" s="4">
        <v>7207</v>
      </c>
      <c r="N406" s="4">
        <v>689</v>
      </c>
      <c r="O406" s="4">
        <v>2071</v>
      </c>
      <c r="P406" s="4">
        <v>4551</v>
      </c>
      <c r="Q406" s="4">
        <v>585</v>
      </c>
    </row>
    <row r="407" spans="1:29" ht="13.2" x14ac:dyDescent="0.25">
      <c r="A407" s="15">
        <v>44296</v>
      </c>
      <c r="B407" s="4">
        <v>8</v>
      </c>
      <c r="C407" s="38">
        <v>44296.333333333336</v>
      </c>
      <c r="D407" s="4">
        <v>391567</v>
      </c>
      <c r="E407" s="4">
        <v>377797</v>
      </c>
      <c r="F407" s="4">
        <v>6435</v>
      </c>
      <c r="G407" s="4">
        <v>3716</v>
      </c>
      <c r="H407" s="4">
        <v>3619</v>
      </c>
      <c r="L407" s="4">
        <v>977</v>
      </c>
      <c r="M407" s="4">
        <v>7335</v>
      </c>
      <c r="N407" s="4">
        <v>838</v>
      </c>
      <c r="O407" s="4">
        <v>1890</v>
      </c>
      <c r="P407" s="4">
        <v>4165</v>
      </c>
      <c r="Q407" s="4">
        <v>1280</v>
      </c>
    </row>
    <row r="408" spans="1:29" ht="15.75" customHeight="1" x14ac:dyDescent="0.3">
      <c r="A408" s="15">
        <v>44297</v>
      </c>
      <c r="B408" s="19">
        <v>8</v>
      </c>
      <c r="C408" s="38">
        <v>44297.333333333336</v>
      </c>
      <c r="D408" s="10">
        <v>392598</v>
      </c>
      <c r="E408" s="10">
        <v>379210</v>
      </c>
      <c r="F408" s="10">
        <v>6450</v>
      </c>
      <c r="G408" s="10">
        <v>3617</v>
      </c>
      <c r="H408" s="10">
        <v>3321</v>
      </c>
      <c r="I408" s="32"/>
      <c r="J408" s="32"/>
      <c r="K408" s="32"/>
      <c r="L408" s="10">
        <v>1031</v>
      </c>
      <c r="M408" s="10">
        <v>6938</v>
      </c>
      <c r="N408" s="10">
        <v>1413</v>
      </c>
      <c r="O408" s="19">
        <v>939</v>
      </c>
      <c r="P408" s="19">
        <v>4107</v>
      </c>
      <c r="Q408" s="10">
        <v>1892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 spans="1:29" ht="13.2" x14ac:dyDescent="0.25">
      <c r="A409" s="15">
        <v>44298</v>
      </c>
      <c r="B409" s="4">
        <v>8</v>
      </c>
      <c r="C409" s="38">
        <v>44298.333333333336</v>
      </c>
      <c r="D409" s="4">
        <v>393290</v>
      </c>
      <c r="E409" s="4">
        <v>380560</v>
      </c>
      <c r="F409" s="4">
        <v>6459</v>
      </c>
      <c r="G409" s="4">
        <v>3324</v>
      </c>
      <c r="H409" s="4">
        <v>2947</v>
      </c>
      <c r="L409" s="4">
        <v>692</v>
      </c>
      <c r="M409" s="4">
        <v>6271</v>
      </c>
      <c r="N409" s="4">
        <v>1350</v>
      </c>
      <c r="O409" s="4">
        <v>1973</v>
      </c>
      <c r="P409" s="4">
        <v>3777</v>
      </c>
      <c r="Q409" s="4">
        <v>521</v>
      </c>
    </row>
    <row r="410" spans="1:29" ht="15.75" customHeight="1" x14ac:dyDescent="0.3">
      <c r="A410" s="15">
        <v>44299</v>
      </c>
      <c r="B410" s="4">
        <v>8</v>
      </c>
      <c r="C410" s="38">
        <v>44299.333333333336</v>
      </c>
      <c r="D410" s="10">
        <v>394118</v>
      </c>
      <c r="E410" s="10">
        <v>381449</v>
      </c>
      <c r="F410" s="10">
        <v>6482</v>
      </c>
      <c r="G410" s="10">
        <v>3326</v>
      </c>
      <c r="H410" s="10">
        <v>2861</v>
      </c>
      <c r="I410" s="32"/>
      <c r="J410" s="32"/>
      <c r="K410" s="32"/>
      <c r="L410" s="10">
        <v>828</v>
      </c>
      <c r="M410" s="10">
        <v>6187</v>
      </c>
      <c r="N410" s="10">
        <v>889</v>
      </c>
      <c r="O410" s="19">
        <v>1902</v>
      </c>
      <c r="P410" s="19">
        <v>3467</v>
      </c>
      <c r="Q410" s="10">
        <v>818</v>
      </c>
    </row>
    <row r="411" spans="1:29" ht="13.2" x14ac:dyDescent="0.25">
      <c r="A411" s="15">
        <v>44300</v>
      </c>
      <c r="B411" s="4">
        <v>8</v>
      </c>
      <c r="C411" s="38">
        <v>44300.333333333336</v>
      </c>
      <c r="D411" s="4">
        <v>394779</v>
      </c>
      <c r="E411" s="4">
        <v>382091</v>
      </c>
      <c r="F411" s="4">
        <v>6489</v>
      </c>
      <c r="G411" s="4">
        <v>3338</v>
      </c>
      <c r="H411" s="4">
        <v>2861</v>
      </c>
      <c r="L411" s="4">
        <v>661</v>
      </c>
      <c r="M411" s="4">
        <v>6199</v>
      </c>
      <c r="N411" s="4">
        <v>642</v>
      </c>
      <c r="O411" s="4">
        <v>1780</v>
      </c>
      <c r="P411" s="4">
        <v>3178</v>
      </c>
      <c r="Q411" s="4">
        <v>1241</v>
      </c>
    </row>
    <row r="412" spans="1:29" ht="13.2" x14ac:dyDescent="0.25">
      <c r="A412" s="15">
        <v>44301</v>
      </c>
      <c r="B412" s="4">
        <v>8</v>
      </c>
      <c r="C412" s="38">
        <v>44301.333333333336</v>
      </c>
      <c r="D412" s="4">
        <v>396109</v>
      </c>
      <c r="E412" s="4">
        <v>382617</v>
      </c>
      <c r="F412" s="4">
        <v>6504</v>
      </c>
      <c r="G412" s="4">
        <v>3921</v>
      </c>
      <c r="H412" s="4">
        <v>3067</v>
      </c>
      <c r="L412" s="4">
        <v>1330</v>
      </c>
      <c r="M412" s="4">
        <v>6988</v>
      </c>
      <c r="N412" s="4">
        <v>526</v>
      </c>
      <c r="O412" s="4">
        <v>5357</v>
      </c>
      <c r="P412" s="4">
        <v>745</v>
      </c>
      <c r="Q412" s="4">
        <v>886</v>
      </c>
    </row>
    <row r="413" spans="1:29" ht="13.2" x14ac:dyDescent="0.25">
      <c r="A413" s="15">
        <v>44302</v>
      </c>
      <c r="B413" s="4">
        <v>8</v>
      </c>
      <c r="C413" s="38">
        <v>44302.333333333336</v>
      </c>
      <c r="D413" s="21">
        <v>397088</v>
      </c>
      <c r="E413" s="21">
        <v>383655</v>
      </c>
      <c r="F413" s="21">
        <v>6513</v>
      </c>
      <c r="G413" s="21">
        <v>3607</v>
      </c>
      <c r="H413" s="21">
        <v>3313</v>
      </c>
      <c r="L413" s="21">
        <v>979</v>
      </c>
      <c r="M413" s="21">
        <v>6920</v>
      </c>
      <c r="N413" s="21">
        <v>1038</v>
      </c>
      <c r="O413" s="21">
        <v>1042</v>
      </c>
      <c r="P413" s="21">
        <v>4370</v>
      </c>
      <c r="Q413" s="21">
        <v>1508</v>
      </c>
    </row>
    <row r="414" spans="1:29" ht="13.2" x14ac:dyDescent="0.25">
      <c r="A414" s="15">
        <v>44303</v>
      </c>
      <c r="B414" s="4">
        <v>8</v>
      </c>
      <c r="C414" s="38">
        <v>44303.333333333336</v>
      </c>
      <c r="D414" s="4">
        <v>398125</v>
      </c>
      <c r="E414" s="4">
        <v>384652</v>
      </c>
      <c r="F414" s="4">
        <v>6520</v>
      </c>
      <c r="G414" s="4">
        <v>3512</v>
      </c>
      <c r="H414" s="4">
        <v>3441</v>
      </c>
      <c r="L414" s="4">
        <v>1037</v>
      </c>
      <c r="M414" s="4">
        <v>6953</v>
      </c>
      <c r="N414" s="4">
        <v>997</v>
      </c>
      <c r="O414" s="4">
        <v>3509</v>
      </c>
      <c r="P414" s="4">
        <v>1306</v>
      </c>
      <c r="Q414" s="4">
        <v>2138</v>
      </c>
    </row>
    <row r="415" spans="1:29" ht="15.75" customHeight="1" x14ac:dyDescent="0.3">
      <c r="A415" s="15">
        <v>44304</v>
      </c>
      <c r="B415" s="19">
        <v>8</v>
      </c>
      <c r="C415" s="38">
        <v>44304.333333333336</v>
      </c>
      <c r="D415" s="10">
        <v>399075</v>
      </c>
      <c r="E415" s="10">
        <v>385615</v>
      </c>
      <c r="F415" s="10">
        <v>6536</v>
      </c>
      <c r="G415" s="10">
        <v>3313</v>
      </c>
      <c r="H415" s="10">
        <v>3611</v>
      </c>
      <c r="I415" s="32"/>
      <c r="J415" s="32"/>
      <c r="K415" s="32"/>
      <c r="L415" s="10">
        <v>950</v>
      </c>
      <c r="M415" s="10">
        <v>6924</v>
      </c>
      <c r="N415" s="10">
        <v>963</v>
      </c>
      <c r="O415" s="19">
        <v>305</v>
      </c>
      <c r="P415" s="19">
        <v>1481</v>
      </c>
      <c r="Q415" s="10">
        <v>5138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 spans="1:29" ht="13.2" x14ac:dyDescent="0.25">
      <c r="A416" s="15">
        <v>44305</v>
      </c>
      <c r="B416" s="4">
        <v>8</v>
      </c>
      <c r="C416" s="38">
        <v>44305.333333333336</v>
      </c>
      <c r="D416" s="4">
        <v>400048</v>
      </c>
      <c r="E416" s="4">
        <v>386606</v>
      </c>
      <c r="F416" s="4">
        <v>6558</v>
      </c>
      <c r="G416" s="4">
        <v>3218</v>
      </c>
      <c r="H416" s="4">
        <v>3666</v>
      </c>
      <c r="L416" s="4">
        <v>973</v>
      </c>
      <c r="M416" s="4">
        <v>6884</v>
      </c>
      <c r="N416" s="4">
        <v>991</v>
      </c>
      <c r="O416" s="4">
        <v>2401</v>
      </c>
      <c r="P416" s="4">
        <v>3843</v>
      </c>
      <c r="Q416" s="4">
        <v>640</v>
      </c>
    </row>
    <row r="417" spans="1:29" ht="13.2" x14ac:dyDescent="0.25">
      <c r="A417" s="15">
        <v>44306</v>
      </c>
      <c r="B417" s="4">
        <v>8</v>
      </c>
      <c r="C417" s="38">
        <v>44306.333333333336</v>
      </c>
      <c r="D417" s="4">
        <v>400508</v>
      </c>
      <c r="E417" s="4">
        <v>387507</v>
      </c>
      <c r="F417" s="4">
        <v>6569</v>
      </c>
      <c r="G417" s="4">
        <v>2945</v>
      </c>
      <c r="H417" s="4">
        <v>3487</v>
      </c>
      <c r="L417" s="4">
        <v>460</v>
      </c>
      <c r="M417" s="4">
        <v>6432</v>
      </c>
      <c r="N417" s="4">
        <v>901</v>
      </c>
      <c r="O417" s="4">
        <v>1593</v>
      </c>
      <c r="P417" s="4">
        <v>3908</v>
      </c>
      <c r="Q417" s="4">
        <v>931</v>
      </c>
    </row>
    <row r="418" spans="1:29" ht="13.2" x14ac:dyDescent="0.25">
      <c r="A418" s="15">
        <v>44307</v>
      </c>
      <c r="B418" s="4">
        <v>8</v>
      </c>
      <c r="C418" s="38">
        <v>44307.333333333336</v>
      </c>
      <c r="D418" s="4">
        <v>401110</v>
      </c>
      <c r="E418" s="4">
        <v>388083</v>
      </c>
      <c r="F418" s="4">
        <v>6587</v>
      </c>
      <c r="G418" s="4">
        <v>2954</v>
      </c>
      <c r="H418" s="4">
        <v>3486</v>
      </c>
      <c r="L418" s="4">
        <v>602</v>
      </c>
      <c r="M418" s="4">
        <v>6440</v>
      </c>
      <c r="N418" s="4">
        <v>576</v>
      </c>
      <c r="O418" s="4">
        <v>1179</v>
      </c>
      <c r="P418" s="4">
        <v>3865</v>
      </c>
      <c r="Q418" s="4">
        <v>1396</v>
      </c>
    </row>
    <row r="419" spans="1:29" ht="13.2" x14ac:dyDescent="0.25">
      <c r="A419" s="15">
        <v>44308</v>
      </c>
      <c r="B419" s="4">
        <v>8</v>
      </c>
      <c r="C419" s="38">
        <v>44308.333333333336</v>
      </c>
      <c r="D419" s="4">
        <v>402376</v>
      </c>
      <c r="E419" s="4">
        <v>388735</v>
      </c>
      <c r="F419" s="4">
        <v>6596</v>
      </c>
      <c r="G419" s="4">
        <v>3497</v>
      </c>
      <c r="H419" s="4">
        <v>3548</v>
      </c>
      <c r="L419" s="4">
        <v>1266</v>
      </c>
      <c r="M419" s="4">
        <v>7045</v>
      </c>
      <c r="N419" s="4">
        <v>652</v>
      </c>
      <c r="O419" s="4">
        <v>1136</v>
      </c>
      <c r="P419" s="4">
        <v>5043</v>
      </c>
      <c r="Q419" s="4">
        <v>866</v>
      </c>
    </row>
    <row r="420" spans="1:29" ht="13.2" x14ac:dyDescent="0.25">
      <c r="A420" s="15">
        <v>44309</v>
      </c>
      <c r="B420" s="4">
        <v>8</v>
      </c>
      <c r="C420" s="38">
        <v>44309.333333333336</v>
      </c>
      <c r="D420" s="21">
        <v>403260</v>
      </c>
      <c r="E420" s="21">
        <v>389445</v>
      </c>
      <c r="F420" s="21">
        <v>6612</v>
      </c>
      <c r="G420" s="21">
        <v>3584</v>
      </c>
      <c r="H420" s="21">
        <v>3619</v>
      </c>
      <c r="L420" s="21">
        <v>884</v>
      </c>
      <c r="M420" s="21">
        <v>7203</v>
      </c>
      <c r="N420" s="21">
        <v>710</v>
      </c>
      <c r="O420" s="21">
        <v>872</v>
      </c>
      <c r="P420" s="21">
        <v>4778</v>
      </c>
      <c r="Q420" s="21">
        <v>1553</v>
      </c>
    </row>
    <row r="421" spans="1:29" ht="13.2" x14ac:dyDescent="0.25">
      <c r="A421" s="15">
        <v>44310</v>
      </c>
      <c r="B421" s="4">
        <v>8</v>
      </c>
      <c r="C421" s="38">
        <v>44310.333333333336</v>
      </c>
      <c r="D421" s="4">
        <v>404167</v>
      </c>
      <c r="E421" s="4">
        <v>390334</v>
      </c>
      <c r="F421" s="4">
        <v>6623</v>
      </c>
      <c r="G421" s="4">
        <v>3563</v>
      </c>
      <c r="H421" s="4">
        <v>3647</v>
      </c>
      <c r="L421" s="4">
        <v>907</v>
      </c>
      <c r="M421" s="4">
        <v>7210</v>
      </c>
      <c r="N421" s="4">
        <v>889</v>
      </c>
      <c r="O421" s="4">
        <v>697</v>
      </c>
      <c r="P421" s="4">
        <v>4296</v>
      </c>
      <c r="Q421" s="4">
        <v>2217</v>
      </c>
    </row>
    <row r="422" spans="1:29" ht="15.75" customHeight="1" x14ac:dyDescent="0.3">
      <c r="A422" s="15">
        <v>44311</v>
      </c>
      <c r="B422" s="19">
        <v>8</v>
      </c>
      <c r="C422" s="38">
        <v>44311.333333333336</v>
      </c>
      <c r="D422" s="10">
        <v>405063</v>
      </c>
      <c r="E422" s="10">
        <v>391301</v>
      </c>
      <c r="F422" s="10">
        <v>6645</v>
      </c>
      <c r="G422" s="10">
        <v>3399</v>
      </c>
      <c r="H422" s="10">
        <v>3718</v>
      </c>
      <c r="I422" s="32"/>
      <c r="J422" s="32"/>
      <c r="K422" s="32"/>
      <c r="L422" s="10">
        <v>896</v>
      </c>
      <c r="M422" s="10">
        <v>7117</v>
      </c>
      <c r="N422" s="10">
        <v>967</v>
      </c>
      <c r="O422" s="19">
        <v>1329</v>
      </c>
      <c r="P422" s="19">
        <v>5213</v>
      </c>
      <c r="Q422" s="10">
        <v>575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 spans="1:29" ht="13.2" x14ac:dyDescent="0.25">
      <c r="A423" s="15">
        <v>44312</v>
      </c>
      <c r="B423" s="19">
        <v>8</v>
      </c>
      <c r="C423" s="38">
        <v>44312.333333333336</v>
      </c>
      <c r="D423" s="21">
        <v>405812</v>
      </c>
      <c r="E423" s="21">
        <v>392595</v>
      </c>
      <c r="F423" s="21">
        <v>6660</v>
      </c>
      <c r="G423" s="21">
        <v>3152</v>
      </c>
      <c r="H423" s="21">
        <v>3405</v>
      </c>
      <c r="L423" s="21">
        <v>749</v>
      </c>
      <c r="M423" s="21">
        <v>6557</v>
      </c>
      <c r="N423" s="21">
        <v>1294</v>
      </c>
      <c r="O423" s="21">
        <v>1112</v>
      </c>
      <c r="P423" s="21">
        <v>4478</v>
      </c>
      <c r="Q423" s="21">
        <v>967</v>
      </c>
    </row>
    <row r="424" spans="1:29" ht="13.2" x14ac:dyDescent="0.25">
      <c r="A424" s="15">
        <v>44313</v>
      </c>
      <c r="B424" s="19">
        <v>8</v>
      </c>
      <c r="C424" s="38">
        <v>44313.333333333336</v>
      </c>
      <c r="D424" s="4">
        <v>406205</v>
      </c>
      <c r="E424" s="4">
        <v>393205</v>
      </c>
      <c r="F424" s="4">
        <v>6679</v>
      </c>
      <c r="G424" s="4">
        <v>2999</v>
      </c>
      <c r="H424" s="4">
        <v>3322</v>
      </c>
      <c r="L424" s="4">
        <v>393</v>
      </c>
      <c r="M424" s="4">
        <v>6321</v>
      </c>
      <c r="N424" s="4">
        <v>610</v>
      </c>
      <c r="O424" s="4">
        <v>1327</v>
      </c>
      <c r="P424" s="4">
        <v>4760</v>
      </c>
      <c r="Q424" s="4">
        <v>234</v>
      </c>
    </row>
    <row r="425" spans="1:29" ht="13.2" x14ac:dyDescent="0.25">
      <c r="A425" s="15">
        <v>44314</v>
      </c>
      <c r="B425" s="19">
        <v>8</v>
      </c>
      <c r="C425" s="38">
        <v>44314.333333333336</v>
      </c>
      <c r="D425" s="21">
        <v>406844</v>
      </c>
      <c r="E425" s="21">
        <v>393814</v>
      </c>
      <c r="F425" s="21">
        <v>6690</v>
      </c>
      <c r="G425" s="21">
        <v>2950</v>
      </c>
      <c r="H425" s="21">
        <v>3390</v>
      </c>
      <c r="L425" s="21">
        <v>639</v>
      </c>
      <c r="M425" s="21">
        <v>6340</v>
      </c>
      <c r="N425" s="21">
        <v>609</v>
      </c>
      <c r="O425" s="21">
        <v>1208</v>
      </c>
      <c r="P425" s="21">
        <v>4391</v>
      </c>
      <c r="Q425" s="21">
        <v>741</v>
      </c>
    </row>
    <row r="426" spans="1:29" ht="13.2" x14ac:dyDescent="0.25">
      <c r="A426" s="15">
        <v>44315</v>
      </c>
      <c r="B426" s="4">
        <v>8</v>
      </c>
      <c r="C426" s="38">
        <v>44315.333333333336</v>
      </c>
      <c r="D426" s="4">
        <v>407831</v>
      </c>
      <c r="E426" s="4">
        <v>394403</v>
      </c>
      <c r="F426" s="4">
        <v>6710</v>
      </c>
      <c r="G426" s="4">
        <v>3308</v>
      </c>
      <c r="H426" s="4">
        <v>3410</v>
      </c>
      <c r="L426" s="4">
        <v>987</v>
      </c>
      <c r="M426" s="4">
        <v>6718</v>
      </c>
      <c r="N426" s="4">
        <v>589</v>
      </c>
      <c r="O426" s="4">
        <v>1012</v>
      </c>
      <c r="P426" s="4">
        <v>4320</v>
      </c>
      <c r="Q426" s="4">
        <v>1386</v>
      </c>
    </row>
    <row r="427" spans="1:29" ht="13.2" x14ac:dyDescent="0.25">
      <c r="A427" s="15">
        <v>44316</v>
      </c>
      <c r="B427" s="4">
        <v>8</v>
      </c>
      <c r="C427" s="38">
        <v>44316.333333333336</v>
      </c>
      <c r="D427" s="4">
        <v>408620</v>
      </c>
      <c r="E427" s="4">
        <v>394939</v>
      </c>
      <c r="F427" s="4">
        <v>6733</v>
      </c>
      <c r="G427" s="4">
        <v>3421</v>
      </c>
      <c r="H427" s="4">
        <v>3527</v>
      </c>
      <c r="L427" s="4">
        <v>789</v>
      </c>
      <c r="M427" s="4">
        <v>6948</v>
      </c>
      <c r="N427" s="4">
        <v>536</v>
      </c>
      <c r="O427" s="4">
        <v>1209</v>
      </c>
      <c r="P427" s="4">
        <v>5210</v>
      </c>
      <c r="Q427" s="4">
        <v>529</v>
      </c>
    </row>
    <row r="428" spans="1:29" ht="13.2" x14ac:dyDescent="0.25">
      <c r="A428" s="15">
        <v>44317</v>
      </c>
      <c r="B428" s="4">
        <v>8</v>
      </c>
      <c r="C428" s="38">
        <v>44317.333333333336</v>
      </c>
      <c r="D428" s="4">
        <v>409546</v>
      </c>
      <c r="E428" s="4">
        <v>395644</v>
      </c>
      <c r="F428" s="4">
        <v>6747</v>
      </c>
      <c r="G428" s="4">
        <v>3533</v>
      </c>
      <c r="H428" s="4">
        <v>3622</v>
      </c>
      <c r="L428" s="4">
        <v>926</v>
      </c>
      <c r="M428" s="4">
        <v>7155</v>
      </c>
      <c r="N428" s="4">
        <v>705</v>
      </c>
      <c r="O428" s="4">
        <v>1039</v>
      </c>
      <c r="P428" s="4">
        <v>4940</v>
      </c>
      <c r="Q428" s="4">
        <v>1176</v>
      </c>
    </row>
    <row r="429" spans="1:29" ht="15.75" customHeight="1" x14ac:dyDescent="0.3">
      <c r="A429" s="15">
        <v>44318</v>
      </c>
      <c r="B429" s="19">
        <v>8</v>
      </c>
      <c r="C429" s="38">
        <v>44318.333333333336</v>
      </c>
      <c r="D429" s="10">
        <v>410400</v>
      </c>
      <c r="E429" s="10">
        <v>396594</v>
      </c>
      <c r="F429" s="10">
        <v>6767</v>
      </c>
      <c r="G429" s="10">
        <v>3450</v>
      </c>
      <c r="H429" s="10">
        <v>3589</v>
      </c>
      <c r="I429" s="32"/>
      <c r="J429" s="32"/>
      <c r="K429" s="32"/>
      <c r="L429" s="10">
        <v>854</v>
      </c>
      <c r="M429" s="10">
        <v>7039</v>
      </c>
      <c r="N429" s="10">
        <v>950</v>
      </c>
      <c r="O429" s="19">
        <v>842</v>
      </c>
      <c r="P429" s="19">
        <v>4574</v>
      </c>
      <c r="Q429" s="10">
        <v>1623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 spans="1:29" ht="13.2" x14ac:dyDescent="0.25">
      <c r="A430" s="15">
        <v>44319</v>
      </c>
      <c r="B430" s="19">
        <v>8</v>
      </c>
      <c r="C430" s="38">
        <v>44319.333333333336</v>
      </c>
      <c r="D430" s="21">
        <v>411157</v>
      </c>
      <c r="E430" s="21">
        <v>397349</v>
      </c>
      <c r="F430" s="21">
        <v>6788</v>
      </c>
      <c r="G430" s="21">
        <v>3483</v>
      </c>
      <c r="H430" s="21">
        <v>3537</v>
      </c>
      <c r="L430" s="21">
        <v>757</v>
      </c>
      <c r="M430" s="21">
        <v>7020</v>
      </c>
      <c r="N430" s="21">
        <v>755</v>
      </c>
      <c r="O430" s="21">
        <v>1349</v>
      </c>
      <c r="P430" s="21">
        <v>5473</v>
      </c>
      <c r="Q430" s="21">
        <v>198</v>
      </c>
    </row>
    <row r="431" spans="1:29" ht="13.2" x14ac:dyDescent="0.25">
      <c r="A431" s="15">
        <v>44320</v>
      </c>
      <c r="B431" s="19">
        <v>8</v>
      </c>
      <c r="C431" s="38">
        <v>44320.333333333336</v>
      </c>
      <c r="D431" s="21">
        <v>411573</v>
      </c>
      <c r="E431" s="21">
        <v>397955</v>
      </c>
      <c r="F431" s="21">
        <v>6807</v>
      </c>
      <c r="G431" s="21">
        <v>3247</v>
      </c>
      <c r="H431" s="21">
        <v>3564</v>
      </c>
      <c r="L431" s="21">
        <v>416</v>
      </c>
      <c r="M431" s="21">
        <v>6811</v>
      </c>
      <c r="N431" s="21">
        <v>606</v>
      </c>
      <c r="O431" s="21">
        <v>1182</v>
      </c>
      <c r="P431" s="21">
        <v>5158</v>
      </c>
      <c r="Q431" s="21">
        <v>471</v>
      </c>
    </row>
    <row r="432" spans="1:29" ht="13.2" x14ac:dyDescent="0.25">
      <c r="A432" s="15">
        <v>44321</v>
      </c>
      <c r="B432" s="19">
        <v>8</v>
      </c>
      <c r="C432" s="38">
        <v>44321.333333333336</v>
      </c>
      <c r="D432" s="4">
        <v>412418</v>
      </c>
      <c r="E432" s="4">
        <v>398610</v>
      </c>
      <c r="F432" s="4">
        <v>6830</v>
      </c>
      <c r="G432" s="4">
        <v>3240</v>
      </c>
      <c r="H432" s="4">
        <v>3738</v>
      </c>
      <c r="L432" s="4">
        <v>845</v>
      </c>
      <c r="M432" s="4">
        <v>6978</v>
      </c>
      <c r="N432" s="4">
        <v>655</v>
      </c>
      <c r="O432" s="4">
        <v>1102</v>
      </c>
      <c r="P432" s="4">
        <v>4909</v>
      </c>
      <c r="Q432" s="4">
        <v>967</v>
      </c>
    </row>
    <row r="433" spans="1:29" ht="13.2" x14ac:dyDescent="0.25">
      <c r="A433" s="15">
        <v>44322</v>
      </c>
      <c r="B433" s="19">
        <v>8</v>
      </c>
      <c r="C433" s="38">
        <v>44322.333333333336</v>
      </c>
      <c r="D433" s="4">
        <v>413323</v>
      </c>
      <c r="E433" s="4">
        <v>399224</v>
      </c>
      <c r="F433" s="4">
        <v>6850</v>
      </c>
      <c r="G433" s="4">
        <v>3406</v>
      </c>
      <c r="H433" s="4">
        <v>3843</v>
      </c>
      <c r="L433" s="4">
        <v>905</v>
      </c>
      <c r="M433" s="4">
        <v>7249</v>
      </c>
      <c r="N433" s="4">
        <v>614</v>
      </c>
      <c r="O433" s="4">
        <v>1172</v>
      </c>
      <c r="P433" s="4">
        <v>5489</v>
      </c>
      <c r="Q433" s="4">
        <v>588</v>
      </c>
    </row>
    <row r="434" spans="1:29" ht="13.2" x14ac:dyDescent="0.25">
      <c r="A434" s="15">
        <v>44323</v>
      </c>
      <c r="B434" s="4">
        <v>8</v>
      </c>
      <c r="C434" s="38">
        <v>44323.333333333336</v>
      </c>
      <c r="D434" s="4">
        <v>414106</v>
      </c>
      <c r="E434" s="4">
        <v>399821</v>
      </c>
      <c r="F434" s="4">
        <v>6872</v>
      </c>
      <c r="G434" s="4">
        <v>3485</v>
      </c>
      <c r="H434" s="4">
        <v>3928</v>
      </c>
      <c r="L434" s="4">
        <v>783</v>
      </c>
      <c r="M434" s="4">
        <v>7413</v>
      </c>
      <c r="N434" s="4">
        <v>597</v>
      </c>
      <c r="O434" s="4">
        <v>1131</v>
      </c>
      <c r="P434" s="4">
        <v>5192</v>
      </c>
      <c r="Q434" s="4">
        <v>1090</v>
      </c>
    </row>
    <row r="435" spans="1:29" ht="13.2" x14ac:dyDescent="0.25">
      <c r="A435" s="15">
        <v>44324</v>
      </c>
      <c r="B435" s="4">
        <v>8</v>
      </c>
      <c r="C435" s="38">
        <v>44324.333333333336</v>
      </c>
      <c r="D435" s="4">
        <v>414838</v>
      </c>
      <c r="E435" s="4">
        <v>400403</v>
      </c>
      <c r="F435" s="4">
        <v>6896</v>
      </c>
      <c r="G435" s="4">
        <v>3569</v>
      </c>
      <c r="H435" s="4">
        <v>3970</v>
      </c>
      <c r="L435" s="4">
        <v>732</v>
      </c>
      <c r="M435" s="4">
        <v>7539</v>
      </c>
      <c r="N435" s="4">
        <v>582</v>
      </c>
      <c r="O435" s="4">
        <v>947</v>
      </c>
      <c r="P435" s="4">
        <v>5022</v>
      </c>
      <c r="Q435" s="4">
        <v>1570</v>
      </c>
    </row>
    <row r="436" spans="1:29" ht="15.75" customHeight="1" x14ac:dyDescent="0.3">
      <c r="A436" s="15">
        <v>44325</v>
      </c>
      <c r="B436" s="19">
        <v>8</v>
      </c>
      <c r="C436" s="38">
        <v>44325.333333333336</v>
      </c>
      <c r="D436" s="10">
        <v>415647</v>
      </c>
      <c r="E436" s="10">
        <v>401114</v>
      </c>
      <c r="F436" s="10">
        <v>6911</v>
      </c>
      <c r="G436" s="10">
        <v>3648</v>
      </c>
      <c r="H436" s="10">
        <v>3974</v>
      </c>
      <c r="I436" s="32"/>
      <c r="J436" s="32"/>
      <c r="K436" s="32"/>
      <c r="L436" s="10">
        <v>809</v>
      </c>
      <c r="M436" s="10">
        <v>7622</v>
      </c>
      <c r="N436" s="10">
        <v>711</v>
      </c>
      <c r="O436" s="19">
        <v>836</v>
      </c>
      <c r="P436" s="19">
        <v>4763</v>
      </c>
      <c r="Q436" s="10">
        <v>2023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 spans="1:29" ht="13.2" x14ac:dyDescent="0.25">
      <c r="A437" s="15">
        <v>44326</v>
      </c>
      <c r="B437" s="4">
        <v>8</v>
      </c>
      <c r="C437" s="38">
        <v>44326.333333333336</v>
      </c>
      <c r="D437" s="4">
        <v>416341</v>
      </c>
      <c r="E437" s="4">
        <v>401744</v>
      </c>
      <c r="F437" s="4">
        <v>6933</v>
      </c>
      <c r="G437" s="4">
        <v>3723</v>
      </c>
      <c r="H437" s="4">
        <v>3941</v>
      </c>
      <c r="L437" s="4">
        <v>694</v>
      </c>
      <c r="M437" s="4">
        <v>7664</v>
      </c>
      <c r="N437" s="4">
        <v>630</v>
      </c>
      <c r="O437" s="4">
        <v>1482</v>
      </c>
      <c r="P437" s="4">
        <v>5810</v>
      </c>
      <c r="Q437" s="4">
        <v>372</v>
      </c>
    </row>
    <row r="438" spans="1:29" ht="13.2" x14ac:dyDescent="0.25">
      <c r="A438" s="15">
        <v>44327</v>
      </c>
      <c r="B438" s="4">
        <v>8</v>
      </c>
      <c r="C438" s="38">
        <v>44327.333333333336</v>
      </c>
      <c r="D438" s="4">
        <v>416747</v>
      </c>
      <c r="E438" s="4">
        <v>402374</v>
      </c>
      <c r="F438" s="4">
        <v>6952</v>
      </c>
      <c r="G438" s="4">
        <v>3490</v>
      </c>
      <c r="H438" s="4">
        <v>3931</v>
      </c>
      <c r="L438" s="4">
        <v>406</v>
      </c>
      <c r="M438" s="4">
        <v>7421</v>
      </c>
      <c r="N438" s="4">
        <v>630</v>
      </c>
      <c r="O438" s="4">
        <v>1340</v>
      </c>
      <c r="P438" s="4">
        <v>5531</v>
      </c>
      <c r="Q438" s="4">
        <v>550</v>
      </c>
    </row>
    <row r="439" spans="1:29" ht="13.2" x14ac:dyDescent="0.25">
      <c r="A439" s="15">
        <v>44328</v>
      </c>
      <c r="B439" s="4">
        <v>8</v>
      </c>
      <c r="C439" s="38">
        <v>44328.333333333336</v>
      </c>
      <c r="D439" s="4">
        <v>417403</v>
      </c>
      <c r="E439" s="4">
        <v>403039</v>
      </c>
      <c r="F439" s="4">
        <v>6973</v>
      </c>
      <c r="G439" s="4">
        <v>3402</v>
      </c>
      <c r="H439" s="4">
        <v>3989</v>
      </c>
      <c r="L439" s="4">
        <v>656</v>
      </c>
      <c r="M439" s="4">
        <v>7391</v>
      </c>
      <c r="N439" s="4">
        <v>665</v>
      </c>
      <c r="O439" s="4">
        <v>1176</v>
      </c>
      <c r="P439" s="4">
        <v>5298</v>
      </c>
      <c r="Q439" s="4">
        <v>917</v>
      </c>
    </row>
    <row r="440" spans="1:29" ht="15.75" customHeight="1" x14ac:dyDescent="0.3">
      <c r="A440" s="15">
        <v>44329</v>
      </c>
      <c r="B440" s="19">
        <v>8</v>
      </c>
      <c r="C440" s="38">
        <v>44329.333333333336</v>
      </c>
      <c r="D440" s="10">
        <v>418188</v>
      </c>
      <c r="E440" s="10">
        <v>403630</v>
      </c>
      <c r="F440" s="10">
        <v>6973</v>
      </c>
      <c r="G440" s="10">
        <v>3630</v>
      </c>
      <c r="H440" s="10">
        <v>3955</v>
      </c>
      <c r="I440" s="32"/>
      <c r="J440" s="32"/>
      <c r="K440" s="32"/>
      <c r="L440" s="10">
        <v>785</v>
      </c>
      <c r="M440" s="10">
        <v>7585</v>
      </c>
      <c r="N440" s="10">
        <v>591</v>
      </c>
      <c r="O440" s="19">
        <v>1087</v>
      </c>
      <c r="P440" s="19">
        <v>5013</v>
      </c>
      <c r="Q440" s="10">
        <v>1485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 spans="1:29" ht="15.75" customHeight="1" x14ac:dyDescent="0.3">
      <c r="A441" s="15">
        <v>44330</v>
      </c>
      <c r="B441" s="19">
        <v>8</v>
      </c>
      <c r="C441" s="38">
        <v>44330.333333333336</v>
      </c>
      <c r="D441" s="10">
        <v>418820</v>
      </c>
      <c r="E441" s="10">
        <v>404187</v>
      </c>
      <c r="F441" s="10">
        <v>7003</v>
      </c>
      <c r="G441" s="10">
        <v>3502</v>
      </c>
      <c r="H441" s="10">
        <v>4128</v>
      </c>
      <c r="I441" s="32"/>
      <c r="J441" s="32"/>
      <c r="K441" s="32"/>
      <c r="L441" s="10">
        <v>632</v>
      </c>
      <c r="M441" s="10">
        <v>7630</v>
      </c>
      <c r="N441" s="10">
        <v>557</v>
      </c>
      <c r="O441" s="19">
        <v>1294</v>
      </c>
      <c r="P441" s="19">
        <v>5929</v>
      </c>
      <c r="Q441" s="10">
        <v>407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 spans="1:29" ht="13.2" x14ac:dyDescent="0.25">
      <c r="A442" s="15">
        <v>44331</v>
      </c>
      <c r="B442" s="4">
        <v>8</v>
      </c>
      <c r="C442" s="38">
        <v>44331.333333333336</v>
      </c>
      <c r="D442" s="4">
        <v>419047</v>
      </c>
      <c r="E442" s="4">
        <v>404715</v>
      </c>
      <c r="F442" s="4">
        <v>7066</v>
      </c>
      <c r="G442" s="4">
        <v>3288</v>
      </c>
      <c r="H442" s="4">
        <v>3978</v>
      </c>
      <c r="L442" s="4">
        <v>227</v>
      </c>
      <c r="M442" s="4">
        <v>7266</v>
      </c>
      <c r="N442" s="4">
        <v>528</v>
      </c>
      <c r="O442" s="4">
        <v>6055</v>
      </c>
      <c r="P442" s="4">
        <v>637</v>
      </c>
      <c r="Q442" s="4">
        <v>574</v>
      </c>
    </row>
    <row r="443" spans="1:29" ht="13.2" x14ac:dyDescent="0.25">
      <c r="A443" s="15">
        <v>44332</v>
      </c>
      <c r="B443" s="4">
        <v>8</v>
      </c>
      <c r="C443" s="38">
        <v>44332.333333333336</v>
      </c>
      <c r="D443" s="4">
        <v>419208</v>
      </c>
      <c r="E443" s="4">
        <v>404980</v>
      </c>
      <c r="F443" s="4">
        <v>7082</v>
      </c>
      <c r="G443" s="4">
        <v>3189</v>
      </c>
      <c r="H443" s="4">
        <v>3957</v>
      </c>
      <c r="L443" s="4">
        <v>161</v>
      </c>
      <c r="M443" s="4">
        <v>7146</v>
      </c>
      <c r="N443" s="4">
        <v>265</v>
      </c>
      <c r="O443" s="4">
        <v>1145</v>
      </c>
      <c r="P443" s="4">
        <v>5333</v>
      </c>
      <c r="Q443" s="4">
        <v>668</v>
      </c>
    </row>
    <row r="444" spans="1:29" ht="13.2" x14ac:dyDescent="0.25">
      <c r="A444" s="15">
        <v>44333</v>
      </c>
      <c r="B444" s="4">
        <v>8</v>
      </c>
      <c r="C444" s="38">
        <v>44333.333333333336</v>
      </c>
      <c r="D444" s="4">
        <v>419629</v>
      </c>
      <c r="E444" s="4">
        <v>405229</v>
      </c>
      <c r="F444" s="4">
        <v>7107</v>
      </c>
      <c r="G444" s="4">
        <v>3158</v>
      </c>
      <c r="H444" s="4">
        <v>4135</v>
      </c>
      <c r="L444" s="4">
        <v>421</v>
      </c>
      <c r="M444" s="4">
        <v>7293</v>
      </c>
      <c r="N444" s="4">
        <v>249</v>
      </c>
      <c r="O444" s="4">
        <v>1235</v>
      </c>
      <c r="P444" s="4">
        <v>5834</v>
      </c>
      <c r="Q444" s="4">
        <v>224</v>
      </c>
    </row>
    <row r="445" spans="1:29" ht="13.2" x14ac:dyDescent="0.25">
      <c r="A445" s="15">
        <v>44334</v>
      </c>
      <c r="B445" s="4">
        <v>8</v>
      </c>
      <c r="C445" s="38">
        <v>44334.333333333336</v>
      </c>
      <c r="D445" s="4">
        <v>419920</v>
      </c>
      <c r="E445" s="4">
        <v>405357</v>
      </c>
      <c r="F445" s="4">
        <v>7130</v>
      </c>
      <c r="G445" s="4">
        <v>3248</v>
      </c>
      <c r="H445" s="4">
        <v>4185</v>
      </c>
      <c r="L445" s="4">
        <v>291</v>
      </c>
      <c r="M445" s="4">
        <v>7433</v>
      </c>
      <c r="N445" s="4">
        <v>128</v>
      </c>
      <c r="O445" s="4">
        <v>1219</v>
      </c>
      <c r="P445" s="4">
        <v>5793</v>
      </c>
      <c r="Q445" s="4">
        <v>421</v>
      </c>
    </row>
    <row r="446" spans="1:29" ht="13.2" x14ac:dyDescent="0.25">
      <c r="A446" s="15">
        <v>44335</v>
      </c>
      <c r="B446" s="4">
        <v>8</v>
      </c>
      <c r="C446" s="38">
        <v>44335.333333333336</v>
      </c>
      <c r="D446" s="21">
        <v>420459</v>
      </c>
      <c r="E446" s="21">
        <v>405535</v>
      </c>
      <c r="F446" s="21">
        <v>7149</v>
      </c>
      <c r="G446" s="21">
        <v>3366</v>
      </c>
      <c r="H446" s="21">
        <v>4409</v>
      </c>
      <c r="L446" s="21">
        <v>539</v>
      </c>
      <c r="M446" s="21">
        <v>7775</v>
      </c>
      <c r="N446" s="21">
        <v>178</v>
      </c>
      <c r="O446" s="21">
        <v>1195</v>
      </c>
      <c r="P446" s="21">
        <v>5818</v>
      </c>
      <c r="Q446" s="21">
        <v>762</v>
      </c>
    </row>
    <row r="447" spans="1:29" ht="13.2" x14ac:dyDescent="0.25">
      <c r="A447" s="15">
        <v>44336</v>
      </c>
      <c r="B447" s="4">
        <v>8</v>
      </c>
      <c r="C447" s="38">
        <v>44336.333333333336</v>
      </c>
      <c r="D447" s="4">
        <v>421354</v>
      </c>
      <c r="E447" s="4">
        <v>405714</v>
      </c>
      <c r="F447" s="4">
        <v>7169</v>
      </c>
      <c r="G447" s="4">
        <v>3797</v>
      </c>
      <c r="H447" s="4">
        <v>4674</v>
      </c>
      <c r="L447" s="4">
        <v>895</v>
      </c>
      <c r="M447" s="4">
        <v>8471</v>
      </c>
      <c r="N447" s="4">
        <v>179</v>
      </c>
      <c r="O447" s="4">
        <v>1312</v>
      </c>
      <c r="P447" s="4">
        <v>6599</v>
      </c>
      <c r="Q447" s="4">
        <v>560</v>
      </c>
    </row>
    <row r="448" spans="1:29" ht="13.2" x14ac:dyDescent="0.25">
      <c r="A448" s="15">
        <v>44337</v>
      </c>
      <c r="B448" s="4">
        <v>8</v>
      </c>
      <c r="C448" s="38">
        <v>44337.333333333336</v>
      </c>
      <c r="D448" s="21">
        <v>422210</v>
      </c>
      <c r="E448" s="21">
        <v>405918</v>
      </c>
      <c r="F448" s="21">
        <v>7184</v>
      </c>
      <c r="G448" s="21">
        <v>4142</v>
      </c>
      <c r="H448" s="21">
        <v>4966</v>
      </c>
      <c r="L448" s="21">
        <v>856</v>
      </c>
      <c r="M448" s="21">
        <v>9108</v>
      </c>
      <c r="N448" s="21">
        <v>204</v>
      </c>
      <c r="O448" s="21">
        <v>1306</v>
      </c>
      <c r="P448" s="21">
        <v>6655</v>
      </c>
      <c r="Q448" s="21">
        <v>1147</v>
      </c>
    </row>
    <row r="449" spans="1:29" ht="15.75" customHeight="1" x14ac:dyDescent="0.3">
      <c r="A449" s="15">
        <v>44338</v>
      </c>
      <c r="B449" s="19">
        <v>8</v>
      </c>
      <c r="C449" s="38">
        <v>44338.333333333336</v>
      </c>
      <c r="D449" s="10">
        <v>423142</v>
      </c>
      <c r="E449" s="10">
        <v>406300</v>
      </c>
      <c r="F449" s="10">
        <v>7196</v>
      </c>
      <c r="G449" s="10">
        <v>4386</v>
      </c>
      <c r="H449" s="10">
        <v>5260</v>
      </c>
      <c r="I449" s="32"/>
      <c r="J449" s="32"/>
      <c r="K449" s="32"/>
      <c r="L449" s="10">
        <v>932</v>
      </c>
      <c r="M449" s="10">
        <v>9646</v>
      </c>
      <c r="N449" s="10">
        <v>382</v>
      </c>
      <c r="O449" s="19">
        <v>1556</v>
      </c>
      <c r="P449" s="19">
        <v>7514</v>
      </c>
      <c r="Q449" s="10">
        <v>576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 spans="1:29" ht="15.75" customHeight="1" x14ac:dyDescent="0.3">
      <c r="A450" s="26">
        <v>44339</v>
      </c>
      <c r="B450" s="10">
        <v>8</v>
      </c>
      <c r="C450" s="39">
        <v>44339.333333333336</v>
      </c>
      <c r="D450" s="10">
        <v>424009</v>
      </c>
      <c r="E450" s="10">
        <v>406669</v>
      </c>
      <c r="F450" s="10">
        <v>7207</v>
      </c>
      <c r="G450" s="10">
        <v>4744</v>
      </c>
      <c r="H450" s="10">
        <v>5389</v>
      </c>
      <c r="I450" s="32"/>
      <c r="J450" s="32"/>
      <c r="K450" s="32"/>
      <c r="L450" s="10">
        <v>867</v>
      </c>
      <c r="M450" s="10">
        <v>10133</v>
      </c>
      <c r="N450" s="10">
        <v>369</v>
      </c>
      <c r="O450" s="10">
        <v>1479</v>
      </c>
      <c r="P450" s="10">
        <v>7469</v>
      </c>
      <c r="Q450" s="10">
        <v>1185</v>
      </c>
    </row>
    <row r="451" spans="1:29" ht="15.75" customHeight="1" x14ac:dyDescent="0.3">
      <c r="A451" s="26">
        <v>44340</v>
      </c>
      <c r="B451" s="10">
        <v>8</v>
      </c>
      <c r="C451" s="39">
        <v>44340.333333333336</v>
      </c>
      <c r="D451" s="4">
        <v>424828</v>
      </c>
      <c r="E451" s="4">
        <v>406987</v>
      </c>
      <c r="F451" s="4">
        <v>7225</v>
      </c>
      <c r="G451" s="4">
        <v>5079</v>
      </c>
      <c r="H451" s="4">
        <v>5537</v>
      </c>
      <c r="L451" s="4">
        <v>819</v>
      </c>
      <c r="M451" s="4">
        <v>10616</v>
      </c>
      <c r="N451" s="4">
        <v>318</v>
      </c>
      <c r="O451" s="4">
        <v>1837</v>
      </c>
      <c r="P451" s="4">
        <v>8217</v>
      </c>
      <c r="Q451" s="4">
        <v>562</v>
      </c>
    </row>
    <row r="452" spans="1:29" ht="15.75" customHeight="1" x14ac:dyDescent="0.3">
      <c r="A452" s="26">
        <v>44341</v>
      </c>
      <c r="B452" s="10">
        <v>8</v>
      </c>
      <c r="C452" s="39">
        <v>44341.333333333336</v>
      </c>
      <c r="D452" s="4">
        <v>425212</v>
      </c>
      <c r="E452" s="4">
        <v>407493</v>
      </c>
      <c r="F452" s="4">
        <v>7239</v>
      </c>
      <c r="G452" s="4">
        <v>5017</v>
      </c>
      <c r="H452" s="4">
        <v>5463</v>
      </c>
      <c r="L452" s="4">
        <v>384</v>
      </c>
      <c r="M452" s="4">
        <v>10480</v>
      </c>
      <c r="N452" s="4">
        <v>506</v>
      </c>
      <c r="O452" s="4">
        <v>1737</v>
      </c>
      <c r="P452" s="4">
        <v>7878</v>
      </c>
      <c r="Q452" s="4">
        <v>865</v>
      </c>
    </row>
    <row r="453" spans="1:29" ht="13.2" x14ac:dyDescent="0.25">
      <c r="A453" s="15">
        <v>44342</v>
      </c>
      <c r="B453" s="4">
        <v>8</v>
      </c>
      <c r="C453" s="38">
        <v>44342.333333333336</v>
      </c>
      <c r="D453" s="4">
        <v>425829</v>
      </c>
      <c r="E453" s="4">
        <v>408019</v>
      </c>
      <c r="F453" s="4">
        <v>7250</v>
      </c>
      <c r="G453" s="4">
        <v>4993</v>
      </c>
      <c r="H453" s="4">
        <v>5567</v>
      </c>
      <c r="L453" s="4">
        <v>617</v>
      </c>
      <c r="M453" s="4">
        <v>10560</v>
      </c>
      <c r="N453" s="4">
        <v>526</v>
      </c>
      <c r="O453" s="4">
        <v>1619</v>
      </c>
      <c r="P453" s="4">
        <v>7619</v>
      </c>
      <c r="Q453" s="4">
        <v>1322</v>
      </c>
    </row>
    <row r="454" spans="1:29" ht="13.2" x14ac:dyDescent="0.25">
      <c r="A454" s="15">
        <v>44343</v>
      </c>
      <c r="B454" s="4">
        <v>8</v>
      </c>
      <c r="C454" s="38">
        <v>44343.333333333336</v>
      </c>
      <c r="D454" s="4">
        <v>426769</v>
      </c>
      <c r="E454" s="4">
        <v>408585</v>
      </c>
      <c r="F454" s="4">
        <v>7271</v>
      </c>
      <c r="G454" s="4">
        <v>5280</v>
      </c>
      <c r="H454" s="4">
        <v>5633</v>
      </c>
      <c r="L454" s="4">
        <v>940</v>
      </c>
      <c r="M454" s="4">
        <v>10913</v>
      </c>
      <c r="N454" s="4">
        <v>566</v>
      </c>
      <c r="O454" s="4">
        <v>1937</v>
      </c>
      <c r="P454" s="4">
        <v>8364</v>
      </c>
      <c r="Q454" s="4">
        <v>612</v>
      </c>
    </row>
    <row r="455" spans="1:29" ht="13.2" x14ac:dyDescent="0.25">
      <c r="A455" s="15">
        <v>44344</v>
      </c>
      <c r="B455" s="4">
        <v>8</v>
      </c>
      <c r="C455" s="38">
        <v>44344.333333333336</v>
      </c>
      <c r="D455" s="4">
        <v>427462</v>
      </c>
      <c r="E455" s="4">
        <v>409497</v>
      </c>
      <c r="F455" s="4">
        <v>7288</v>
      </c>
      <c r="G455" s="4">
        <v>5161</v>
      </c>
      <c r="H455" s="4">
        <v>5516</v>
      </c>
      <c r="L455" s="4">
        <v>693</v>
      </c>
      <c r="M455" s="4">
        <v>10677</v>
      </c>
      <c r="N455" s="4">
        <v>912</v>
      </c>
      <c r="O455" s="4">
        <v>1658</v>
      </c>
      <c r="P455" s="4">
        <v>7859</v>
      </c>
      <c r="Q455" s="4">
        <v>1160</v>
      </c>
    </row>
    <row r="456" spans="1:29" ht="13.2" x14ac:dyDescent="0.25">
      <c r="A456" s="15">
        <v>44345</v>
      </c>
      <c r="B456" s="4">
        <v>8</v>
      </c>
      <c r="C456" s="38">
        <v>44345.333333333336</v>
      </c>
      <c r="D456" s="4">
        <v>428269</v>
      </c>
      <c r="E456" s="4">
        <v>410508</v>
      </c>
      <c r="F456" s="4">
        <v>7296</v>
      </c>
      <c r="G456" s="4">
        <v>5004</v>
      </c>
      <c r="H456" s="4">
        <v>5461</v>
      </c>
      <c r="L456" s="4">
        <v>807</v>
      </c>
      <c r="M456" s="4">
        <v>10465</v>
      </c>
      <c r="N456" s="4">
        <v>1011</v>
      </c>
      <c r="O456" s="4">
        <v>1557</v>
      </c>
      <c r="P456" s="4">
        <v>7184</v>
      </c>
      <c r="Q456" s="4">
        <v>1724</v>
      </c>
    </row>
    <row r="457" spans="1:29" ht="15.75" customHeight="1" x14ac:dyDescent="0.3">
      <c r="A457" s="15">
        <v>44346</v>
      </c>
      <c r="B457" s="19">
        <v>8</v>
      </c>
      <c r="C457" s="38">
        <v>44346.333333333336</v>
      </c>
      <c r="D457" s="10">
        <v>429333</v>
      </c>
      <c r="E457" s="10">
        <v>411495</v>
      </c>
      <c r="F457" s="10">
        <v>7309</v>
      </c>
      <c r="G457" s="10">
        <v>5100</v>
      </c>
      <c r="H457" s="10">
        <v>5429</v>
      </c>
      <c r="I457" s="32"/>
      <c r="J457" s="32"/>
      <c r="K457" s="32"/>
      <c r="L457" s="10">
        <v>1064</v>
      </c>
      <c r="M457" s="10">
        <v>10529</v>
      </c>
      <c r="N457" s="10">
        <v>987</v>
      </c>
      <c r="O457" s="19">
        <v>1375</v>
      </c>
      <c r="P457" s="19">
        <v>6661</v>
      </c>
      <c r="Q457" s="10">
        <v>2493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 spans="1:29" ht="13.2" x14ac:dyDescent="0.25">
      <c r="A458" s="15">
        <v>44347</v>
      </c>
      <c r="B458" s="19">
        <v>8</v>
      </c>
      <c r="C458" s="38">
        <v>44347.333333333336</v>
      </c>
      <c r="D458" s="4">
        <v>430059</v>
      </c>
      <c r="E458" s="4">
        <v>412074</v>
      </c>
      <c r="F458" s="4">
        <v>7327</v>
      </c>
      <c r="G458" s="4">
        <v>5241</v>
      </c>
      <c r="H458" s="4">
        <v>5417</v>
      </c>
      <c r="L458" s="4">
        <v>726</v>
      </c>
      <c r="M458" s="4">
        <v>10658</v>
      </c>
      <c r="N458" s="4">
        <v>579</v>
      </c>
      <c r="O458" s="4">
        <v>2117</v>
      </c>
      <c r="P458" s="4">
        <v>8023</v>
      </c>
      <c r="Q458" s="4">
        <v>518</v>
      </c>
    </row>
    <row r="459" spans="1:29" ht="13.2" x14ac:dyDescent="0.25">
      <c r="A459" s="15">
        <v>44348</v>
      </c>
      <c r="B459" s="19">
        <v>8</v>
      </c>
      <c r="C459" s="38">
        <v>44348.333333333336</v>
      </c>
      <c r="D459" s="21">
        <v>430578</v>
      </c>
      <c r="E459" s="21">
        <v>412593</v>
      </c>
      <c r="F459" s="21">
        <v>7349</v>
      </c>
      <c r="G459" s="21">
        <v>5214</v>
      </c>
      <c r="H459" s="21">
        <v>5422</v>
      </c>
      <c r="L459" s="21">
        <v>519</v>
      </c>
      <c r="M459" s="21">
        <v>10636</v>
      </c>
      <c r="N459" s="21">
        <v>519</v>
      </c>
      <c r="O459" s="21">
        <v>1996</v>
      </c>
      <c r="P459" s="21">
        <v>7706</v>
      </c>
      <c r="Q459" s="21">
        <v>934</v>
      </c>
    </row>
    <row r="460" spans="1:29" ht="13.2" x14ac:dyDescent="0.25">
      <c r="A460" s="15">
        <v>44349</v>
      </c>
      <c r="B460" s="19">
        <v>8</v>
      </c>
      <c r="C460" s="38">
        <v>44349.333333333336</v>
      </c>
      <c r="D460" s="4">
        <v>431179</v>
      </c>
      <c r="E460" s="4">
        <v>413179</v>
      </c>
      <c r="F460" s="4">
        <v>7361</v>
      </c>
      <c r="G460" s="4">
        <v>5178</v>
      </c>
      <c r="H460" s="4">
        <v>5461</v>
      </c>
      <c r="L460" s="4">
        <v>601</v>
      </c>
      <c r="M460" s="4">
        <v>10639</v>
      </c>
      <c r="N460" s="4">
        <v>586</v>
      </c>
      <c r="O460" s="4">
        <v>1951</v>
      </c>
      <c r="P460" s="4">
        <v>7330</v>
      </c>
      <c r="Q460" s="4">
        <v>1358</v>
      </c>
    </row>
    <row r="461" spans="1:29" ht="13.2" x14ac:dyDescent="0.25">
      <c r="A461" s="15">
        <v>44350</v>
      </c>
      <c r="B461" s="19">
        <v>8</v>
      </c>
      <c r="C461" s="38">
        <v>44350.333333333336</v>
      </c>
      <c r="D461" s="4">
        <v>431893</v>
      </c>
      <c r="E461" s="4">
        <v>413680</v>
      </c>
      <c r="F461" s="4">
        <v>7381</v>
      </c>
      <c r="G461" s="4">
        <v>5402</v>
      </c>
      <c r="H461" s="4">
        <v>5430</v>
      </c>
      <c r="L461" s="4">
        <v>714</v>
      </c>
      <c r="M461" s="4">
        <v>10832</v>
      </c>
      <c r="N461" s="4">
        <v>501</v>
      </c>
      <c r="O461" s="4">
        <v>1811</v>
      </c>
      <c r="P461" s="4">
        <v>7116</v>
      </c>
      <c r="Q461" s="4">
        <v>1905</v>
      </c>
    </row>
    <row r="462" spans="1:29" ht="13.2" x14ac:dyDescent="0.25">
      <c r="A462" s="15">
        <v>44351</v>
      </c>
      <c r="B462" s="4">
        <v>8</v>
      </c>
      <c r="C462" s="38">
        <v>44351.333333333336</v>
      </c>
      <c r="D462" s="4">
        <v>432799</v>
      </c>
      <c r="E462" s="4">
        <v>414496</v>
      </c>
      <c r="F462" s="4">
        <v>7402</v>
      </c>
      <c r="G462" s="4">
        <v>5414</v>
      </c>
      <c r="H462" s="4">
        <v>5487</v>
      </c>
      <c r="L462" s="4">
        <v>906</v>
      </c>
      <c r="M462" s="4">
        <v>10901</v>
      </c>
      <c r="N462" s="4">
        <v>816</v>
      </c>
      <c r="O462" s="4">
        <v>2618</v>
      </c>
      <c r="P462" s="4">
        <v>7650</v>
      </c>
      <c r="Q462" s="4">
        <v>633</v>
      </c>
    </row>
    <row r="463" spans="1:29" ht="13.2" x14ac:dyDescent="0.25">
      <c r="A463" s="15">
        <v>44352</v>
      </c>
      <c r="B463" s="4">
        <v>8</v>
      </c>
      <c r="C463" s="38">
        <v>44352.333333333336</v>
      </c>
      <c r="D463" s="4">
        <v>434116</v>
      </c>
      <c r="E463" s="4">
        <v>415317</v>
      </c>
      <c r="F463" s="4">
        <v>7423</v>
      </c>
      <c r="G463" s="4">
        <v>5756</v>
      </c>
      <c r="H463" s="4">
        <v>5620</v>
      </c>
      <c r="L463" s="4">
        <v>1317</v>
      </c>
      <c r="M463" s="4">
        <v>11376</v>
      </c>
      <c r="N463" s="4">
        <v>821</v>
      </c>
      <c r="O463" s="4">
        <v>2404</v>
      </c>
      <c r="P463" s="4">
        <v>7279</v>
      </c>
      <c r="Q463" s="4">
        <v>1693</v>
      </c>
    </row>
    <row r="464" spans="1:29" ht="15.75" customHeight="1" x14ac:dyDescent="0.3">
      <c r="A464" s="15">
        <v>44353</v>
      </c>
      <c r="B464" s="19">
        <v>8</v>
      </c>
      <c r="C464" s="38">
        <v>44353.333333333336</v>
      </c>
      <c r="D464" s="10">
        <v>435135</v>
      </c>
      <c r="E464" s="10">
        <v>416181</v>
      </c>
      <c r="F464" s="10">
        <v>7438</v>
      </c>
      <c r="G464" s="10">
        <v>5966</v>
      </c>
      <c r="H464" s="10">
        <v>5550</v>
      </c>
      <c r="I464" s="32"/>
      <c r="J464" s="32"/>
      <c r="K464" s="32"/>
      <c r="L464" s="10">
        <v>1019</v>
      </c>
      <c r="M464" s="10">
        <v>11516</v>
      </c>
      <c r="N464" s="10">
        <v>864</v>
      </c>
      <c r="O464" s="19">
        <v>1901</v>
      </c>
      <c r="P464" s="19">
        <v>7135</v>
      </c>
      <c r="Q464" s="10">
        <v>2480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 spans="1:29" ht="13.2" x14ac:dyDescent="0.25">
      <c r="A465" s="15">
        <v>44354</v>
      </c>
      <c r="B465" s="19">
        <v>8</v>
      </c>
      <c r="C465" s="38">
        <v>44354.333333333336</v>
      </c>
      <c r="D465" s="21">
        <v>436332</v>
      </c>
      <c r="E465" s="21">
        <v>416994</v>
      </c>
      <c r="F465" s="21">
        <v>7457</v>
      </c>
      <c r="G465" s="21">
        <v>6261</v>
      </c>
      <c r="H465" s="21">
        <v>5620</v>
      </c>
      <c r="L465" s="21">
        <v>1197</v>
      </c>
      <c r="M465" s="21">
        <v>11881</v>
      </c>
      <c r="N465" s="21">
        <v>813</v>
      </c>
      <c r="O465" s="21">
        <v>2412</v>
      </c>
      <c r="P465" s="21">
        <v>8576</v>
      </c>
      <c r="Q465" s="21">
        <v>893</v>
      </c>
    </row>
    <row r="466" spans="1:29" ht="13.2" x14ac:dyDescent="0.25">
      <c r="A466" s="15">
        <v>44355</v>
      </c>
      <c r="B466" s="19">
        <v>8</v>
      </c>
      <c r="C466" s="38">
        <v>44355.333333333336</v>
      </c>
      <c r="D466" s="4">
        <v>437087</v>
      </c>
      <c r="E466" s="4">
        <v>417997</v>
      </c>
      <c r="F466" s="4">
        <v>7478</v>
      </c>
      <c r="G466" s="4">
        <v>6057</v>
      </c>
      <c r="H466" s="4">
        <v>5555</v>
      </c>
      <c r="L466" s="4">
        <v>755</v>
      </c>
      <c r="M466" s="4">
        <v>11612</v>
      </c>
      <c r="N466" s="4">
        <v>1003</v>
      </c>
      <c r="O466" s="4">
        <v>2186</v>
      </c>
      <c r="P466" s="4">
        <v>7949</v>
      </c>
      <c r="Q466" s="4">
        <v>1477</v>
      </c>
    </row>
    <row r="467" spans="1:29" ht="13.2" x14ac:dyDescent="0.25">
      <c r="A467" s="15">
        <v>44356</v>
      </c>
      <c r="B467" s="4">
        <v>8</v>
      </c>
      <c r="C467" s="38">
        <v>44356.333333333336</v>
      </c>
      <c r="D467" s="4">
        <v>438458</v>
      </c>
      <c r="E467" s="4">
        <v>419109</v>
      </c>
      <c r="F467" s="4">
        <v>7499</v>
      </c>
      <c r="G467" s="4">
        <v>6120</v>
      </c>
      <c r="H467" s="4">
        <v>5730</v>
      </c>
      <c r="L467" s="4">
        <v>1371</v>
      </c>
      <c r="M467" s="4">
        <v>11850</v>
      </c>
      <c r="N467" s="4">
        <v>1112</v>
      </c>
      <c r="O467" s="4">
        <v>1992</v>
      </c>
      <c r="P467" s="4">
        <v>7270</v>
      </c>
      <c r="Q467" s="4">
        <v>2588</v>
      </c>
    </row>
    <row r="468" spans="1:29" ht="13.2" x14ac:dyDescent="0.25">
      <c r="A468" s="15">
        <v>44357</v>
      </c>
      <c r="B468" s="4">
        <v>8</v>
      </c>
      <c r="C468" s="38">
        <v>44357.333333333336</v>
      </c>
      <c r="D468" s="4">
        <v>440554</v>
      </c>
      <c r="E468" s="4">
        <v>420211</v>
      </c>
      <c r="F468" s="4">
        <v>7523</v>
      </c>
      <c r="G468" s="4">
        <v>6991</v>
      </c>
      <c r="H468" s="4">
        <v>5829</v>
      </c>
      <c r="L468" s="4">
        <v>2096</v>
      </c>
      <c r="M468" s="4">
        <v>12820</v>
      </c>
      <c r="N468" s="4">
        <v>1102</v>
      </c>
      <c r="O468" s="4">
        <v>1789</v>
      </c>
      <c r="P468" s="4">
        <v>6881</v>
      </c>
      <c r="Q468" s="4">
        <v>4150</v>
      </c>
    </row>
    <row r="469" spans="1:29" ht="15.75" customHeight="1" x14ac:dyDescent="0.3">
      <c r="A469" s="15">
        <v>44358</v>
      </c>
      <c r="B469" s="19">
        <v>8</v>
      </c>
      <c r="C469" s="38">
        <v>44358.333333333336</v>
      </c>
      <c r="D469" s="10">
        <v>442847</v>
      </c>
      <c r="E469" s="10">
        <v>421396</v>
      </c>
      <c r="F469" s="10">
        <v>7543</v>
      </c>
      <c r="G469" s="10">
        <v>7750</v>
      </c>
      <c r="H469" s="10">
        <v>6158</v>
      </c>
      <c r="I469" s="32"/>
      <c r="J469" s="32"/>
      <c r="K469" s="32"/>
      <c r="L469" s="10">
        <v>2293</v>
      </c>
      <c r="M469" s="10">
        <v>13908</v>
      </c>
      <c r="N469" s="10">
        <v>1185</v>
      </c>
      <c r="O469" s="20">
        <v>1456</v>
      </c>
      <c r="P469" s="20">
        <v>6442</v>
      </c>
      <c r="Q469" s="10">
        <v>6010</v>
      </c>
    </row>
    <row r="470" spans="1:29" ht="15.75" customHeight="1" x14ac:dyDescent="0.3">
      <c r="A470" s="15">
        <v>44359</v>
      </c>
      <c r="B470" s="4">
        <v>8</v>
      </c>
      <c r="C470" s="38">
        <v>44359.333333333336</v>
      </c>
      <c r="D470" s="10">
        <v>445302</v>
      </c>
      <c r="E470" s="10">
        <v>422121</v>
      </c>
      <c r="F470" s="10">
        <v>7557</v>
      </c>
      <c r="G470" s="10">
        <v>8855</v>
      </c>
      <c r="H470" s="10">
        <v>6769</v>
      </c>
      <c r="I470" s="32"/>
      <c r="J470" s="32"/>
      <c r="K470" s="32"/>
      <c r="L470" s="10">
        <v>2455</v>
      </c>
      <c r="M470" s="10">
        <v>15624</v>
      </c>
      <c r="N470" s="10">
        <v>725</v>
      </c>
      <c r="O470" s="20">
        <v>1289</v>
      </c>
      <c r="P470" s="20">
        <v>6395</v>
      </c>
      <c r="Q470" s="10">
        <v>7940</v>
      </c>
    </row>
    <row r="471" spans="1:29" ht="15.75" customHeight="1" x14ac:dyDescent="0.3">
      <c r="A471" s="15">
        <v>44360</v>
      </c>
      <c r="B471" s="19">
        <v>8</v>
      </c>
      <c r="C471" s="38">
        <v>44360.333333333336</v>
      </c>
      <c r="D471" s="10">
        <v>448071</v>
      </c>
      <c r="E471" s="10">
        <v>423056</v>
      </c>
      <c r="F471" s="10">
        <v>7571</v>
      </c>
      <c r="G471" s="10">
        <v>10034</v>
      </c>
      <c r="H471" s="10">
        <v>7410</v>
      </c>
      <c r="I471" s="32"/>
      <c r="J471" s="32"/>
      <c r="K471" s="32"/>
      <c r="L471" s="10">
        <v>2769</v>
      </c>
      <c r="M471" s="10">
        <v>17444</v>
      </c>
      <c r="N471" s="10">
        <v>935</v>
      </c>
      <c r="O471" s="19">
        <v>1117</v>
      </c>
      <c r="P471" s="19">
        <v>6352</v>
      </c>
      <c r="Q471" s="10">
        <v>9975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 spans="1:29" ht="15.75" customHeight="1" x14ac:dyDescent="0.3">
      <c r="A472" s="15">
        <v>44361</v>
      </c>
      <c r="B472" s="19">
        <v>8</v>
      </c>
      <c r="C472" s="38">
        <v>44361.333333333336</v>
      </c>
      <c r="D472" s="10">
        <v>450793</v>
      </c>
      <c r="E472" s="10">
        <v>424088</v>
      </c>
      <c r="F472" s="10">
        <v>7609</v>
      </c>
      <c r="G472" s="10">
        <v>11240</v>
      </c>
      <c r="H472" s="10">
        <v>7856</v>
      </c>
      <c r="I472" s="32"/>
      <c r="J472" s="32"/>
      <c r="K472" s="32"/>
      <c r="L472" s="10">
        <v>2722</v>
      </c>
      <c r="M472" s="10">
        <v>19096</v>
      </c>
      <c r="N472" s="10">
        <v>1032</v>
      </c>
      <c r="O472" s="20">
        <v>4032</v>
      </c>
      <c r="P472" s="20">
        <v>13945</v>
      </c>
      <c r="Q472" s="10">
        <v>1119</v>
      </c>
    </row>
    <row r="473" spans="1:29" ht="15.75" customHeight="1" x14ac:dyDescent="0.3">
      <c r="A473" s="15">
        <v>44362</v>
      </c>
      <c r="B473" s="4">
        <v>8</v>
      </c>
      <c r="C473" s="38">
        <v>44362.333333333336</v>
      </c>
      <c r="D473" s="10">
        <v>452295</v>
      </c>
      <c r="E473" s="10">
        <v>425417</v>
      </c>
      <c r="F473" s="10">
        <v>7634</v>
      </c>
      <c r="G473" s="10">
        <v>11102</v>
      </c>
      <c r="H473" s="10">
        <v>8142</v>
      </c>
      <c r="I473" s="32"/>
      <c r="J473" s="32"/>
      <c r="K473" s="32"/>
      <c r="L473" s="10">
        <v>1502</v>
      </c>
      <c r="M473" s="10">
        <v>19244</v>
      </c>
      <c r="N473" s="10">
        <v>1329</v>
      </c>
      <c r="O473" s="20">
        <v>3746</v>
      </c>
      <c r="P473" s="20">
        <v>13108</v>
      </c>
      <c r="Q473" s="10">
        <v>2390</v>
      </c>
    </row>
    <row r="474" spans="1:29" ht="13.2" x14ac:dyDescent="0.25">
      <c r="A474" s="15">
        <v>44363</v>
      </c>
      <c r="B474" s="4">
        <v>8</v>
      </c>
      <c r="C474" s="38">
        <v>44363.333333333336</v>
      </c>
      <c r="D474" s="4">
        <v>454671</v>
      </c>
      <c r="E474" s="4">
        <v>426695</v>
      </c>
      <c r="F474" s="4">
        <v>7665</v>
      </c>
      <c r="G474" s="4">
        <v>11555</v>
      </c>
      <c r="H474" s="4">
        <v>8756</v>
      </c>
      <c r="L474" s="4">
        <v>2376</v>
      </c>
      <c r="M474" s="4">
        <v>20311</v>
      </c>
      <c r="N474" s="4">
        <v>1278</v>
      </c>
      <c r="O474" s="4">
        <v>3458</v>
      </c>
      <c r="P474" s="4">
        <v>12419</v>
      </c>
      <c r="Q474" s="4">
        <v>4434</v>
      </c>
    </row>
    <row r="475" spans="1:29" ht="13.2" x14ac:dyDescent="0.25">
      <c r="A475" s="15">
        <v>44364</v>
      </c>
      <c r="B475" s="4">
        <v>8</v>
      </c>
      <c r="C475" s="38">
        <v>44364.333333333336</v>
      </c>
      <c r="D475" s="4">
        <v>458815</v>
      </c>
      <c r="E475" s="4">
        <v>428764</v>
      </c>
      <c r="F475" s="4">
        <v>7713</v>
      </c>
      <c r="G475" s="4">
        <v>13054</v>
      </c>
      <c r="H475" s="4">
        <v>9284</v>
      </c>
      <c r="L475" s="4">
        <v>4144</v>
      </c>
      <c r="M475" s="4">
        <v>22338</v>
      </c>
      <c r="N475" s="4">
        <v>2069</v>
      </c>
      <c r="O475" s="4">
        <v>2882</v>
      </c>
      <c r="P475" s="4">
        <v>11788</v>
      </c>
      <c r="Q475" s="4">
        <v>7668</v>
      </c>
    </row>
    <row r="476" spans="1:29" ht="13.2" x14ac:dyDescent="0.25">
      <c r="A476" s="15">
        <v>44365</v>
      </c>
      <c r="B476" s="4">
        <v>8</v>
      </c>
      <c r="C476" s="38">
        <v>44365.333333333336</v>
      </c>
      <c r="D476" s="4">
        <v>463552</v>
      </c>
      <c r="E476" s="4">
        <v>431264</v>
      </c>
      <c r="F476" s="4">
        <v>7777</v>
      </c>
      <c r="G476" s="4">
        <v>14951</v>
      </c>
      <c r="H476" s="4">
        <v>9560</v>
      </c>
      <c r="L476" s="4">
        <v>4737</v>
      </c>
      <c r="M476" s="4">
        <v>24511</v>
      </c>
      <c r="N476" s="4">
        <v>2500</v>
      </c>
      <c r="O476" s="4">
        <v>2531</v>
      </c>
      <c r="P476" s="4">
        <v>10655</v>
      </c>
      <c r="Q476" s="4">
        <v>11325</v>
      </c>
    </row>
    <row r="477" spans="1:29" ht="13.2" x14ac:dyDescent="0.25">
      <c r="A477" s="15">
        <v>44366</v>
      </c>
      <c r="B477" s="4">
        <v>8</v>
      </c>
      <c r="C477" s="38">
        <v>44366.333333333336</v>
      </c>
      <c r="D477" s="4">
        <v>468447</v>
      </c>
      <c r="E477" s="4">
        <v>433499</v>
      </c>
      <c r="F477" s="4">
        <v>7836</v>
      </c>
      <c r="G477" s="4">
        <v>16787</v>
      </c>
      <c r="H477" s="4">
        <v>10325</v>
      </c>
      <c r="L477" s="4">
        <v>4895</v>
      </c>
      <c r="M477" s="4">
        <v>27112</v>
      </c>
      <c r="N477" s="4">
        <v>2235</v>
      </c>
      <c r="O477" s="4">
        <v>1840</v>
      </c>
      <c r="P477" s="4">
        <v>9740</v>
      </c>
      <c r="Q477" s="4">
        <v>15532</v>
      </c>
    </row>
    <row r="478" spans="1:29" ht="15.75" customHeight="1" x14ac:dyDescent="0.3">
      <c r="A478" s="15">
        <v>44367</v>
      </c>
      <c r="B478" s="19">
        <v>8</v>
      </c>
      <c r="C478" s="38">
        <v>44367.333333333336</v>
      </c>
      <c r="D478" s="10">
        <v>474029</v>
      </c>
      <c r="E478" s="10">
        <v>435982</v>
      </c>
      <c r="F478" s="10">
        <v>7905</v>
      </c>
      <c r="G478" s="10">
        <v>19105</v>
      </c>
      <c r="H478" s="10">
        <v>11037</v>
      </c>
      <c r="I478" s="32"/>
      <c r="J478" s="32"/>
      <c r="K478" s="32"/>
      <c r="L478" s="10">
        <v>5582</v>
      </c>
      <c r="M478" s="10">
        <v>30142</v>
      </c>
      <c r="N478" s="10">
        <v>2483</v>
      </c>
      <c r="O478" s="19">
        <v>1325</v>
      </c>
      <c r="P478" s="19">
        <v>8734</v>
      </c>
      <c r="Q478" s="10">
        <v>20083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 spans="1:29" ht="15.75" customHeight="1" x14ac:dyDescent="0.3">
      <c r="A479" s="15">
        <v>44368</v>
      </c>
      <c r="B479" s="4">
        <v>8</v>
      </c>
      <c r="C479" s="38">
        <v>44368.333333333336</v>
      </c>
      <c r="D479" s="10">
        <v>479043</v>
      </c>
      <c r="E479" s="10">
        <v>439007</v>
      </c>
      <c r="F479" s="10">
        <v>7976</v>
      </c>
      <c r="G479" s="10">
        <v>20717</v>
      </c>
      <c r="H479" s="10">
        <v>11343</v>
      </c>
      <c r="I479" s="32"/>
      <c r="J479" s="32"/>
      <c r="K479" s="32"/>
      <c r="L479" s="10">
        <v>5014</v>
      </c>
      <c r="M479" s="10">
        <v>32060</v>
      </c>
      <c r="N479" s="10">
        <v>3025</v>
      </c>
      <c r="O479" s="10">
        <v>8039</v>
      </c>
      <c r="P479" s="10">
        <v>19670</v>
      </c>
      <c r="Q479" s="10">
        <v>4351</v>
      </c>
    </row>
    <row r="480" spans="1:29" ht="15.75" customHeight="1" x14ac:dyDescent="0.3">
      <c r="A480" s="15">
        <v>44369</v>
      </c>
      <c r="B480" s="19">
        <v>8</v>
      </c>
      <c r="C480" s="38">
        <v>44369.333333333336</v>
      </c>
      <c r="D480" s="10">
        <v>482264</v>
      </c>
      <c r="E480" s="10">
        <v>442059</v>
      </c>
      <c r="F480" s="10">
        <v>8014</v>
      </c>
      <c r="G480" s="10">
        <v>21167</v>
      </c>
      <c r="H480" s="10">
        <v>11024</v>
      </c>
      <c r="I480" s="32"/>
      <c r="J480" s="32"/>
      <c r="K480" s="32"/>
      <c r="L480" s="10">
        <v>3221</v>
      </c>
      <c r="M480" s="10">
        <v>32191</v>
      </c>
      <c r="N480" s="10">
        <v>3052</v>
      </c>
      <c r="O480" s="10">
        <v>6351</v>
      </c>
      <c r="P480" s="10">
        <v>16241</v>
      </c>
      <c r="Q480" s="10">
        <v>9599</v>
      </c>
    </row>
    <row r="481" spans="1:29" ht="13.2" x14ac:dyDescent="0.25">
      <c r="A481" s="15">
        <v>44370</v>
      </c>
      <c r="B481" s="19">
        <v>8</v>
      </c>
      <c r="C481" s="38">
        <v>44370.333333333336</v>
      </c>
      <c r="D481" s="4">
        <v>486957</v>
      </c>
      <c r="E481" s="4">
        <v>443195</v>
      </c>
      <c r="F481" s="4">
        <v>8057</v>
      </c>
      <c r="G481" s="4">
        <v>22868</v>
      </c>
      <c r="H481" s="4">
        <v>12837</v>
      </c>
      <c r="L481" s="4">
        <v>4693</v>
      </c>
      <c r="M481" s="4">
        <v>35705</v>
      </c>
      <c r="N481" s="4">
        <v>1136</v>
      </c>
      <c r="O481" s="4">
        <v>6163</v>
      </c>
      <c r="P481" s="4">
        <v>15906</v>
      </c>
      <c r="Q481" s="4">
        <v>13636</v>
      </c>
    </row>
    <row r="482" spans="1:29" ht="13.2" x14ac:dyDescent="0.25">
      <c r="A482" s="15">
        <v>44371</v>
      </c>
      <c r="B482" s="19">
        <v>8</v>
      </c>
      <c r="C482" s="38">
        <v>44371.333333333336</v>
      </c>
      <c r="D482" s="4">
        <v>494462</v>
      </c>
      <c r="E482" s="4">
        <v>445718</v>
      </c>
      <c r="F482" s="4">
        <v>8107</v>
      </c>
      <c r="G482" s="4">
        <v>26403</v>
      </c>
      <c r="H482" s="4">
        <v>14234</v>
      </c>
      <c r="L482" s="4">
        <v>7505</v>
      </c>
      <c r="M482" s="4">
        <v>40637</v>
      </c>
      <c r="N482" s="4">
        <v>2523</v>
      </c>
      <c r="O482" s="4">
        <v>5567</v>
      </c>
      <c r="P482" s="4">
        <v>15624</v>
      </c>
      <c r="Q482" s="4">
        <v>19446</v>
      </c>
    </row>
    <row r="483" spans="1:29" ht="13.2" x14ac:dyDescent="0.25">
      <c r="A483" s="15">
        <v>44372</v>
      </c>
      <c r="B483" s="4">
        <v>8</v>
      </c>
      <c r="C483" s="38">
        <v>44372.333333333336</v>
      </c>
      <c r="D483" s="4">
        <v>501396</v>
      </c>
      <c r="E483" s="4">
        <v>448288</v>
      </c>
      <c r="F483" s="4">
        <v>8177</v>
      </c>
      <c r="G483" s="4">
        <v>29325</v>
      </c>
      <c r="H483" s="4">
        <v>15606</v>
      </c>
      <c r="L483" s="4">
        <v>6934</v>
      </c>
      <c r="M483" s="4">
        <v>44931</v>
      </c>
      <c r="N483" s="4">
        <v>2570</v>
      </c>
      <c r="O483" s="4">
        <v>5170</v>
      </c>
      <c r="P483" s="4">
        <v>14668</v>
      </c>
      <c r="Q483" s="4">
        <v>25093</v>
      </c>
    </row>
    <row r="484" spans="1:29" ht="15.75" customHeight="1" x14ac:dyDescent="0.3">
      <c r="A484" s="15">
        <v>44373</v>
      </c>
      <c r="B484" s="19">
        <v>8</v>
      </c>
      <c r="C484" s="38">
        <v>44373.333333333336</v>
      </c>
      <c r="D484" s="10">
        <v>510667</v>
      </c>
      <c r="E484" s="10">
        <v>451013</v>
      </c>
      <c r="F484" s="10">
        <v>8220</v>
      </c>
      <c r="G484" s="10">
        <v>33829</v>
      </c>
      <c r="H484" s="10">
        <v>17605</v>
      </c>
      <c r="I484" s="32"/>
      <c r="J484" s="32"/>
      <c r="K484" s="32"/>
      <c r="L484" s="10">
        <v>9271</v>
      </c>
      <c r="M484" s="10">
        <v>51434</v>
      </c>
      <c r="N484" s="10">
        <v>2725</v>
      </c>
      <c r="O484" s="19">
        <v>4381</v>
      </c>
      <c r="P484" s="19">
        <v>14547</v>
      </c>
      <c r="Q484" s="10">
        <v>32506</v>
      </c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 spans="1:29" ht="13.2" x14ac:dyDescent="0.25">
      <c r="A485" s="15">
        <v>44374</v>
      </c>
      <c r="B485" s="4">
        <v>8</v>
      </c>
      <c r="C485" s="38">
        <v>44374.333333333336</v>
      </c>
      <c r="D485" s="4">
        <v>520061</v>
      </c>
      <c r="E485" s="4">
        <v>454497</v>
      </c>
      <c r="F485" s="4">
        <v>8269</v>
      </c>
      <c r="G485" s="4">
        <v>38464</v>
      </c>
      <c r="H485" s="4">
        <v>18831</v>
      </c>
      <c r="L485" s="4">
        <v>9394</v>
      </c>
      <c r="M485" s="4">
        <v>57295</v>
      </c>
      <c r="N485" s="4">
        <v>3484</v>
      </c>
      <c r="O485" s="4">
        <v>3484</v>
      </c>
      <c r="P485" s="4">
        <v>13789</v>
      </c>
      <c r="Q485" s="4">
        <v>40022</v>
      </c>
    </row>
    <row r="486" spans="1:29" ht="15.75" customHeight="1" x14ac:dyDescent="0.3">
      <c r="A486" s="40">
        <v>44375</v>
      </c>
      <c r="B486" s="20">
        <v>8</v>
      </c>
      <c r="C486" s="41">
        <v>44375.333333333336</v>
      </c>
      <c r="D486" s="10">
        <v>528409</v>
      </c>
      <c r="E486" s="10">
        <v>457935</v>
      </c>
      <c r="F486" s="10">
        <v>8348</v>
      </c>
      <c r="G486" s="10">
        <v>42252</v>
      </c>
      <c r="H486" s="10">
        <v>19874</v>
      </c>
      <c r="I486" s="32"/>
      <c r="J486" s="32"/>
      <c r="K486" s="32"/>
      <c r="L486" s="10">
        <v>8348</v>
      </c>
      <c r="M486" s="10">
        <v>62126</v>
      </c>
      <c r="N486" s="10">
        <v>3438</v>
      </c>
      <c r="O486" s="10">
        <v>17144</v>
      </c>
      <c r="P486" s="10">
        <v>29461</v>
      </c>
      <c r="Q486" s="10">
        <v>15521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ColWidth="14.44140625" defaultRowHeight="15.75" customHeight="1" x14ac:dyDescent="0.25"/>
  <sheetData>
    <row r="1" spans="1:27" ht="39.6" x14ac:dyDescent="0.25">
      <c r="A1" s="42" t="s">
        <v>0</v>
      </c>
      <c r="B1" s="43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3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3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3" t="s">
        <v>52</v>
      </c>
      <c r="R1" s="42" t="s">
        <v>53</v>
      </c>
      <c r="S1" s="42" t="s">
        <v>54</v>
      </c>
      <c r="T1" s="42" t="s">
        <v>55</v>
      </c>
      <c r="U1" s="42" t="s">
        <v>56</v>
      </c>
      <c r="V1" s="43" t="s">
        <v>57</v>
      </c>
      <c r="W1" s="42" t="s">
        <v>58</v>
      </c>
      <c r="X1" s="42" t="s">
        <v>59</v>
      </c>
      <c r="Y1" s="42" t="s">
        <v>60</v>
      </c>
      <c r="Z1" s="42" t="s">
        <v>61</v>
      </c>
      <c r="AA1" s="44" t="s">
        <v>62</v>
      </c>
    </row>
    <row r="2" spans="1:27" ht="13.2" x14ac:dyDescent="0.25">
      <c r="A2" s="45">
        <v>44029</v>
      </c>
      <c r="B2" s="46">
        <v>5712</v>
      </c>
      <c r="F2" s="4">
        <v>5712</v>
      </c>
      <c r="G2" s="46">
        <v>78725</v>
      </c>
      <c r="I2" s="4">
        <v>5191</v>
      </c>
      <c r="K2" s="4">
        <v>73534</v>
      </c>
      <c r="L2" s="46">
        <v>1794</v>
      </c>
      <c r="N2" s="4">
        <v>41</v>
      </c>
      <c r="P2" s="4">
        <v>1753</v>
      </c>
      <c r="Q2" s="46">
        <v>42</v>
      </c>
      <c r="R2" s="4">
        <v>1</v>
      </c>
      <c r="T2" s="4">
        <v>4</v>
      </c>
      <c r="U2" s="4">
        <v>37</v>
      </c>
      <c r="V2" s="46">
        <v>51507</v>
      </c>
      <c r="W2" s="4">
        <v>981</v>
      </c>
      <c r="X2" s="4">
        <v>504</v>
      </c>
      <c r="Y2" s="4">
        <v>2194</v>
      </c>
      <c r="Z2" s="4">
        <v>47828</v>
      </c>
      <c r="AA2" s="47">
        <v>137780</v>
      </c>
    </row>
    <row r="3" spans="1:27" ht="13.2" x14ac:dyDescent="0.25">
      <c r="A3" s="45">
        <v>44030</v>
      </c>
      <c r="B3" s="46">
        <v>5713</v>
      </c>
      <c r="F3" s="4">
        <v>5713</v>
      </c>
      <c r="G3" s="46">
        <v>80382</v>
      </c>
      <c r="I3" s="4">
        <v>6531</v>
      </c>
      <c r="K3" s="4">
        <v>73851</v>
      </c>
      <c r="L3" s="46">
        <v>1803</v>
      </c>
      <c r="N3" s="4">
        <v>45</v>
      </c>
      <c r="P3" s="4">
        <v>1758</v>
      </c>
      <c r="Q3" s="46">
        <v>42</v>
      </c>
      <c r="T3" s="4">
        <v>4</v>
      </c>
      <c r="U3" s="4">
        <v>38</v>
      </c>
      <c r="V3" s="46">
        <v>52081</v>
      </c>
      <c r="W3" s="4">
        <v>780</v>
      </c>
      <c r="X3" s="4">
        <v>584</v>
      </c>
      <c r="Y3" s="4">
        <v>2194</v>
      </c>
      <c r="Z3" s="4">
        <v>48523</v>
      </c>
      <c r="AA3" s="47">
        <v>140021</v>
      </c>
    </row>
    <row r="4" spans="1:27" ht="13.2" x14ac:dyDescent="0.25">
      <c r="A4" s="45">
        <v>44031</v>
      </c>
      <c r="B4" s="46">
        <v>5713</v>
      </c>
      <c r="F4" s="4">
        <v>5713</v>
      </c>
      <c r="G4" s="46">
        <v>81327</v>
      </c>
      <c r="I4" s="4">
        <v>7372</v>
      </c>
      <c r="K4" s="4">
        <v>73955</v>
      </c>
      <c r="L4" s="46">
        <v>1803</v>
      </c>
      <c r="N4" s="4">
        <v>45</v>
      </c>
      <c r="P4" s="4">
        <v>1758</v>
      </c>
      <c r="Q4" s="46">
        <v>42</v>
      </c>
      <c r="T4" s="4">
        <v>4</v>
      </c>
      <c r="U4" s="4">
        <v>38</v>
      </c>
      <c r="V4" s="46">
        <v>52586</v>
      </c>
      <c r="W4" s="4">
        <v>1136</v>
      </c>
      <c r="X4" s="4">
        <v>610</v>
      </c>
      <c r="Y4" s="4">
        <v>2194</v>
      </c>
      <c r="Z4" s="4">
        <v>48646</v>
      </c>
      <c r="AA4" s="47">
        <v>141471</v>
      </c>
    </row>
    <row r="5" spans="1:27" ht="13.2" x14ac:dyDescent="0.25">
      <c r="A5" s="45">
        <v>44032</v>
      </c>
      <c r="B5" s="46">
        <v>5713</v>
      </c>
      <c r="F5" s="4">
        <v>5713</v>
      </c>
      <c r="G5" s="46">
        <v>81739</v>
      </c>
      <c r="I5" s="4">
        <v>5547</v>
      </c>
      <c r="K5" s="4">
        <v>76192</v>
      </c>
      <c r="L5" s="46">
        <v>1809</v>
      </c>
      <c r="N5" s="4">
        <v>36</v>
      </c>
      <c r="P5" s="4">
        <v>1773</v>
      </c>
      <c r="Q5" s="46">
        <v>42</v>
      </c>
      <c r="T5" s="4">
        <v>4</v>
      </c>
      <c r="U5" s="4">
        <v>38</v>
      </c>
      <c r="V5" s="46">
        <v>52714</v>
      </c>
      <c r="W5" s="4">
        <v>1067</v>
      </c>
      <c r="X5" s="4">
        <v>602</v>
      </c>
      <c r="Y5" s="4">
        <v>2194</v>
      </c>
      <c r="Z5" s="4">
        <v>48851</v>
      </c>
      <c r="AA5" s="47">
        <v>142017</v>
      </c>
    </row>
    <row r="6" spans="1:27" ht="13.2" x14ac:dyDescent="0.25">
      <c r="A6" s="45">
        <v>44033</v>
      </c>
      <c r="B6" s="46">
        <v>5643</v>
      </c>
      <c r="F6" s="4">
        <v>5643</v>
      </c>
      <c r="G6" s="46">
        <v>82860</v>
      </c>
      <c r="I6" s="4">
        <v>5934</v>
      </c>
      <c r="K6" s="4">
        <v>76926</v>
      </c>
      <c r="L6" s="46">
        <v>1824</v>
      </c>
      <c r="N6" s="4">
        <v>46</v>
      </c>
      <c r="P6" s="4">
        <v>1778</v>
      </c>
      <c r="Q6" s="46">
        <v>42</v>
      </c>
      <c r="T6" s="4">
        <v>4</v>
      </c>
      <c r="U6" s="4">
        <v>38</v>
      </c>
      <c r="V6" s="46">
        <v>52957</v>
      </c>
      <c r="W6" s="4">
        <v>1158</v>
      </c>
      <c r="X6" s="4">
        <v>725</v>
      </c>
      <c r="Y6" s="4">
        <v>2194</v>
      </c>
      <c r="Z6" s="4">
        <v>48880</v>
      </c>
      <c r="AA6" s="47">
        <v>143326</v>
      </c>
    </row>
    <row r="7" spans="1:27" ht="13.2" x14ac:dyDescent="0.25">
      <c r="A7" s="45">
        <v>44034</v>
      </c>
      <c r="B7" s="46">
        <v>5591</v>
      </c>
      <c r="F7" s="4">
        <v>5591</v>
      </c>
      <c r="G7" s="46">
        <v>84560</v>
      </c>
      <c r="I7" s="4">
        <v>7159</v>
      </c>
      <c r="K7" s="4">
        <v>77401</v>
      </c>
      <c r="L7" s="46">
        <v>1838</v>
      </c>
      <c r="N7" s="4">
        <v>57</v>
      </c>
      <c r="P7" s="4">
        <v>1781</v>
      </c>
      <c r="Q7" s="46">
        <v>42</v>
      </c>
      <c r="T7" s="4">
        <v>4</v>
      </c>
      <c r="U7" s="4">
        <v>38</v>
      </c>
      <c r="V7" s="46">
        <v>53317</v>
      </c>
      <c r="W7" s="4">
        <v>1379</v>
      </c>
      <c r="X7" s="4">
        <v>877</v>
      </c>
      <c r="Y7" s="4">
        <v>2194</v>
      </c>
      <c r="Z7" s="4">
        <v>48867</v>
      </c>
      <c r="AA7" s="47">
        <v>145348</v>
      </c>
    </row>
    <row r="8" spans="1:27" ht="13.2" x14ac:dyDescent="0.25">
      <c r="A8" s="45">
        <v>44035</v>
      </c>
      <c r="B8" s="46">
        <v>5591</v>
      </c>
      <c r="F8" s="4">
        <v>5591</v>
      </c>
      <c r="G8" s="46">
        <v>86226</v>
      </c>
      <c r="I8" s="4">
        <v>8411</v>
      </c>
      <c r="K8" s="4">
        <v>77815</v>
      </c>
      <c r="L8" s="46">
        <v>1870</v>
      </c>
      <c r="N8" s="4">
        <v>89</v>
      </c>
      <c r="P8" s="4">
        <v>1781</v>
      </c>
      <c r="Q8" s="46">
        <v>42</v>
      </c>
      <c r="T8" s="4">
        <v>4</v>
      </c>
      <c r="U8" s="4">
        <v>38</v>
      </c>
      <c r="V8" s="46">
        <v>53829</v>
      </c>
      <c r="W8" s="4">
        <v>1608</v>
      </c>
      <c r="X8" s="4">
        <v>1144</v>
      </c>
      <c r="Y8" s="4">
        <v>2194</v>
      </c>
      <c r="Z8" s="4">
        <v>48883</v>
      </c>
      <c r="AA8" s="47">
        <v>147558</v>
      </c>
    </row>
    <row r="9" spans="1:27" ht="13.2" x14ac:dyDescent="0.25">
      <c r="A9" s="45">
        <v>44036</v>
      </c>
      <c r="B9" s="46">
        <v>5591</v>
      </c>
      <c r="F9" s="4">
        <v>5591</v>
      </c>
      <c r="G9" s="46">
        <v>88164</v>
      </c>
      <c r="I9" s="4">
        <v>8757</v>
      </c>
      <c r="K9" s="4">
        <v>79407</v>
      </c>
      <c r="L9" s="46">
        <v>1898</v>
      </c>
      <c r="N9" s="4">
        <v>94</v>
      </c>
      <c r="P9" s="4">
        <v>1804</v>
      </c>
      <c r="Q9" s="46">
        <v>42</v>
      </c>
      <c r="T9" s="4">
        <v>4</v>
      </c>
      <c r="U9" s="4">
        <v>38</v>
      </c>
      <c r="V9" s="46">
        <v>54401</v>
      </c>
      <c r="W9" s="4">
        <v>1860</v>
      </c>
      <c r="X9" s="4">
        <v>1440</v>
      </c>
      <c r="Y9" s="4">
        <v>2194</v>
      </c>
      <c r="Z9" s="4">
        <v>48907</v>
      </c>
      <c r="AA9" s="47">
        <v>150096</v>
      </c>
    </row>
    <row r="10" spans="1:27" ht="13.2" x14ac:dyDescent="0.25">
      <c r="A10" s="45">
        <v>44037</v>
      </c>
      <c r="B10" s="46">
        <v>5591</v>
      </c>
      <c r="F10" s="4">
        <v>5591</v>
      </c>
      <c r="G10" s="46">
        <v>89710</v>
      </c>
      <c r="I10" s="4">
        <v>10002</v>
      </c>
      <c r="K10" s="4">
        <v>79708</v>
      </c>
      <c r="L10" s="46">
        <v>1923</v>
      </c>
      <c r="N10" s="4">
        <v>106</v>
      </c>
      <c r="P10" s="4">
        <v>1817</v>
      </c>
      <c r="Q10" s="46">
        <v>42</v>
      </c>
      <c r="T10" s="4">
        <v>4</v>
      </c>
      <c r="U10" s="4">
        <v>38</v>
      </c>
      <c r="V10" s="46">
        <v>55104</v>
      </c>
      <c r="W10" s="4">
        <v>2070</v>
      </c>
      <c r="X10" s="4">
        <v>1747</v>
      </c>
      <c r="Y10" s="4">
        <v>2194</v>
      </c>
      <c r="Z10" s="4">
        <v>49093</v>
      </c>
      <c r="AA10" s="47">
        <v>152370</v>
      </c>
    </row>
    <row r="11" spans="1:27" ht="13.2" x14ac:dyDescent="0.25">
      <c r="A11" s="45">
        <v>44038</v>
      </c>
      <c r="B11" s="46">
        <v>5818</v>
      </c>
      <c r="E11" s="4">
        <v>1</v>
      </c>
      <c r="F11" s="4">
        <v>5817</v>
      </c>
      <c r="G11" s="46">
        <v>89951</v>
      </c>
      <c r="I11" s="4">
        <v>9666</v>
      </c>
      <c r="K11" s="4">
        <v>80285</v>
      </c>
      <c r="L11" s="46">
        <v>1928</v>
      </c>
      <c r="N11" s="4">
        <v>106</v>
      </c>
      <c r="P11" s="4">
        <v>1822</v>
      </c>
      <c r="Q11" s="46">
        <v>313</v>
      </c>
      <c r="T11" s="4">
        <v>275</v>
      </c>
      <c r="U11" s="4">
        <v>38</v>
      </c>
      <c r="V11" s="46">
        <v>55366</v>
      </c>
      <c r="W11" s="4">
        <v>1557</v>
      </c>
      <c r="X11" s="4">
        <v>1434</v>
      </c>
      <c r="Y11" s="4">
        <v>2226</v>
      </c>
      <c r="Z11" s="4">
        <v>50149</v>
      </c>
      <c r="AA11" s="47">
        <v>153376</v>
      </c>
    </row>
    <row r="12" spans="1:27" ht="13.2" x14ac:dyDescent="0.25">
      <c r="A12" s="45">
        <v>44039</v>
      </c>
      <c r="B12" s="46">
        <v>5818</v>
      </c>
      <c r="E12" s="4">
        <v>1</v>
      </c>
      <c r="F12" s="4">
        <v>5817</v>
      </c>
      <c r="G12" s="46">
        <v>90652</v>
      </c>
      <c r="I12" s="4">
        <v>9452</v>
      </c>
      <c r="K12" s="4">
        <v>81200</v>
      </c>
      <c r="L12" s="46">
        <v>1931</v>
      </c>
      <c r="N12" s="4">
        <v>106</v>
      </c>
      <c r="P12" s="4">
        <v>1825</v>
      </c>
      <c r="Q12" s="46">
        <v>314</v>
      </c>
      <c r="T12" s="4">
        <v>276</v>
      </c>
      <c r="U12" s="4">
        <v>38</v>
      </c>
      <c r="V12" s="46">
        <v>55673</v>
      </c>
      <c r="W12" s="4">
        <v>1563</v>
      </c>
      <c r="X12" s="4">
        <v>1472</v>
      </c>
      <c r="Y12" s="4">
        <v>2226</v>
      </c>
      <c r="Z12" s="4">
        <v>50412</v>
      </c>
      <c r="AA12" s="47">
        <v>154388</v>
      </c>
    </row>
    <row r="13" spans="1:27" ht="13.2" x14ac:dyDescent="0.25">
      <c r="A13" s="45">
        <v>44040</v>
      </c>
      <c r="B13" s="46">
        <v>5818</v>
      </c>
      <c r="E13" s="4">
        <v>1</v>
      </c>
      <c r="F13" s="4">
        <v>5817</v>
      </c>
      <c r="G13" s="46">
        <v>92456</v>
      </c>
      <c r="I13" s="4">
        <v>9901</v>
      </c>
      <c r="K13" s="4">
        <v>82555</v>
      </c>
      <c r="L13" s="46">
        <v>1944</v>
      </c>
      <c r="N13" s="4">
        <v>113</v>
      </c>
      <c r="P13" s="4">
        <v>1831</v>
      </c>
      <c r="Q13" s="46">
        <v>314</v>
      </c>
      <c r="T13" s="4">
        <v>276</v>
      </c>
      <c r="U13" s="4">
        <v>38</v>
      </c>
      <c r="V13" s="46">
        <v>56476</v>
      </c>
      <c r="W13" s="4">
        <v>1546</v>
      </c>
      <c r="X13" s="4">
        <v>1805</v>
      </c>
      <c r="Y13" s="4">
        <v>2226</v>
      </c>
      <c r="Z13" s="4">
        <v>50899</v>
      </c>
      <c r="AA13" s="47">
        <v>157008</v>
      </c>
    </row>
    <row r="14" spans="1:27" ht="13.2" x14ac:dyDescent="0.25">
      <c r="A14" s="45">
        <v>44041</v>
      </c>
      <c r="B14" s="46">
        <v>5818</v>
      </c>
      <c r="E14" s="4">
        <v>1</v>
      </c>
      <c r="F14" s="4">
        <v>5817</v>
      </c>
      <c r="G14" s="46">
        <v>93944</v>
      </c>
      <c r="I14" s="4">
        <v>10371</v>
      </c>
      <c r="K14" s="4">
        <v>83573</v>
      </c>
      <c r="L14" s="46">
        <v>1968</v>
      </c>
      <c r="N14" s="4">
        <v>129</v>
      </c>
      <c r="P14" s="4">
        <v>1839</v>
      </c>
      <c r="Q14" s="46">
        <v>328</v>
      </c>
      <c r="T14" s="4">
        <v>290</v>
      </c>
      <c r="U14" s="4">
        <v>38</v>
      </c>
      <c r="V14" s="46">
        <v>57267</v>
      </c>
      <c r="W14" s="4">
        <v>1585</v>
      </c>
      <c r="X14" s="4">
        <v>2067</v>
      </c>
      <c r="Y14" s="4">
        <v>2226</v>
      </c>
      <c r="Z14" s="4">
        <v>51389</v>
      </c>
      <c r="AA14" s="47">
        <v>159325</v>
      </c>
    </row>
    <row r="15" spans="1:27" ht="13.2" x14ac:dyDescent="0.25">
      <c r="A15" s="45">
        <v>44042</v>
      </c>
      <c r="B15" s="46">
        <v>5818</v>
      </c>
      <c r="E15" s="4">
        <v>1</v>
      </c>
      <c r="F15" s="4">
        <v>5817</v>
      </c>
      <c r="G15" s="46">
        <v>95827</v>
      </c>
      <c r="I15" s="4">
        <v>10663</v>
      </c>
      <c r="K15" s="4">
        <v>85164</v>
      </c>
      <c r="L15" s="46">
        <v>1999</v>
      </c>
      <c r="N15" s="4">
        <v>143</v>
      </c>
      <c r="P15" s="4">
        <v>1856</v>
      </c>
      <c r="Q15" s="46">
        <v>600</v>
      </c>
      <c r="T15" s="4">
        <v>562</v>
      </c>
      <c r="U15" s="4">
        <v>38</v>
      </c>
      <c r="V15" s="46">
        <v>58164</v>
      </c>
      <c r="W15" s="4">
        <v>1585</v>
      </c>
      <c r="X15" s="4">
        <v>2322</v>
      </c>
      <c r="Y15" s="4">
        <v>2226</v>
      </c>
      <c r="Z15" s="4">
        <v>52031</v>
      </c>
      <c r="AA15" s="47">
        <v>162408</v>
      </c>
    </row>
    <row r="16" spans="1:27" ht="13.2" x14ac:dyDescent="0.25">
      <c r="A16" s="45">
        <v>44043</v>
      </c>
      <c r="B16" s="46">
        <v>5818</v>
      </c>
      <c r="E16" s="4">
        <v>1</v>
      </c>
      <c r="F16" s="4">
        <v>5817</v>
      </c>
      <c r="G16" s="46">
        <v>96920</v>
      </c>
      <c r="I16" s="4">
        <v>10389</v>
      </c>
      <c r="K16" s="4">
        <v>86531</v>
      </c>
      <c r="L16" s="46">
        <v>2004</v>
      </c>
      <c r="N16" s="4">
        <v>134</v>
      </c>
      <c r="P16" s="4">
        <v>1870</v>
      </c>
      <c r="Q16" s="46">
        <v>628</v>
      </c>
      <c r="T16" s="4">
        <v>590</v>
      </c>
      <c r="U16" s="4">
        <v>38</v>
      </c>
      <c r="V16" s="46">
        <v>58603</v>
      </c>
      <c r="W16" s="4">
        <v>1617</v>
      </c>
      <c r="X16" s="4">
        <v>2229</v>
      </c>
      <c r="Y16" s="4">
        <v>2226</v>
      </c>
      <c r="Z16" s="4">
        <v>52531</v>
      </c>
      <c r="AA16" s="47">
        <v>163973</v>
      </c>
    </row>
    <row r="17" spans="1:27" ht="13.2" x14ac:dyDescent="0.25">
      <c r="A17" s="45">
        <v>44044</v>
      </c>
      <c r="B17" s="46">
        <v>5871</v>
      </c>
      <c r="E17" s="4">
        <v>1</v>
      </c>
      <c r="F17" s="4">
        <v>5870</v>
      </c>
      <c r="G17" s="46">
        <v>97630</v>
      </c>
      <c r="I17" s="4">
        <v>10873</v>
      </c>
      <c r="K17" s="4">
        <v>86757</v>
      </c>
      <c r="L17" s="46">
        <v>2009</v>
      </c>
      <c r="N17" s="4">
        <v>137</v>
      </c>
      <c r="P17" s="4">
        <v>1872</v>
      </c>
      <c r="Q17" s="46">
        <v>628</v>
      </c>
      <c r="T17" s="4">
        <v>590</v>
      </c>
      <c r="U17" s="4">
        <v>38</v>
      </c>
      <c r="V17" s="46">
        <v>58891</v>
      </c>
      <c r="W17" s="4">
        <v>1656</v>
      </c>
      <c r="X17" s="4">
        <v>2342</v>
      </c>
      <c r="Y17" s="4">
        <v>2226</v>
      </c>
      <c r="Z17" s="4">
        <v>52667</v>
      </c>
      <c r="AA17" s="47">
        <v>165029</v>
      </c>
    </row>
    <row r="18" spans="1:27" ht="13.2" x14ac:dyDescent="0.25">
      <c r="A18" s="45">
        <v>44045</v>
      </c>
      <c r="B18" s="46">
        <v>6014</v>
      </c>
      <c r="E18" s="4">
        <v>1</v>
      </c>
      <c r="F18" s="4">
        <v>6013</v>
      </c>
      <c r="G18" s="46">
        <v>97755</v>
      </c>
      <c r="I18" s="4">
        <v>10747</v>
      </c>
      <c r="K18" s="4">
        <v>87008</v>
      </c>
      <c r="L18" s="46">
        <v>2009</v>
      </c>
      <c r="N18" s="4">
        <v>136</v>
      </c>
      <c r="P18" s="4">
        <v>1873</v>
      </c>
      <c r="Q18" s="46">
        <v>628</v>
      </c>
      <c r="T18" s="4">
        <v>590</v>
      </c>
      <c r="U18" s="4">
        <v>38</v>
      </c>
      <c r="V18" s="46">
        <v>59795</v>
      </c>
      <c r="W18" s="4">
        <v>1974</v>
      </c>
      <c r="X18" s="4">
        <v>2523</v>
      </c>
      <c r="Y18" s="4">
        <v>2226</v>
      </c>
      <c r="Z18" s="4">
        <v>53072</v>
      </c>
      <c r="AA18" s="47">
        <v>166201</v>
      </c>
    </row>
    <row r="19" spans="1:27" ht="13.2" x14ac:dyDescent="0.25">
      <c r="A19" s="45">
        <v>44046</v>
      </c>
      <c r="B19" s="46">
        <v>6014</v>
      </c>
      <c r="E19" s="4">
        <v>1</v>
      </c>
      <c r="F19" s="4">
        <v>6013</v>
      </c>
      <c r="G19" s="46">
        <v>97872</v>
      </c>
      <c r="I19" s="4">
        <v>9436</v>
      </c>
      <c r="K19" s="4">
        <v>88436</v>
      </c>
      <c r="L19" s="46">
        <v>2009</v>
      </c>
      <c r="N19" s="4">
        <v>123</v>
      </c>
      <c r="P19" s="4">
        <v>1886</v>
      </c>
      <c r="Q19" s="46">
        <v>644</v>
      </c>
      <c r="T19" s="4">
        <v>606</v>
      </c>
      <c r="U19" s="4">
        <v>38</v>
      </c>
      <c r="V19" s="46">
        <v>60656</v>
      </c>
      <c r="W19" s="4">
        <v>1841</v>
      </c>
      <c r="X19" s="4">
        <v>3070</v>
      </c>
      <c r="Y19" s="4">
        <v>2226</v>
      </c>
      <c r="Z19" s="4">
        <v>53519</v>
      </c>
      <c r="AA19" s="47">
        <v>167195</v>
      </c>
    </row>
    <row r="20" spans="1:27" ht="13.2" x14ac:dyDescent="0.25">
      <c r="A20" s="45">
        <v>44047</v>
      </c>
      <c r="B20" s="46">
        <v>6014</v>
      </c>
      <c r="E20" s="4">
        <v>1</v>
      </c>
      <c r="F20" s="4">
        <v>6013</v>
      </c>
      <c r="G20" s="46">
        <v>99037</v>
      </c>
      <c r="I20" s="4">
        <v>9278</v>
      </c>
      <c r="K20" s="4">
        <v>89759</v>
      </c>
      <c r="L20" s="46">
        <v>2024</v>
      </c>
      <c r="N20" s="4">
        <v>125</v>
      </c>
      <c r="P20" s="4">
        <v>1899</v>
      </c>
      <c r="Q20" s="46">
        <v>718</v>
      </c>
      <c r="T20" s="4">
        <v>680</v>
      </c>
      <c r="U20" s="4">
        <v>38</v>
      </c>
      <c r="V20" s="46">
        <v>61131</v>
      </c>
      <c r="W20" s="4">
        <v>1854</v>
      </c>
      <c r="X20" s="4">
        <v>3021</v>
      </c>
      <c r="Y20" s="4">
        <v>2258</v>
      </c>
      <c r="Z20" s="4">
        <v>53998</v>
      </c>
      <c r="AA20" s="47">
        <v>168924</v>
      </c>
    </row>
    <row r="21" spans="1:27" ht="13.2" x14ac:dyDescent="0.25">
      <c r="A21" s="45">
        <v>44048</v>
      </c>
      <c r="B21" s="46">
        <v>6014</v>
      </c>
      <c r="E21" s="4">
        <v>1</v>
      </c>
      <c r="F21" s="4">
        <v>6013</v>
      </c>
      <c r="G21" s="46">
        <v>100777</v>
      </c>
      <c r="I21" s="4">
        <v>9281</v>
      </c>
      <c r="K21" s="4">
        <v>91496</v>
      </c>
      <c r="L21" s="46">
        <v>2060</v>
      </c>
      <c r="N21" s="4">
        <v>120</v>
      </c>
      <c r="P21" s="4">
        <v>1940</v>
      </c>
      <c r="Q21" s="46">
        <v>746</v>
      </c>
      <c r="T21" s="4">
        <v>708</v>
      </c>
      <c r="U21" s="4">
        <v>38</v>
      </c>
      <c r="V21" s="46">
        <v>61794</v>
      </c>
      <c r="W21" s="4">
        <v>1941</v>
      </c>
      <c r="X21" s="4">
        <v>2989</v>
      </c>
      <c r="Y21" s="4">
        <v>2258</v>
      </c>
      <c r="Z21" s="4">
        <v>54606</v>
      </c>
      <c r="AA21" s="47">
        <v>171391</v>
      </c>
    </row>
    <row r="22" spans="1:27" ht="13.2" x14ac:dyDescent="0.25">
      <c r="A22" s="45">
        <v>44049</v>
      </c>
      <c r="B22" s="46">
        <v>6014</v>
      </c>
      <c r="E22" s="4">
        <v>1</v>
      </c>
      <c r="F22" s="4">
        <v>6013</v>
      </c>
      <c r="G22" s="46">
        <v>102537</v>
      </c>
      <c r="I22" s="4">
        <v>9517</v>
      </c>
      <c r="K22" s="4">
        <v>93020</v>
      </c>
      <c r="L22" s="46">
        <v>2082</v>
      </c>
      <c r="N22" s="4">
        <v>126</v>
      </c>
      <c r="P22" s="4">
        <v>1956</v>
      </c>
      <c r="Q22" s="46">
        <v>746</v>
      </c>
      <c r="T22" s="4">
        <v>708</v>
      </c>
      <c r="U22" s="4">
        <v>38</v>
      </c>
      <c r="V22" s="46">
        <v>62242</v>
      </c>
      <c r="W22" s="4">
        <v>1787</v>
      </c>
      <c r="X22" s="4">
        <v>2754</v>
      </c>
      <c r="Y22" s="4">
        <v>2258</v>
      </c>
      <c r="Z22" s="4">
        <v>55443</v>
      </c>
      <c r="AA22" s="47">
        <v>173621</v>
      </c>
    </row>
    <row r="23" spans="1:27" ht="13.2" x14ac:dyDescent="0.25">
      <c r="A23" s="45">
        <v>44050</v>
      </c>
      <c r="B23" s="46">
        <v>6014</v>
      </c>
      <c r="E23" s="4">
        <v>1</v>
      </c>
      <c r="F23" s="4">
        <v>6013</v>
      </c>
      <c r="G23" s="46">
        <v>104170</v>
      </c>
      <c r="I23" s="4">
        <v>9597</v>
      </c>
      <c r="K23" s="4">
        <v>94573</v>
      </c>
      <c r="L23" s="46">
        <v>2104</v>
      </c>
      <c r="N23" s="4">
        <v>108</v>
      </c>
      <c r="P23" s="4">
        <v>1996</v>
      </c>
      <c r="Q23" s="46">
        <v>760</v>
      </c>
      <c r="T23" s="4">
        <v>722</v>
      </c>
      <c r="U23" s="4">
        <v>38</v>
      </c>
      <c r="V23" s="46">
        <v>62717</v>
      </c>
      <c r="W23" s="4">
        <v>1573</v>
      </c>
      <c r="X23" s="4">
        <v>2541</v>
      </c>
      <c r="Y23" s="4">
        <v>2258</v>
      </c>
      <c r="Z23" s="4">
        <v>56345</v>
      </c>
      <c r="AA23" s="47">
        <v>175765</v>
      </c>
    </row>
    <row r="24" spans="1:27" ht="13.2" x14ac:dyDescent="0.25">
      <c r="A24" s="45">
        <v>44051</v>
      </c>
      <c r="B24" s="46">
        <v>6014</v>
      </c>
      <c r="E24" s="4">
        <v>1</v>
      </c>
      <c r="F24" s="4">
        <v>6013</v>
      </c>
      <c r="G24" s="46">
        <v>105713</v>
      </c>
      <c r="I24" s="4">
        <v>10770</v>
      </c>
      <c r="K24" s="4">
        <v>94943</v>
      </c>
      <c r="L24" s="46">
        <v>2120</v>
      </c>
      <c r="N24" s="4">
        <v>119</v>
      </c>
      <c r="P24" s="4">
        <v>2001</v>
      </c>
      <c r="Q24" s="46">
        <v>764</v>
      </c>
      <c r="T24" s="4">
        <v>726</v>
      </c>
      <c r="U24" s="4">
        <v>38</v>
      </c>
      <c r="V24" s="46">
        <v>63407</v>
      </c>
      <c r="W24" s="4">
        <v>1549</v>
      </c>
      <c r="X24" s="4">
        <v>2953</v>
      </c>
      <c r="Y24" s="4">
        <v>2258</v>
      </c>
      <c r="Z24" s="4">
        <v>56647</v>
      </c>
      <c r="AA24" s="47">
        <v>178018</v>
      </c>
    </row>
    <row r="25" spans="1:27" ht="13.2" x14ac:dyDescent="0.25">
      <c r="A25" s="45">
        <v>44052</v>
      </c>
      <c r="B25" s="46">
        <v>6014</v>
      </c>
      <c r="E25" s="4">
        <v>1</v>
      </c>
      <c r="F25" s="4">
        <v>6013</v>
      </c>
      <c r="G25" s="46">
        <v>105884</v>
      </c>
      <c r="I25" s="4">
        <v>10769</v>
      </c>
      <c r="K25" s="4">
        <v>95115</v>
      </c>
      <c r="L25" s="46">
        <v>2129</v>
      </c>
      <c r="N25" s="4">
        <v>128</v>
      </c>
      <c r="P25" s="4">
        <v>2001</v>
      </c>
      <c r="Q25" s="46">
        <v>769</v>
      </c>
      <c r="R25" s="4">
        <v>2</v>
      </c>
      <c r="T25" s="4">
        <v>729</v>
      </c>
      <c r="U25" s="4">
        <v>38</v>
      </c>
      <c r="V25" s="46">
        <v>64500</v>
      </c>
      <c r="W25" s="4">
        <v>1483</v>
      </c>
      <c r="X25" s="4">
        <v>3935</v>
      </c>
      <c r="Y25" s="4">
        <v>2258</v>
      </c>
      <c r="Z25" s="4">
        <v>56824</v>
      </c>
      <c r="AA25" s="47">
        <v>179296</v>
      </c>
    </row>
    <row r="26" spans="1:27" ht="13.2" x14ac:dyDescent="0.25">
      <c r="A26" s="45">
        <v>44053</v>
      </c>
      <c r="B26" s="46">
        <v>6014</v>
      </c>
      <c r="E26" s="4">
        <v>1</v>
      </c>
      <c r="F26" s="4">
        <v>6013</v>
      </c>
      <c r="G26" s="46">
        <v>106440</v>
      </c>
      <c r="I26" s="4">
        <v>9906</v>
      </c>
      <c r="K26" s="4">
        <v>96534</v>
      </c>
      <c r="L26" s="46">
        <v>2131</v>
      </c>
      <c r="N26" s="4">
        <v>117</v>
      </c>
      <c r="P26" s="4">
        <v>2014</v>
      </c>
      <c r="Q26" s="46">
        <v>770</v>
      </c>
      <c r="R26" s="4">
        <v>2</v>
      </c>
      <c r="T26" s="4">
        <v>730</v>
      </c>
      <c r="U26" s="4">
        <v>38</v>
      </c>
      <c r="V26" s="46">
        <v>64941</v>
      </c>
      <c r="W26" s="4">
        <v>1722</v>
      </c>
      <c r="X26" s="4">
        <v>3318</v>
      </c>
      <c r="Y26" s="4">
        <v>2258</v>
      </c>
      <c r="Z26" s="4">
        <v>57643</v>
      </c>
      <c r="AA26" s="47">
        <v>180296</v>
      </c>
    </row>
    <row r="27" spans="1:27" ht="13.2" x14ac:dyDescent="0.25">
      <c r="A27" s="45">
        <v>44054</v>
      </c>
      <c r="B27" s="46">
        <v>6014</v>
      </c>
      <c r="E27" s="4">
        <v>1</v>
      </c>
      <c r="F27" s="4">
        <v>6013</v>
      </c>
      <c r="G27" s="46">
        <v>108116</v>
      </c>
      <c r="I27" s="4">
        <v>9893</v>
      </c>
      <c r="K27" s="4">
        <v>98223</v>
      </c>
      <c r="L27" s="46">
        <v>2165</v>
      </c>
      <c r="N27" s="4">
        <v>108</v>
      </c>
      <c r="P27" s="4">
        <v>2057</v>
      </c>
      <c r="Q27" s="46">
        <v>854</v>
      </c>
      <c r="R27" s="4">
        <v>2</v>
      </c>
      <c r="T27" s="4">
        <v>814</v>
      </c>
      <c r="U27" s="4">
        <v>38</v>
      </c>
      <c r="V27" s="46">
        <v>65563</v>
      </c>
      <c r="W27" s="4">
        <v>1573</v>
      </c>
      <c r="X27" s="4">
        <v>3205</v>
      </c>
      <c r="Y27" s="4">
        <v>2258</v>
      </c>
      <c r="Z27" s="4">
        <v>58527</v>
      </c>
      <c r="AA27" s="47">
        <v>182712</v>
      </c>
    </row>
    <row r="28" spans="1:27" ht="13.2" x14ac:dyDescent="0.25">
      <c r="A28" s="45">
        <v>44055</v>
      </c>
      <c r="B28" s="46">
        <v>6014</v>
      </c>
      <c r="E28" s="4">
        <v>1</v>
      </c>
      <c r="F28" s="4">
        <v>6013</v>
      </c>
      <c r="G28" s="46">
        <v>109769</v>
      </c>
      <c r="I28" s="4">
        <v>9766</v>
      </c>
      <c r="K28" s="4">
        <v>100003</v>
      </c>
      <c r="L28" s="46">
        <v>2198</v>
      </c>
      <c r="N28" s="4">
        <v>118</v>
      </c>
      <c r="P28" s="4">
        <v>2080</v>
      </c>
      <c r="Q28" s="46">
        <v>875</v>
      </c>
      <c r="R28" s="4">
        <v>2</v>
      </c>
      <c r="T28" s="4">
        <v>835</v>
      </c>
      <c r="U28" s="4">
        <v>38</v>
      </c>
      <c r="V28" s="46">
        <v>66117</v>
      </c>
      <c r="W28" s="4">
        <v>1411</v>
      </c>
      <c r="X28" s="4">
        <v>2991</v>
      </c>
      <c r="Y28" s="4">
        <v>2258</v>
      </c>
      <c r="Z28" s="4">
        <v>59457</v>
      </c>
      <c r="AA28" s="47">
        <v>184973</v>
      </c>
    </row>
    <row r="29" spans="1:27" ht="13.2" x14ac:dyDescent="0.25">
      <c r="A29" s="45">
        <v>44056</v>
      </c>
      <c r="B29" s="46">
        <v>6014</v>
      </c>
      <c r="E29" s="4">
        <v>1</v>
      </c>
      <c r="F29" s="4">
        <v>6013</v>
      </c>
      <c r="G29" s="46">
        <v>111003</v>
      </c>
      <c r="I29" s="4">
        <v>9508</v>
      </c>
      <c r="K29" s="4">
        <v>101495</v>
      </c>
      <c r="L29" s="46">
        <v>2210</v>
      </c>
      <c r="N29" s="4">
        <v>115</v>
      </c>
      <c r="P29" s="4">
        <v>2095</v>
      </c>
      <c r="Q29" s="46">
        <v>895</v>
      </c>
      <c r="R29" s="4">
        <v>2</v>
      </c>
      <c r="T29" s="4">
        <v>855</v>
      </c>
      <c r="U29" s="4">
        <v>38</v>
      </c>
      <c r="V29" s="46">
        <v>66656</v>
      </c>
      <c r="W29" s="4">
        <v>1221</v>
      </c>
      <c r="X29" s="4">
        <v>2987</v>
      </c>
      <c r="Y29" s="4">
        <v>2258</v>
      </c>
      <c r="Z29" s="4">
        <v>60190</v>
      </c>
      <c r="AA29" s="47">
        <v>186778</v>
      </c>
    </row>
    <row r="30" spans="1:27" ht="13.2" x14ac:dyDescent="0.25">
      <c r="A30" s="45">
        <v>44057</v>
      </c>
      <c r="B30" s="46">
        <v>6014</v>
      </c>
      <c r="E30" s="4">
        <v>1</v>
      </c>
      <c r="F30" s="4">
        <v>6013</v>
      </c>
      <c r="G30" s="46">
        <v>112430</v>
      </c>
      <c r="I30" s="4">
        <v>10781</v>
      </c>
      <c r="K30" s="4">
        <v>101649</v>
      </c>
      <c r="L30" s="46">
        <v>2233</v>
      </c>
      <c r="N30" s="4">
        <v>134</v>
      </c>
      <c r="P30" s="4">
        <v>2099</v>
      </c>
      <c r="Q30" s="46">
        <v>913</v>
      </c>
      <c r="R30" s="4">
        <v>2</v>
      </c>
      <c r="T30" s="4">
        <v>873</v>
      </c>
      <c r="U30" s="4">
        <v>38</v>
      </c>
      <c r="V30" s="46">
        <v>67288</v>
      </c>
      <c r="W30" s="4">
        <v>1387</v>
      </c>
      <c r="X30" s="4">
        <v>3182</v>
      </c>
      <c r="Y30" s="4">
        <v>2266</v>
      </c>
      <c r="Z30" s="4">
        <v>60453</v>
      </c>
      <c r="AA30" s="47">
        <v>188878</v>
      </c>
    </row>
    <row r="31" spans="1:27" ht="13.2" x14ac:dyDescent="0.25">
      <c r="A31" s="45">
        <v>44058</v>
      </c>
      <c r="B31" s="46">
        <v>6014</v>
      </c>
      <c r="E31" s="4">
        <v>1</v>
      </c>
      <c r="F31" s="4">
        <v>6013</v>
      </c>
      <c r="G31" s="46">
        <v>113694</v>
      </c>
      <c r="I31" s="4">
        <v>11862</v>
      </c>
      <c r="K31" s="4">
        <v>101832</v>
      </c>
      <c r="L31" s="46">
        <v>2274</v>
      </c>
      <c r="N31" s="4">
        <v>174</v>
      </c>
      <c r="P31" s="4">
        <v>2100</v>
      </c>
      <c r="Q31" s="46">
        <v>913</v>
      </c>
      <c r="R31" s="4">
        <v>2</v>
      </c>
      <c r="T31" s="4">
        <v>873</v>
      </c>
      <c r="U31" s="4">
        <v>38</v>
      </c>
      <c r="V31" s="46">
        <v>67827</v>
      </c>
      <c r="W31" s="4">
        <v>1455</v>
      </c>
      <c r="X31" s="4">
        <v>3411</v>
      </c>
      <c r="Y31" s="4">
        <v>2266</v>
      </c>
      <c r="Z31" s="4">
        <v>60695</v>
      </c>
      <c r="AA31" s="47">
        <v>190722</v>
      </c>
    </row>
    <row r="32" spans="1:27" ht="13.2" x14ac:dyDescent="0.25">
      <c r="A32" s="45">
        <v>44059</v>
      </c>
      <c r="B32" s="46">
        <v>6014</v>
      </c>
      <c r="E32" s="4">
        <v>1</v>
      </c>
      <c r="F32" s="4">
        <v>6013</v>
      </c>
      <c r="G32" s="46">
        <v>114978</v>
      </c>
      <c r="I32" s="4">
        <v>12775</v>
      </c>
      <c r="K32" s="4">
        <v>102203</v>
      </c>
      <c r="L32" s="46">
        <v>2279</v>
      </c>
      <c r="N32" s="4">
        <v>177</v>
      </c>
      <c r="P32" s="4">
        <v>2102</v>
      </c>
      <c r="Q32" s="46">
        <v>914</v>
      </c>
      <c r="R32" s="4">
        <v>1</v>
      </c>
      <c r="S32" s="4">
        <v>1</v>
      </c>
      <c r="T32" s="4">
        <v>874</v>
      </c>
      <c r="U32" s="4">
        <v>38</v>
      </c>
      <c r="V32" s="46">
        <v>68741</v>
      </c>
      <c r="W32" s="4">
        <v>1987</v>
      </c>
      <c r="X32" s="4">
        <v>3431</v>
      </c>
      <c r="Y32" s="4">
        <v>2267</v>
      </c>
      <c r="Z32" s="4">
        <v>61056</v>
      </c>
      <c r="AA32" s="47">
        <v>192926</v>
      </c>
    </row>
    <row r="33" spans="1:27" ht="13.2" x14ac:dyDescent="0.25">
      <c r="A33" s="45">
        <v>44060</v>
      </c>
      <c r="B33" s="46">
        <v>6014</v>
      </c>
      <c r="E33" s="4">
        <v>1</v>
      </c>
      <c r="F33" s="4">
        <v>6013</v>
      </c>
      <c r="G33" s="46">
        <v>116142</v>
      </c>
      <c r="I33" s="4">
        <v>12393</v>
      </c>
      <c r="K33" s="4">
        <v>103749</v>
      </c>
      <c r="L33" s="46">
        <v>2281</v>
      </c>
      <c r="N33" s="4">
        <v>166</v>
      </c>
      <c r="P33" s="4">
        <v>2115</v>
      </c>
      <c r="Q33" s="46">
        <v>914</v>
      </c>
      <c r="R33" s="4">
        <v>1</v>
      </c>
      <c r="S33" s="4">
        <v>1</v>
      </c>
      <c r="T33" s="4">
        <v>874</v>
      </c>
      <c r="U33" s="4">
        <v>38</v>
      </c>
      <c r="V33" s="46">
        <v>69405</v>
      </c>
      <c r="W33" s="4">
        <v>2117</v>
      </c>
      <c r="X33" s="4">
        <v>3440</v>
      </c>
      <c r="Y33" s="4">
        <v>2267</v>
      </c>
      <c r="Z33" s="4">
        <v>61581</v>
      </c>
      <c r="AA33" s="47">
        <v>194756</v>
      </c>
    </row>
    <row r="34" spans="1:27" ht="13.2" x14ac:dyDescent="0.25">
      <c r="A34" s="45">
        <v>44061</v>
      </c>
      <c r="B34" s="46">
        <v>6014</v>
      </c>
      <c r="E34" s="4">
        <v>1</v>
      </c>
      <c r="F34" s="4">
        <v>6013</v>
      </c>
      <c r="G34" s="46">
        <v>118242</v>
      </c>
      <c r="I34" s="4">
        <v>13228</v>
      </c>
      <c r="K34" s="4">
        <v>105014</v>
      </c>
      <c r="L34" s="46">
        <v>2281</v>
      </c>
      <c r="N34" s="4">
        <v>143</v>
      </c>
      <c r="P34" s="4">
        <v>2138</v>
      </c>
      <c r="Q34" s="46">
        <v>915</v>
      </c>
      <c r="R34" s="4">
        <v>2</v>
      </c>
      <c r="T34" s="4">
        <v>875</v>
      </c>
      <c r="U34" s="4">
        <v>38</v>
      </c>
      <c r="V34" s="46">
        <v>70590</v>
      </c>
      <c r="W34" s="4">
        <v>2221</v>
      </c>
      <c r="X34" s="4">
        <v>4085</v>
      </c>
      <c r="Y34" s="4">
        <v>2267</v>
      </c>
      <c r="Z34" s="4">
        <v>62017</v>
      </c>
      <c r="AA34" s="47">
        <v>198042</v>
      </c>
    </row>
    <row r="35" spans="1:27" ht="13.2" x14ac:dyDescent="0.25">
      <c r="A35" s="45">
        <v>44062</v>
      </c>
      <c r="B35" s="46">
        <v>6014</v>
      </c>
      <c r="E35" s="4">
        <v>1</v>
      </c>
      <c r="F35" s="4">
        <v>6013</v>
      </c>
      <c r="G35" s="46">
        <v>119803</v>
      </c>
      <c r="I35" s="4">
        <v>13214</v>
      </c>
      <c r="K35" s="4">
        <v>106589</v>
      </c>
      <c r="L35" s="46">
        <v>2305</v>
      </c>
      <c r="N35" s="4">
        <v>146</v>
      </c>
      <c r="P35" s="4">
        <v>2159</v>
      </c>
      <c r="Q35" s="46">
        <v>997</v>
      </c>
      <c r="R35" s="4">
        <v>4</v>
      </c>
      <c r="T35" s="4">
        <v>949</v>
      </c>
      <c r="U35" s="4">
        <v>44</v>
      </c>
      <c r="V35" s="46">
        <v>71215</v>
      </c>
      <c r="W35" s="4">
        <v>2405</v>
      </c>
      <c r="X35" s="4">
        <v>3961</v>
      </c>
      <c r="Y35" s="4">
        <v>2251</v>
      </c>
      <c r="Z35" s="4">
        <v>62598</v>
      </c>
      <c r="AA35" s="47">
        <v>200334</v>
      </c>
    </row>
    <row r="36" spans="1:27" ht="13.2" x14ac:dyDescent="0.25">
      <c r="A36" s="45">
        <v>44063</v>
      </c>
      <c r="B36" s="46">
        <v>6065</v>
      </c>
      <c r="E36" s="4">
        <v>1</v>
      </c>
      <c r="F36" s="4">
        <v>6064</v>
      </c>
      <c r="G36" s="46">
        <v>120905</v>
      </c>
      <c r="I36" s="4">
        <v>12323</v>
      </c>
      <c r="K36" s="4">
        <v>108582</v>
      </c>
      <c r="L36" s="46">
        <v>2315</v>
      </c>
      <c r="N36" s="4">
        <v>128</v>
      </c>
      <c r="P36" s="4">
        <v>2187</v>
      </c>
      <c r="Q36" s="46">
        <v>1055</v>
      </c>
      <c r="R36" s="4">
        <v>8</v>
      </c>
      <c r="T36" s="4">
        <v>990</v>
      </c>
      <c r="U36" s="4">
        <v>57</v>
      </c>
      <c r="V36" s="46">
        <v>71807</v>
      </c>
      <c r="W36" s="4">
        <v>2419</v>
      </c>
      <c r="X36" s="4">
        <v>3723</v>
      </c>
      <c r="Y36" s="4">
        <v>2267</v>
      </c>
      <c r="Z36" s="4">
        <v>63398</v>
      </c>
      <c r="AA36" s="47">
        <v>202147</v>
      </c>
    </row>
    <row r="37" spans="1:27" ht="13.2" x14ac:dyDescent="0.25">
      <c r="A37" s="45">
        <v>44064</v>
      </c>
      <c r="B37" s="46">
        <v>6068</v>
      </c>
      <c r="E37" s="4">
        <v>1</v>
      </c>
      <c r="F37" s="4">
        <v>6067</v>
      </c>
      <c r="G37" s="46">
        <v>122832</v>
      </c>
      <c r="I37" s="4">
        <v>12706</v>
      </c>
      <c r="K37" s="4">
        <v>110126</v>
      </c>
      <c r="L37" s="46">
        <v>2316</v>
      </c>
      <c r="N37" s="4">
        <v>107</v>
      </c>
      <c r="P37" s="4">
        <v>2209</v>
      </c>
      <c r="Q37" s="46">
        <v>1057</v>
      </c>
      <c r="R37" s="4">
        <v>9</v>
      </c>
      <c r="T37" s="4">
        <v>990</v>
      </c>
      <c r="U37" s="4">
        <v>58</v>
      </c>
      <c r="V37" s="46">
        <v>73324</v>
      </c>
      <c r="W37" s="4">
        <v>2474</v>
      </c>
      <c r="X37" s="4">
        <v>4063</v>
      </c>
      <c r="Y37" s="4">
        <v>2267</v>
      </c>
      <c r="Z37" s="4">
        <v>64520</v>
      </c>
      <c r="AA37" s="47">
        <v>205597</v>
      </c>
    </row>
    <row r="38" spans="1:27" ht="13.2" x14ac:dyDescent="0.25">
      <c r="A38" s="45">
        <v>44065</v>
      </c>
      <c r="B38" s="46">
        <v>6118</v>
      </c>
      <c r="E38" s="4">
        <v>1</v>
      </c>
      <c r="F38" s="4">
        <v>6117</v>
      </c>
      <c r="G38" s="46">
        <v>124236</v>
      </c>
      <c r="I38" s="4">
        <v>14023</v>
      </c>
      <c r="K38" s="4">
        <v>110213</v>
      </c>
      <c r="L38" s="46">
        <v>2318</v>
      </c>
      <c r="N38" s="4">
        <v>107</v>
      </c>
      <c r="P38" s="4">
        <v>2211</v>
      </c>
      <c r="Q38" s="46">
        <v>1074</v>
      </c>
      <c r="R38" s="4">
        <v>15</v>
      </c>
      <c r="T38" s="4">
        <v>990</v>
      </c>
      <c r="U38" s="4">
        <v>69</v>
      </c>
      <c r="V38" s="46">
        <v>74511</v>
      </c>
      <c r="W38" s="4">
        <v>2092</v>
      </c>
      <c r="X38" s="4">
        <v>5213</v>
      </c>
      <c r="Y38" s="4">
        <v>2267</v>
      </c>
      <c r="Z38" s="4">
        <v>64939</v>
      </c>
      <c r="AA38" s="47">
        <v>208257</v>
      </c>
    </row>
    <row r="39" spans="1:27" ht="13.2" x14ac:dyDescent="0.25">
      <c r="A39" s="45">
        <v>44066</v>
      </c>
      <c r="B39" s="46">
        <v>6140</v>
      </c>
      <c r="E39" s="4">
        <v>1</v>
      </c>
      <c r="F39" s="4">
        <v>6139</v>
      </c>
      <c r="G39" s="46">
        <v>125760</v>
      </c>
      <c r="I39" s="4">
        <v>15452</v>
      </c>
      <c r="K39" s="4">
        <v>110308</v>
      </c>
      <c r="L39" s="46">
        <v>2322</v>
      </c>
      <c r="N39" s="4">
        <v>111</v>
      </c>
      <c r="P39" s="4">
        <v>2211</v>
      </c>
      <c r="Q39" s="46">
        <v>1079</v>
      </c>
      <c r="R39" s="4">
        <v>16</v>
      </c>
      <c r="S39" s="4">
        <v>2</v>
      </c>
      <c r="T39" s="4">
        <v>990</v>
      </c>
      <c r="U39" s="4">
        <v>71</v>
      </c>
      <c r="V39" s="46">
        <v>75321</v>
      </c>
      <c r="W39" s="4">
        <v>2272</v>
      </c>
      <c r="X39" s="4">
        <v>5749</v>
      </c>
      <c r="Y39" s="4">
        <v>2267</v>
      </c>
      <c r="Z39" s="4">
        <v>65033</v>
      </c>
      <c r="AA39" s="47">
        <v>210622</v>
      </c>
    </row>
    <row r="40" spans="1:27" ht="13.2" x14ac:dyDescent="0.25">
      <c r="A40" s="45">
        <v>44067</v>
      </c>
      <c r="B40" s="46">
        <v>6170</v>
      </c>
      <c r="E40" s="4">
        <v>1</v>
      </c>
      <c r="F40" s="4">
        <v>6169</v>
      </c>
      <c r="G40" s="46">
        <v>127308</v>
      </c>
      <c r="I40" s="4">
        <v>14315</v>
      </c>
      <c r="K40" s="4">
        <v>112993</v>
      </c>
      <c r="L40" s="46">
        <v>2322</v>
      </c>
      <c r="N40" s="4">
        <v>98</v>
      </c>
      <c r="P40" s="4">
        <v>2224</v>
      </c>
      <c r="Q40" s="46">
        <v>1134</v>
      </c>
      <c r="R40" s="4">
        <v>16</v>
      </c>
      <c r="S40" s="4">
        <v>2</v>
      </c>
      <c r="T40" s="4">
        <v>1045</v>
      </c>
      <c r="U40" s="4">
        <v>71</v>
      </c>
      <c r="V40" s="46">
        <v>76186</v>
      </c>
      <c r="W40" s="4">
        <v>2144</v>
      </c>
      <c r="X40" s="4">
        <v>5647</v>
      </c>
      <c r="Y40" s="4">
        <v>2294</v>
      </c>
      <c r="Z40" s="4">
        <v>66101</v>
      </c>
      <c r="AA40" s="47">
        <v>213120</v>
      </c>
    </row>
    <row r="41" spans="1:27" ht="13.2" x14ac:dyDescent="0.25">
      <c r="A41" s="45">
        <v>44068</v>
      </c>
      <c r="B41" s="46">
        <v>6221</v>
      </c>
      <c r="E41" s="4">
        <v>1</v>
      </c>
      <c r="F41" s="4">
        <v>6220</v>
      </c>
      <c r="G41" s="46">
        <v>128406</v>
      </c>
      <c r="I41" s="4">
        <v>13545</v>
      </c>
      <c r="K41" s="4">
        <v>114861</v>
      </c>
      <c r="L41" s="46">
        <v>2343</v>
      </c>
      <c r="N41" s="4">
        <v>111</v>
      </c>
      <c r="P41" s="4">
        <v>2232</v>
      </c>
      <c r="Q41" s="46">
        <v>1218</v>
      </c>
      <c r="R41" s="4">
        <v>18</v>
      </c>
      <c r="T41" s="4">
        <v>1129</v>
      </c>
      <c r="U41" s="4">
        <v>71</v>
      </c>
      <c r="V41" s="46">
        <v>76702</v>
      </c>
      <c r="W41" s="4">
        <v>2303</v>
      </c>
      <c r="X41" s="4">
        <v>5048</v>
      </c>
      <c r="Y41" s="4">
        <v>2294</v>
      </c>
      <c r="Z41" s="4">
        <v>67057</v>
      </c>
      <c r="AA41" s="47">
        <v>214890</v>
      </c>
    </row>
    <row r="42" spans="1:27" ht="13.2" x14ac:dyDescent="0.25">
      <c r="A42" s="45">
        <v>44069</v>
      </c>
      <c r="B42" s="46">
        <v>6281</v>
      </c>
      <c r="E42" s="4">
        <v>1</v>
      </c>
      <c r="F42" s="4">
        <v>6280</v>
      </c>
      <c r="G42" s="46">
        <v>129580</v>
      </c>
      <c r="I42" s="4">
        <v>11882</v>
      </c>
      <c r="K42" s="4">
        <v>117698</v>
      </c>
      <c r="L42" s="46">
        <v>2362</v>
      </c>
      <c r="N42" s="4">
        <v>81</v>
      </c>
      <c r="P42" s="4">
        <v>2281</v>
      </c>
      <c r="Q42" s="46">
        <v>1236</v>
      </c>
      <c r="R42" s="4">
        <v>31</v>
      </c>
      <c r="T42" s="4">
        <v>1129</v>
      </c>
      <c r="U42" s="4">
        <v>76</v>
      </c>
      <c r="V42" s="46">
        <v>77254</v>
      </c>
      <c r="W42" s="4">
        <v>2348</v>
      </c>
      <c r="X42" s="4">
        <v>4179</v>
      </c>
      <c r="Y42" s="4">
        <v>2294</v>
      </c>
      <c r="Z42" s="4">
        <v>68433</v>
      </c>
      <c r="AA42" s="47">
        <v>216713</v>
      </c>
    </row>
    <row r="43" spans="1:27" ht="13.2" x14ac:dyDescent="0.25">
      <c r="A43" s="45">
        <v>44070</v>
      </c>
      <c r="B43" s="46">
        <v>6368</v>
      </c>
      <c r="E43" s="4">
        <v>1</v>
      </c>
      <c r="F43" s="4">
        <v>6367</v>
      </c>
      <c r="G43" s="46">
        <v>130391</v>
      </c>
      <c r="I43" s="4">
        <v>10804</v>
      </c>
      <c r="K43" s="4">
        <v>119587</v>
      </c>
      <c r="L43" s="46">
        <v>2372</v>
      </c>
      <c r="N43" s="4">
        <v>88</v>
      </c>
      <c r="P43" s="4">
        <v>2284</v>
      </c>
      <c r="Q43" s="46">
        <v>1243</v>
      </c>
      <c r="R43" s="4">
        <v>31</v>
      </c>
      <c r="T43" s="4">
        <v>1129</v>
      </c>
      <c r="U43" s="4">
        <v>83</v>
      </c>
      <c r="V43" s="46">
        <v>77651</v>
      </c>
      <c r="W43" s="4">
        <v>1771</v>
      </c>
      <c r="X43" s="4">
        <v>4669</v>
      </c>
      <c r="Y43" s="4">
        <v>2294</v>
      </c>
      <c r="Z43" s="4">
        <v>68917</v>
      </c>
      <c r="AA43" s="47">
        <v>218025</v>
      </c>
    </row>
    <row r="44" spans="1:27" ht="13.2" x14ac:dyDescent="0.25">
      <c r="A44" s="45">
        <v>44071</v>
      </c>
      <c r="B44" s="46">
        <v>6415</v>
      </c>
      <c r="E44" s="4">
        <v>1</v>
      </c>
      <c r="F44" s="4">
        <v>6414</v>
      </c>
      <c r="G44" s="46">
        <v>131373</v>
      </c>
      <c r="I44" s="4">
        <v>9346</v>
      </c>
      <c r="K44" s="4">
        <v>122027</v>
      </c>
      <c r="L44" s="46">
        <v>2375</v>
      </c>
      <c r="N44" s="4">
        <v>61</v>
      </c>
      <c r="P44" s="4">
        <v>2314</v>
      </c>
      <c r="Q44" s="46">
        <v>1354</v>
      </c>
      <c r="R44" s="4">
        <v>42</v>
      </c>
      <c r="T44" s="4">
        <v>1228</v>
      </c>
      <c r="U44" s="4">
        <v>84</v>
      </c>
      <c r="V44" s="46">
        <v>78289</v>
      </c>
      <c r="W44" s="4">
        <v>1447</v>
      </c>
      <c r="X44" s="4">
        <v>3719</v>
      </c>
      <c r="Y44" s="4">
        <v>2302</v>
      </c>
      <c r="Z44" s="4">
        <v>70821</v>
      </c>
      <c r="AA44" s="47">
        <v>219806</v>
      </c>
    </row>
    <row r="45" spans="1:27" ht="13.2" x14ac:dyDescent="0.25">
      <c r="A45" s="45">
        <v>44072</v>
      </c>
      <c r="B45" s="46">
        <v>6478</v>
      </c>
      <c r="E45" s="4">
        <v>1</v>
      </c>
      <c r="F45" s="4">
        <v>6477</v>
      </c>
      <c r="G45" s="46">
        <v>132195</v>
      </c>
      <c r="I45" s="4">
        <v>10141</v>
      </c>
      <c r="K45" s="4">
        <v>122054</v>
      </c>
      <c r="L45" s="46">
        <v>2380</v>
      </c>
      <c r="N45" s="4">
        <v>66</v>
      </c>
      <c r="P45" s="4">
        <v>2314</v>
      </c>
      <c r="Q45" s="46">
        <v>1356</v>
      </c>
      <c r="R45" s="4">
        <v>46</v>
      </c>
      <c r="T45" s="4">
        <v>1216</v>
      </c>
      <c r="U45" s="4">
        <v>94</v>
      </c>
      <c r="V45" s="46">
        <v>78878</v>
      </c>
      <c r="W45" s="4">
        <v>1486</v>
      </c>
      <c r="X45" s="4">
        <v>3690</v>
      </c>
      <c r="Y45" s="4">
        <v>2302</v>
      </c>
      <c r="Z45" s="4">
        <v>71400</v>
      </c>
      <c r="AA45" s="47">
        <v>221287</v>
      </c>
    </row>
    <row r="46" spans="1:27" ht="13.2" x14ac:dyDescent="0.25">
      <c r="A46" s="45">
        <v>44073</v>
      </c>
      <c r="B46" s="46">
        <v>6488</v>
      </c>
      <c r="E46" s="4">
        <v>1</v>
      </c>
      <c r="F46" s="4">
        <v>6487</v>
      </c>
      <c r="G46" s="46">
        <v>133831</v>
      </c>
      <c r="I46" s="4">
        <v>11244</v>
      </c>
      <c r="K46" s="4">
        <v>122587</v>
      </c>
      <c r="L46" s="46">
        <v>2380</v>
      </c>
      <c r="N46" s="4">
        <v>65</v>
      </c>
      <c r="P46" s="4">
        <v>2315</v>
      </c>
      <c r="Q46" s="46">
        <v>1366</v>
      </c>
      <c r="R46" s="4">
        <v>53</v>
      </c>
      <c r="T46" s="4">
        <v>1216</v>
      </c>
      <c r="U46" s="4">
        <v>97</v>
      </c>
      <c r="V46" s="46">
        <v>79628</v>
      </c>
      <c r="W46" s="4">
        <v>1981</v>
      </c>
      <c r="X46" s="4">
        <v>3879</v>
      </c>
      <c r="Y46" s="4">
        <v>2302</v>
      </c>
      <c r="Z46" s="4">
        <v>71466</v>
      </c>
      <c r="AA46" s="47">
        <v>223693</v>
      </c>
    </row>
    <row r="47" spans="1:27" ht="13.2" x14ac:dyDescent="0.25">
      <c r="A47" s="45">
        <v>44074</v>
      </c>
      <c r="B47" s="46">
        <v>6526</v>
      </c>
      <c r="E47" s="4">
        <v>1</v>
      </c>
      <c r="F47" s="4">
        <v>6525</v>
      </c>
      <c r="G47" s="46">
        <v>136052</v>
      </c>
      <c r="I47" s="4">
        <v>10453</v>
      </c>
      <c r="K47" s="4">
        <v>125599</v>
      </c>
      <c r="L47" s="46">
        <v>2380</v>
      </c>
      <c r="N47" s="4">
        <v>59</v>
      </c>
      <c r="P47" s="4">
        <v>2321</v>
      </c>
      <c r="Q47" s="46">
        <v>1427</v>
      </c>
      <c r="R47" s="4">
        <v>51</v>
      </c>
      <c r="T47" s="4">
        <v>1276</v>
      </c>
      <c r="U47" s="4">
        <v>100</v>
      </c>
      <c r="V47" s="46">
        <v>81695</v>
      </c>
      <c r="W47" s="4">
        <v>1789</v>
      </c>
      <c r="X47" s="4">
        <v>4617</v>
      </c>
      <c r="Y47" s="4">
        <v>2302</v>
      </c>
      <c r="Z47" s="4">
        <v>72987</v>
      </c>
      <c r="AA47" s="47">
        <v>228080</v>
      </c>
    </row>
    <row r="48" spans="1:27" ht="13.2" x14ac:dyDescent="0.25">
      <c r="A48" s="45">
        <v>44075</v>
      </c>
      <c r="B48" s="46">
        <v>6628</v>
      </c>
      <c r="E48" s="4">
        <v>1</v>
      </c>
      <c r="F48" s="4">
        <v>6627</v>
      </c>
      <c r="G48" s="46">
        <v>136969</v>
      </c>
      <c r="I48" s="4">
        <v>11221</v>
      </c>
      <c r="K48" s="4">
        <v>125748</v>
      </c>
      <c r="L48" s="46">
        <v>2380</v>
      </c>
      <c r="N48" s="4">
        <v>59</v>
      </c>
      <c r="P48" s="4">
        <v>2321</v>
      </c>
      <c r="Q48" s="46">
        <v>1490</v>
      </c>
      <c r="R48" s="4">
        <v>59</v>
      </c>
      <c r="T48" s="4">
        <v>1326</v>
      </c>
      <c r="U48" s="4">
        <v>105</v>
      </c>
      <c r="V48" s="46">
        <v>82397</v>
      </c>
      <c r="W48" s="4">
        <v>1863</v>
      </c>
      <c r="X48" s="4">
        <v>5071</v>
      </c>
      <c r="Y48" s="4">
        <v>2302</v>
      </c>
      <c r="Z48" s="4">
        <v>73161</v>
      </c>
      <c r="AA48" s="47">
        <v>229864</v>
      </c>
    </row>
    <row r="49" spans="1:27" ht="13.2" x14ac:dyDescent="0.25">
      <c r="A49" s="45">
        <v>44076</v>
      </c>
      <c r="B49" s="46">
        <v>6684</v>
      </c>
      <c r="E49" s="4">
        <v>1</v>
      </c>
      <c r="F49" s="4">
        <v>6683</v>
      </c>
      <c r="G49" s="46">
        <v>141069</v>
      </c>
      <c r="I49" s="4">
        <v>11764</v>
      </c>
      <c r="K49" s="4">
        <v>129305</v>
      </c>
      <c r="L49" s="46">
        <v>2381</v>
      </c>
      <c r="N49" s="4">
        <v>43</v>
      </c>
      <c r="P49" s="4">
        <v>2338</v>
      </c>
      <c r="Q49" s="46">
        <v>1506</v>
      </c>
      <c r="R49" s="4">
        <v>43</v>
      </c>
      <c r="T49" s="4">
        <v>1326</v>
      </c>
      <c r="U49" s="4">
        <v>137</v>
      </c>
      <c r="V49" s="46">
        <v>84760</v>
      </c>
      <c r="W49" s="4">
        <v>2361</v>
      </c>
      <c r="X49" s="4">
        <v>5318</v>
      </c>
      <c r="Y49" s="4">
        <v>2302</v>
      </c>
      <c r="Z49" s="4">
        <v>74779</v>
      </c>
      <c r="AA49" s="47">
        <v>236400</v>
      </c>
    </row>
    <row r="50" spans="1:27" ht="13.2" x14ac:dyDescent="0.25">
      <c r="A50" s="45">
        <v>44077</v>
      </c>
      <c r="B50" s="46">
        <v>6743</v>
      </c>
      <c r="E50" s="4">
        <v>1</v>
      </c>
      <c r="F50" s="4">
        <v>6742</v>
      </c>
      <c r="G50" s="46">
        <v>142634</v>
      </c>
      <c r="I50" s="4">
        <v>12862</v>
      </c>
      <c r="K50" s="4">
        <v>129772</v>
      </c>
      <c r="L50" s="46">
        <v>2382</v>
      </c>
      <c r="N50" s="4">
        <v>43</v>
      </c>
      <c r="P50" s="4">
        <v>2339</v>
      </c>
      <c r="Q50" s="46">
        <v>1652</v>
      </c>
      <c r="R50" s="4">
        <v>39</v>
      </c>
      <c r="T50" s="4">
        <v>1461</v>
      </c>
      <c r="U50" s="4">
        <v>152</v>
      </c>
      <c r="V50" s="46">
        <v>85956</v>
      </c>
      <c r="W50" s="4">
        <v>2290</v>
      </c>
      <c r="X50" s="4">
        <v>6062</v>
      </c>
      <c r="Y50" s="4">
        <v>2302</v>
      </c>
      <c r="Z50" s="4">
        <v>75302</v>
      </c>
      <c r="AA50" s="47">
        <v>239367</v>
      </c>
    </row>
    <row r="51" spans="1:27" ht="13.2" x14ac:dyDescent="0.25">
      <c r="A51" s="45">
        <v>44078</v>
      </c>
      <c r="B51" s="46">
        <v>6826</v>
      </c>
      <c r="E51" s="4">
        <v>1</v>
      </c>
      <c r="F51" s="4">
        <v>6825</v>
      </c>
      <c r="G51" s="46">
        <v>145212</v>
      </c>
      <c r="I51" s="4">
        <v>14132</v>
      </c>
      <c r="K51" s="4">
        <v>131080</v>
      </c>
      <c r="L51" s="46">
        <v>2388</v>
      </c>
      <c r="N51" s="4">
        <v>44</v>
      </c>
      <c r="P51" s="4">
        <v>2344</v>
      </c>
      <c r="Q51" s="46">
        <v>1665</v>
      </c>
      <c r="R51" s="4">
        <v>36</v>
      </c>
      <c r="T51" s="4">
        <v>1461</v>
      </c>
      <c r="U51" s="4">
        <v>168</v>
      </c>
      <c r="V51" s="46">
        <v>87522</v>
      </c>
      <c r="W51" s="4">
        <v>2409</v>
      </c>
      <c r="X51" s="4">
        <v>6500</v>
      </c>
      <c r="Y51" s="4">
        <v>2302</v>
      </c>
      <c r="Z51" s="4">
        <v>76311</v>
      </c>
      <c r="AA51" s="47">
        <v>243613</v>
      </c>
    </row>
    <row r="52" spans="1:27" ht="13.2" x14ac:dyDescent="0.25">
      <c r="A52" s="45">
        <v>44079</v>
      </c>
      <c r="B52" s="46">
        <v>6954</v>
      </c>
      <c r="E52" s="4">
        <v>1</v>
      </c>
      <c r="F52" s="4">
        <v>6953</v>
      </c>
      <c r="G52" s="46">
        <v>147145</v>
      </c>
      <c r="I52" s="4">
        <v>15686</v>
      </c>
      <c r="K52" s="4">
        <v>131459</v>
      </c>
      <c r="L52" s="46">
        <v>2390</v>
      </c>
      <c r="N52" s="4">
        <v>46</v>
      </c>
      <c r="P52" s="4">
        <v>2344</v>
      </c>
      <c r="Q52" s="46">
        <v>1737</v>
      </c>
      <c r="R52" s="4">
        <v>42</v>
      </c>
      <c r="T52" s="4">
        <v>1518</v>
      </c>
      <c r="U52" s="4">
        <v>177</v>
      </c>
      <c r="V52" s="46">
        <v>88643</v>
      </c>
      <c r="W52" s="4">
        <v>2464</v>
      </c>
      <c r="X52" s="4">
        <v>7300</v>
      </c>
      <c r="Y52" s="4">
        <v>2302</v>
      </c>
      <c r="Z52" s="4">
        <v>76577</v>
      </c>
      <c r="AA52" s="47">
        <v>246869</v>
      </c>
    </row>
    <row r="53" spans="1:27" ht="13.2" x14ac:dyDescent="0.25">
      <c r="A53" s="45">
        <v>44080</v>
      </c>
      <c r="B53" s="46">
        <v>6954</v>
      </c>
      <c r="E53" s="4">
        <v>1</v>
      </c>
      <c r="F53" s="4">
        <v>6953</v>
      </c>
      <c r="G53" s="46">
        <v>147145</v>
      </c>
      <c r="I53" s="4">
        <v>15686</v>
      </c>
      <c r="K53" s="4">
        <v>131459</v>
      </c>
      <c r="L53" s="46">
        <v>2390</v>
      </c>
      <c r="N53" s="4">
        <v>46</v>
      </c>
      <c r="P53" s="4">
        <v>2344</v>
      </c>
      <c r="Q53" s="46">
        <v>1737</v>
      </c>
      <c r="R53" s="4">
        <v>41</v>
      </c>
      <c r="T53" s="4">
        <v>1518</v>
      </c>
      <c r="U53" s="4">
        <v>178</v>
      </c>
      <c r="V53" s="46">
        <v>88643</v>
      </c>
      <c r="W53" s="4">
        <v>2461</v>
      </c>
      <c r="X53" s="4">
        <v>7300</v>
      </c>
      <c r="Y53" s="4">
        <v>2302</v>
      </c>
      <c r="Z53" s="4">
        <v>76580</v>
      </c>
      <c r="AA53" s="47">
        <v>246869</v>
      </c>
    </row>
    <row r="54" spans="1:27" ht="13.2" x14ac:dyDescent="0.25">
      <c r="A54" s="45">
        <v>44081</v>
      </c>
      <c r="B54" s="46">
        <v>7003</v>
      </c>
      <c r="E54" s="4">
        <v>1</v>
      </c>
      <c r="F54" s="4">
        <v>7002</v>
      </c>
      <c r="G54" s="46">
        <v>150390</v>
      </c>
      <c r="I54" s="4">
        <v>15795</v>
      </c>
      <c r="K54" s="4">
        <v>134595</v>
      </c>
      <c r="L54" s="46">
        <v>2396</v>
      </c>
      <c r="N54" s="4">
        <v>30</v>
      </c>
      <c r="P54" s="4">
        <v>2366</v>
      </c>
      <c r="Q54" s="46">
        <v>1847</v>
      </c>
      <c r="R54" s="4">
        <v>42</v>
      </c>
      <c r="T54" s="4">
        <v>1618</v>
      </c>
      <c r="U54" s="4">
        <v>187</v>
      </c>
      <c r="V54" s="46">
        <v>90223</v>
      </c>
      <c r="W54" s="4">
        <v>2003</v>
      </c>
      <c r="X54" s="4">
        <v>7748</v>
      </c>
      <c r="Y54" s="4">
        <v>2302</v>
      </c>
      <c r="Z54" s="4">
        <v>78170</v>
      </c>
      <c r="AA54" s="47">
        <v>251859</v>
      </c>
    </row>
    <row r="55" spans="1:27" ht="13.2" x14ac:dyDescent="0.25">
      <c r="A55" s="45">
        <v>44082</v>
      </c>
      <c r="B55" s="46">
        <v>7098</v>
      </c>
      <c r="E55" s="4">
        <v>1</v>
      </c>
      <c r="F55" s="4">
        <v>7097</v>
      </c>
      <c r="G55" s="46">
        <v>151489</v>
      </c>
      <c r="I55" s="4">
        <v>15704</v>
      </c>
      <c r="K55" s="4">
        <v>135785</v>
      </c>
      <c r="L55" s="46">
        <v>2439</v>
      </c>
      <c r="N55" s="4">
        <v>66</v>
      </c>
      <c r="P55" s="4">
        <v>2373</v>
      </c>
      <c r="Q55" s="46">
        <v>1860</v>
      </c>
      <c r="R55" s="4">
        <v>42</v>
      </c>
      <c r="T55" s="4">
        <v>1618</v>
      </c>
      <c r="U55" s="4">
        <v>200</v>
      </c>
      <c r="V55" s="46">
        <v>90966</v>
      </c>
      <c r="W55" s="4">
        <v>1963</v>
      </c>
      <c r="X55" s="4">
        <v>7874</v>
      </c>
      <c r="Y55" s="4">
        <v>2302</v>
      </c>
      <c r="Z55" s="4">
        <v>78827</v>
      </c>
      <c r="AA55" s="47">
        <v>253852</v>
      </c>
    </row>
    <row r="56" spans="1:27" ht="13.2" x14ac:dyDescent="0.25">
      <c r="A56" s="45">
        <v>44083</v>
      </c>
      <c r="B56" s="46">
        <v>7171</v>
      </c>
      <c r="E56" s="4">
        <v>1</v>
      </c>
      <c r="F56" s="4">
        <v>7170</v>
      </c>
      <c r="G56" s="46">
        <v>154152</v>
      </c>
      <c r="I56" s="4">
        <v>16745</v>
      </c>
      <c r="K56" s="4">
        <v>137407</v>
      </c>
      <c r="L56" s="46">
        <v>2452</v>
      </c>
      <c r="N56" s="4">
        <v>72</v>
      </c>
      <c r="P56" s="4">
        <v>2380</v>
      </c>
      <c r="Q56" s="46">
        <v>2005</v>
      </c>
      <c r="R56" s="4">
        <v>43</v>
      </c>
      <c r="T56" s="4">
        <v>1734</v>
      </c>
      <c r="U56" s="4">
        <v>228</v>
      </c>
      <c r="V56" s="46">
        <v>92773</v>
      </c>
      <c r="W56" s="4">
        <v>2187</v>
      </c>
      <c r="X56" s="4">
        <v>8072</v>
      </c>
      <c r="Y56" s="4">
        <v>2302</v>
      </c>
      <c r="Z56" s="4">
        <v>80212</v>
      </c>
      <c r="AA56" s="47">
        <v>258553</v>
      </c>
    </row>
    <row r="57" spans="1:27" ht="13.2" x14ac:dyDescent="0.25">
      <c r="A57" s="45">
        <v>44084</v>
      </c>
      <c r="B57" s="46">
        <v>7171</v>
      </c>
      <c r="E57" s="4">
        <v>1</v>
      </c>
      <c r="F57" s="4">
        <v>7170</v>
      </c>
      <c r="G57" s="46">
        <v>155683</v>
      </c>
      <c r="I57" s="4">
        <v>16728</v>
      </c>
      <c r="K57" s="4">
        <v>138955</v>
      </c>
      <c r="L57" s="46">
        <v>2460</v>
      </c>
      <c r="N57" s="4">
        <v>77</v>
      </c>
      <c r="P57" s="4">
        <v>2383</v>
      </c>
      <c r="Q57" s="46">
        <v>2005</v>
      </c>
      <c r="R57" s="4">
        <v>38</v>
      </c>
      <c r="T57" s="4">
        <v>1734</v>
      </c>
      <c r="U57" s="4">
        <v>233</v>
      </c>
      <c r="V57" s="46">
        <v>93553</v>
      </c>
      <c r="W57" s="4">
        <v>2252</v>
      </c>
      <c r="X57" s="4">
        <v>7600</v>
      </c>
      <c r="Y57" s="4">
        <v>2302</v>
      </c>
      <c r="Z57" s="4">
        <v>81399</v>
      </c>
      <c r="AA57" s="47">
        <v>260872</v>
      </c>
    </row>
    <row r="58" spans="1:27" ht="13.2" x14ac:dyDescent="0.25">
      <c r="A58" s="45">
        <v>44085</v>
      </c>
      <c r="B58" s="46">
        <v>7196</v>
      </c>
      <c r="E58" s="4">
        <v>1</v>
      </c>
      <c r="F58" s="4">
        <v>7195</v>
      </c>
      <c r="G58" s="46">
        <v>156809</v>
      </c>
      <c r="I58" s="4">
        <v>15682</v>
      </c>
      <c r="K58" s="4">
        <v>141127</v>
      </c>
      <c r="L58" s="46">
        <v>2464</v>
      </c>
      <c r="N58" s="4">
        <v>77</v>
      </c>
      <c r="P58" s="4">
        <v>2387</v>
      </c>
      <c r="Q58" s="46">
        <v>2015</v>
      </c>
      <c r="R58" s="4">
        <v>40</v>
      </c>
      <c r="T58" s="4">
        <v>1734</v>
      </c>
      <c r="U58" s="4">
        <v>241</v>
      </c>
      <c r="V58" s="46">
        <v>94699</v>
      </c>
      <c r="W58" s="4">
        <v>2033</v>
      </c>
      <c r="X58" s="4">
        <v>7561</v>
      </c>
      <c r="Y58" s="4">
        <v>2302</v>
      </c>
      <c r="Z58" s="4">
        <v>82803</v>
      </c>
      <c r="AA58" s="47">
        <v>263183</v>
      </c>
    </row>
    <row r="59" spans="1:27" ht="13.2" x14ac:dyDescent="0.25">
      <c r="A59" s="45">
        <v>44086</v>
      </c>
      <c r="B59" s="46">
        <v>7196</v>
      </c>
      <c r="E59" s="4">
        <v>1</v>
      </c>
      <c r="F59" s="4">
        <v>7195</v>
      </c>
      <c r="G59" s="46">
        <v>159315</v>
      </c>
      <c r="I59" s="4">
        <v>17598</v>
      </c>
      <c r="K59" s="4">
        <v>141717</v>
      </c>
      <c r="L59" s="46">
        <v>2482</v>
      </c>
      <c r="M59" s="4">
        <v>1</v>
      </c>
      <c r="N59" s="4">
        <v>79</v>
      </c>
      <c r="P59" s="4">
        <v>2402</v>
      </c>
      <c r="Q59" s="46">
        <v>2015</v>
      </c>
      <c r="R59" s="4">
        <v>35</v>
      </c>
      <c r="T59" s="4">
        <v>1734</v>
      </c>
      <c r="U59" s="4">
        <v>246</v>
      </c>
      <c r="V59" s="46">
        <v>96210</v>
      </c>
      <c r="W59" s="4">
        <v>2403</v>
      </c>
      <c r="X59" s="4">
        <v>7614</v>
      </c>
      <c r="Y59" s="4">
        <v>2304</v>
      </c>
      <c r="Z59" s="4">
        <v>83889</v>
      </c>
      <c r="AA59" s="47">
        <v>267218</v>
      </c>
    </row>
    <row r="60" spans="1:27" ht="15.75" customHeight="1" x14ac:dyDescent="0.3">
      <c r="A60" s="45">
        <v>44087</v>
      </c>
      <c r="B60" s="48">
        <v>7196</v>
      </c>
      <c r="C60" s="32"/>
      <c r="D60" s="32"/>
      <c r="E60" s="10">
        <v>1</v>
      </c>
      <c r="F60" s="10">
        <v>7195</v>
      </c>
      <c r="G60" s="49">
        <v>160315</v>
      </c>
      <c r="H60" s="32"/>
      <c r="I60" s="10">
        <v>18415</v>
      </c>
      <c r="J60" s="32"/>
      <c r="K60" s="10">
        <v>141900</v>
      </c>
      <c r="L60" s="49">
        <v>2492</v>
      </c>
      <c r="M60" s="32"/>
      <c r="N60" s="10">
        <v>90</v>
      </c>
      <c r="O60" s="32"/>
      <c r="P60" s="10">
        <v>2402</v>
      </c>
      <c r="Q60" s="49">
        <v>2015</v>
      </c>
      <c r="R60" s="10">
        <v>30</v>
      </c>
      <c r="S60" s="32"/>
      <c r="T60" s="10">
        <v>1734</v>
      </c>
      <c r="U60" s="10">
        <v>251</v>
      </c>
      <c r="V60" s="49">
        <v>96820</v>
      </c>
      <c r="W60" s="10">
        <v>2258</v>
      </c>
      <c r="X60" s="10">
        <v>8007</v>
      </c>
      <c r="Y60" s="10">
        <v>2305</v>
      </c>
      <c r="Z60" s="10">
        <v>84250</v>
      </c>
      <c r="AA60" s="50">
        <v>268838</v>
      </c>
    </row>
    <row r="61" spans="1:27" ht="15.75" customHeight="1" x14ac:dyDescent="0.3">
      <c r="A61" s="45">
        <v>44088</v>
      </c>
      <c r="B61" s="48">
        <v>7352</v>
      </c>
      <c r="C61" s="32"/>
      <c r="D61" s="32"/>
      <c r="E61" s="10">
        <v>1</v>
      </c>
      <c r="F61" s="10">
        <v>7351</v>
      </c>
      <c r="G61" s="49">
        <v>162775</v>
      </c>
      <c r="H61" s="32"/>
      <c r="I61" s="10">
        <v>17947</v>
      </c>
      <c r="J61" s="32"/>
      <c r="K61" s="10">
        <v>144828</v>
      </c>
      <c r="L61" s="49">
        <v>2501</v>
      </c>
      <c r="M61" s="32"/>
      <c r="N61" s="10">
        <v>95</v>
      </c>
      <c r="O61" s="32"/>
      <c r="P61" s="10">
        <v>2406</v>
      </c>
      <c r="Q61" s="49">
        <v>2131</v>
      </c>
      <c r="R61" s="10">
        <v>40</v>
      </c>
      <c r="S61" s="32"/>
      <c r="T61" s="10">
        <v>1838</v>
      </c>
      <c r="U61" s="10">
        <v>253</v>
      </c>
      <c r="V61" s="49">
        <v>99116</v>
      </c>
      <c r="W61" s="10">
        <v>2205</v>
      </c>
      <c r="X61" s="10">
        <v>8190</v>
      </c>
      <c r="Y61" s="10">
        <v>2305</v>
      </c>
      <c r="Z61" s="10">
        <v>86416</v>
      </c>
      <c r="AA61" s="50">
        <v>273875</v>
      </c>
    </row>
    <row r="62" spans="1:27" ht="13.2" x14ac:dyDescent="0.25">
      <c r="A62" s="45">
        <v>44089</v>
      </c>
      <c r="B62" s="46">
        <v>7352</v>
      </c>
      <c r="E62" s="4">
        <v>1</v>
      </c>
      <c r="F62" s="4">
        <v>7351</v>
      </c>
      <c r="G62" s="46">
        <v>164503</v>
      </c>
      <c r="I62" s="4">
        <v>17057</v>
      </c>
      <c r="K62" s="4">
        <v>147446</v>
      </c>
      <c r="L62" s="46">
        <v>2517</v>
      </c>
      <c r="N62" s="4">
        <v>106</v>
      </c>
      <c r="P62" s="4">
        <v>2411</v>
      </c>
      <c r="Q62" s="46">
        <v>2131</v>
      </c>
      <c r="R62" s="4">
        <v>38</v>
      </c>
      <c r="T62" s="4">
        <v>1838</v>
      </c>
      <c r="U62" s="4">
        <v>255</v>
      </c>
      <c r="V62" s="46">
        <v>99802</v>
      </c>
      <c r="W62" s="4">
        <v>2251</v>
      </c>
      <c r="X62" s="4">
        <v>7479</v>
      </c>
      <c r="Y62" s="4">
        <v>2305</v>
      </c>
      <c r="Z62" s="4">
        <v>87767</v>
      </c>
      <c r="AA62" s="47">
        <v>276305</v>
      </c>
    </row>
    <row r="63" spans="1:27" ht="13.2" x14ac:dyDescent="0.25">
      <c r="A63" s="45">
        <v>44090</v>
      </c>
      <c r="B63" s="46">
        <v>7476</v>
      </c>
      <c r="E63" s="4">
        <v>1</v>
      </c>
      <c r="F63" s="4">
        <v>7475</v>
      </c>
      <c r="G63" s="46">
        <v>168612</v>
      </c>
      <c r="I63" s="4">
        <v>20502</v>
      </c>
      <c r="K63" s="4">
        <v>148110</v>
      </c>
      <c r="L63" s="46">
        <v>2536</v>
      </c>
      <c r="N63" s="4">
        <v>121</v>
      </c>
      <c r="P63" s="4">
        <v>2415</v>
      </c>
      <c r="Q63" s="46">
        <v>2214</v>
      </c>
      <c r="R63" s="4">
        <v>50</v>
      </c>
      <c r="T63" s="4">
        <v>1909</v>
      </c>
      <c r="U63" s="4">
        <v>255</v>
      </c>
      <c r="V63" s="46">
        <v>102330</v>
      </c>
      <c r="W63" s="4">
        <v>2244</v>
      </c>
      <c r="X63" s="4">
        <v>8988</v>
      </c>
      <c r="Y63" s="4">
        <v>2311</v>
      </c>
      <c r="Z63" s="4">
        <v>88787</v>
      </c>
      <c r="AA63" s="47">
        <v>283168</v>
      </c>
    </row>
    <row r="64" spans="1:27" ht="13.2" x14ac:dyDescent="0.25">
      <c r="A64" s="45">
        <v>44091</v>
      </c>
      <c r="B64" s="46">
        <v>7565</v>
      </c>
      <c r="E64" s="4">
        <v>1</v>
      </c>
      <c r="F64" s="4">
        <v>7564</v>
      </c>
      <c r="G64" s="46">
        <v>170098</v>
      </c>
      <c r="I64" s="4">
        <v>20077</v>
      </c>
      <c r="K64" s="4">
        <v>150021</v>
      </c>
      <c r="L64" s="46">
        <v>2554</v>
      </c>
      <c r="N64" s="4">
        <v>123</v>
      </c>
      <c r="P64" s="4">
        <v>2431</v>
      </c>
      <c r="Q64" s="46">
        <v>2234</v>
      </c>
      <c r="R64" s="4">
        <v>50</v>
      </c>
      <c r="T64" s="4">
        <v>1926</v>
      </c>
      <c r="U64" s="4">
        <v>258</v>
      </c>
      <c r="V64" s="46">
        <v>103480</v>
      </c>
      <c r="W64" s="4">
        <v>2322</v>
      </c>
      <c r="X64" s="4">
        <v>9059</v>
      </c>
      <c r="Y64" s="4">
        <v>2311</v>
      </c>
      <c r="Z64" s="4">
        <v>89788</v>
      </c>
      <c r="AA64" s="47">
        <v>285931</v>
      </c>
    </row>
    <row r="65" spans="1:27" ht="15.75" customHeight="1" x14ac:dyDescent="0.3">
      <c r="A65" s="45">
        <v>44092</v>
      </c>
      <c r="B65" s="48">
        <v>7602</v>
      </c>
      <c r="C65" s="32"/>
      <c r="D65" s="32"/>
      <c r="E65" s="10">
        <v>1</v>
      </c>
      <c r="F65" s="10">
        <v>7601</v>
      </c>
      <c r="G65" s="49">
        <v>176674</v>
      </c>
      <c r="H65" s="32"/>
      <c r="I65" s="10">
        <v>21621</v>
      </c>
      <c r="J65" s="32"/>
      <c r="K65" s="10">
        <v>155053</v>
      </c>
      <c r="L65" s="49">
        <v>2559</v>
      </c>
      <c r="M65" s="32"/>
      <c r="N65" s="10">
        <v>103</v>
      </c>
      <c r="O65" s="32"/>
      <c r="P65" s="10">
        <v>2456</v>
      </c>
      <c r="Q65" s="49">
        <v>2340</v>
      </c>
      <c r="R65" s="10">
        <v>49</v>
      </c>
      <c r="S65" s="32"/>
      <c r="T65" s="10">
        <v>2026</v>
      </c>
      <c r="U65" s="10">
        <v>265</v>
      </c>
      <c r="V65" s="49">
        <v>107307</v>
      </c>
      <c r="W65" s="10">
        <v>1774</v>
      </c>
      <c r="X65" s="10">
        <v>10118</v>
      </c>
      <c r="Y65" s="10">
        <v>2311</v>
      </c>
      <c r="Z65" s="10">
        <v>93104</v>
      </c>
      <c r="AA65" s="50">
        <v>296482</v>
      </c>
    </row>
    <row r="66" spans="1:27" ht="13.2" x14ac:dyDescent="0.25">
      <c r="A66" s="45">
        <v>44093</v>
      </c>
      <c r="B66" s="46">
        <v>7656</v>
      </c>
      <c r="E66" s="4">
        <v>1</v>
      </c>
      <c r="F66" s="4">
        <v>7655</v>
      </c>
      <c r="G66" s="46">
        <v>179750</v>
      </c>
      <c r="I66" s="4">
        <v>23061</v>
      </c>
      <c r="K66" s="4">
        <v>156689</v>
      </c>
      <c r="L66" s="46">
        <v>2568</v>
      </c>
      <c r="N66" s="4">
        <v>111</v>
      </c>
      <c r="P66" s="4">
        <v>2457</v>
      </c>
      <c r="Q66" s="46">
        <v>2346</v>
      </c>
      <c r="R66" s="4">
        <v>45</v>
      </c>
      <c r="T66" s="4">
        <v>2031</v>
      </c>
      <c r="U66" s="4">
        <v>270</v>
      </c>
      <c r="V66" s="46">
        <v>109423</v>
      </c>
      <c r="W66" s="4">
        <v>2143</v>
      </c>
      <c r="X66" s="4">
        <v>10597</v>
      </c>
      <c r="Y66" s="4">
        <v>2311</v>
      </c>
      <c r="Z66" s="4">
        <v>94372</v>
      </c>
      <c r="AA66" s="47">
        <v>301743</v>
      </c>
    </row>
    <row r="67" spans="1:27" ht="15.75" customHeight="1" x14ac:dyDescent="0.3">
      <c r="A67" s="45">
        <v>44094</v>
      </c>
      <c r="B67" s="48">
        <v>7722</v>
      </c>
      <c r="C67" s="32"/>
      <c r="D67" s="32"/>
      <c r="E67" s="19">
        <v>1</v>
      </c>
      <c r="F67" s="19">
        <v>7721</v>
      </c>
      <c r="G67" s="49">
        <v>181283</v>
      </c>
      <c r="H67" s="32"/>
      <c r="I67" s="19">
        <v>23831</v>
      </c>
      <c r="J67" s="32"/>
      <c r="K67" s="19">
        <v>157452</v>
      </c>
      <c r="L67" s="49">
        <v>2572</v>
      </c>
      <c r="M67" s="32"/>
      <c r="N67" s="19">
        <v>112</v>
      </c>
      <c r="O67" s="32"/>
      <c r="P67" s="19">
        <v>2460</v>
      </c>
      <c r="Q67" s="49">
        <v>2348</v>
      </c>
      <c r="R67" s="19">
        <v>40</v>
      </c>
      <c r="S67" s="32"/>
      <c r="T67" s="19">
        <v>2031</v>
      </c>
      <c r="U67" s="19">
        <v>277</v>
      </c>
      <c r="V67" s="49">
        <v>110659</v>
      </c>
      <c r="W67" s="19">
        <v>2168</v>
      </c>
      <c r="X67" s="19">
        <v>10979</v>
      </c>
      <c r="Y67" s="19">
        <v>2311</v>
      </c>
      <c r="Z67" s="19">
        <v>95201</v>
      </c>
      <c r="AA67" s="50">
        <v>304584</v>
      </c>
    </row>
    <row r="68" spans="1:27" ht="13.2" x14ac:dyDescent="0.25">
      <c r="A68" s="45">
        <v>44095</v>
      </c>
      <c r="B68" s="46">
        <v>7851</v>
      </c>
      <c r="E68" s="4">
        <v>1</v>
      </c>
      <c r="F68" s="4">
        <v>7850</v>
      </c>
      <c r="G68" s="46">
        <v>182603</v>
      </c>
      <c r="I68" s="4">
        <v>21903</v>
      </c>
      <c r="K68" s="4">
        <v>160700</v>
      </c>
      <c r="L68" s="46">
        <v>2572</v>
      </c>
      <c r="N68" s="4">
        <v>105</v>
      </c>
      <c r="P68" s="4">
        <v>2467</v>
      </c>
      <c r="Q68" s="46">
        <v>2462</v>
      </c>
      <c r="R68" s="4">
        <v>25</v>
      </c>
      <c r="T68" s="4">
        <v>2144</v>
      </c>
      <c r="U68" s="4">
        <v>293</v>
      </c>
      <c r="V68" s="46">
        <v>111163</v>
      </c>
      <c r="W68" s="4">
        <v>2056</v>
      </c>
      <c r="X68" s="4">
        <v>10339</v>
      </c>
      <c r="Y68" s="4">
        <v>2311</v>
      </c>
      <c r="Z68" s="4">
        <v>96457</v>
      </c>
      <c r="AA68" s="47">
        <v>306651</v>
      </c>
    </row>
    <row r="69" spans="1:27" ht="13.2" x14ac:dyDescent="0.25">
      <c r="A69" s="45">
        <v>44096</v>
      </c>
      <c r="B69" s="46">
        <v>7948</v>
      </c>
      <c r="E69" s="4">
        <v>1</v>
      </c>
      <c r="F69" s="4">
        <v>7947</v>
      </c>
      <c r="G69" s="46">
        <v>185846</v>
      </c>
      <c r="I69" s="4">
        <v>22114</v>
      </c>
      <c r="K69" s="4">
        <v>163732</v>
      </c>
      <c r="L69" s="46">
        <v>2573</v>
      </c>
      <c r="N69" s="4">
        <v>88</v>
      </c>
      <c r="P69" s="4">
        <v>2485</v>
      </c>
      <c r="Q69" s="46">
        <v>2596</v>
      </c>
      <c r="R69" s="4">
        <v>25</v>
      </c>
      <c r="T69" s="4">
        <v>2273</v>
      </c>
      <c r="U69" s="4">
        <v>298</v>
      </c>
      <c r="V69" s="46">
        <v>113190</v>
      </c>
      <c r="W69" s="4">
        <v>2131</v>
      </c>
      <c r="X69" s="4">
        <v>9885</v>
      </c>
      <c r="Y69" s="4">
        <v>2311</v>
      </c>
      <c r="Z69" s="4">
        <v>98863</v>
      </c>
      <c r="AA69" s="47">
        <v>312153</v>
      </c>
    </row>
    <row r="70" spans="1:27" ht="13.2" x14ac:dyDescent="0.25">
      <c r="A70" s="45">
        <v>44097</v>
      </c>
      <c r="B70" s="46">
        <v>7948</v>
      </c>
      <c r="E70" s="4">
        <v>1</v>
      </c>
      <c r="F70" s="4">
        <v>7947</v>
      </c>
      <c r="G70" s="46">
        <v>187836</v>
      </c>
      <c r="I70" s="4">
        <v>21220</v>
      </c>
      <c r="K70" s="4">
        <v>166616</v>
      </c>
      <c r="L70" s="46">
        <v>2586</v>
      </c>
      <c r="N70" s="4">
        <v>92</v>
      </c>
      <c r="P70" s="4">
        <v>2494</v>
      </c>
      <c r="Q70" s="46">
        <v>2657</v>
      </c>
      <c r="R70" s="4">
        <v>23</v>
      </c>
      <c r="T70" s="4">
        <v>2334</v>
      </c>
      <c r="U70" s="4">
        <v>300</v>
      </c>
      <c r="V70" s="46">
        <v>114165</v>
      </c>
      <c r="W70" s="4">
        <v>2542</v>
      </c>
      <c r="X70" s="4">
        <v>8922</v>
      </c>
      <c r="Y70" s="4">
        <v>2311</v>
      </c>
      <c r="Z70" s="4">
        <v>100390</v>
      </c>
      <c r="AA70" s="47">
        <v>315192</v>
      </c>
    </row>
    <row r="71" spans="1:27" ht="13.2" x14ac:dyDescent="0.25">
      <c r="A71" s="45">
        <v>44098</v>
      </c>
      <c r="B71" s="46">
        <v>7948</v>
      </c>
      <c r="E71" s="4">
        <v>1</v>
      </c>
      <c r="F71" s="4">
        <v>7947</v>
      </c>
      <c r="G71" s="46">
        <v>189533</v>
      </c>
      <c r="I71" s="4">
        <v>20398</v>
      </c>
      <c r="K71" s="4">
        <v>169135</v>
      </c>
      <c r="L71" s="46">
        <v>2593</v>
      </c>
      <c r="N71" s="4">
        <v>98</v>
      </c>
      <c r="P71" s="4">
        <v>2495</v>
      </c>
      <c r="Q71" s="46">
        <v>2735</v>
      </c>
      <c r="R71" s="4">
        <v>21</v>
      </c>
      <c r="T71" s="4">
        <v>2412</v>
      </c>
      <c r="U71" s="4">
        <v>302</v>
      </c>
      <c r="V71" s="46">
        <v>115390</v>
      </c>
      <c r="W71" s="4">
        <v>2092</v>
      </c>
      <c r="X71" s="4">
        <v>9176</v>
      </c>
      <c r="Y71" s="4">
        <v>2311</v>
      </c>
      <c r="Z71" s="4">
        <v>101811</v>
      </c>
      <c r="AA71" s="47">
        <v>318199</v>
      </c>
    </row>
    <row r="72" spans="1:27" ht="15.75" customHeight="1" x14ac:dyDescent="0.3">
      <c r="A72" s="45">
        <v>44099</v>
      </c>
      <c r="B72" s="48">
        <v>8081</v>
      </c>
      <c r="C72" s="32"/>
      <c r="D72" s="32"/>
      <c r="E72" s="19">
        <v>1</v>
      </c>
      <c r="F72" s="19">
        <v>8080</v>
      </c>
      <c r="G72" s="49">
        <v>192040</v>
      </c>
      <c r="H72" s="32"/>
      <c r="I72" s="19">
        <v>19728</v>
      </c>
      <c r="J72" s="32"/>
      <c r="K72" s="19">
        <v>172312</v>
      </c>
      <c r="L72" s="49">
        <v>2635</v>
      </c>
      <c r="M72" s="32"/>
      <c r="N72" s="19">
        <v>114</v>
      </c>
      <c r="O72" s="32"/>
      <c r="P72" s="19">
        <v>2521</v>
      </c>
      <c r="Q72" s="49">
        <v>2743</v>
      </c>
      <c r="R72" s="19">
        <v>26</v>
      </c>
      <c r="S72" s="32"/>
      <c r="T72" s="19">
        <v>2413</v>
      </c>
      <c r="U72" s="19">
        <v>304</v>
      </c>
      <c r="V72" s="49">
        <v>117400</v>
      </c>
      <c r="W72" s="19">
        <v>2092</v>
      </c>
      <c r="X72" s="19">
        <v>9193</v>
      </c>
      <c r="Y72" s="19">
        <v>2311</v>
      </c>
      <c r="Z72" s="19">
        <v>103804</v>
      </c>
      <c r="AA72" s="50">
        <v>322899</v>
      </c>
    </row>
    <row r="73" spans="1:27" ht="13.2" x14ac:dyDescent="0.25">
      <c r="A73" s="45">
        <v>44100</v>
      </c>
      <c r="B73" s="46">
        <v>8081</v>
      </c>
      <c r="E73" s="4">
        <v>1</v>
      </c>
      <c r="F73" s="4">
        <v>8080</v>
      </c>
      <c r="G73" s="46">
        <v>193870</v>
      </c>
      <c r="I73" s="4">
        <v>19586</v>
      </c>
      <c r="K73" s="4">
        <v>174284</v>
      </c>
      <c r="L73" s="46">
        <v>2638</v>
      </c>
      <c r="N73" s="4">
        <v>77</v>
      </c>
      <c r="P73" s="4">
        <v>2561</v>
      </c>
      <c r="Q73" s="46">
        <v>2783</v>
      </c>
      <c r="R73" s="4">
        <v>22</v>
      </c>
      <c r="T73" s="4">
        <v>2453</v>
      </c>
      <c r="U73" s="4">
        <v>308</v>
      </c>
      <c r="V73" s="46">
        <v>118396</v>
      </c>
      <c r="W73" s="4">
        <v>2272</v>
      </c>
      <c r="X73" s="4">
        <v>8627</v>
      </c>
      <c r="Y73" s="4">
        <v>2311</v>
      </c>
      <c r="Z73" s="4">
        <v>105186</v>
      </c>
      <c r="AA73" s="47">
        <v>325768</v>
      </c>
    </row>
    <row r="74" spans="1:27" ht="15.75" customHeight="1" x14ac:dyDescent="0.3">
      <c r="A74" s="45">
        <v>44101</v>
      </c>
      <c r="B74" s="48">
        <v>8138</v>
      </c>
      <c r="C74" s="32"/>
      <c r="D74" s="32"/>
      <c r="E74" s="19">
        <v>1</v>
      </c>
      <c r="F74" s="19">
        <v>8137</v>
      </c>
      <c r="G74" s="49">
        <v>195972</v>
      </c>
      <c r="H74" s="32"/>
      <c r="I74" s="19">
        <v>20616</v>
      </c>
      <c r="J74" s="32"/>
      <c r="K74" s="19">
        <v>175356</v>
      </c>
      <c r="L74" s="49">
        <v>2680</v>
      </c>
      <c r="M74" s="32"/>
      <c r="N74" s="19">
        <v>111</v>
      </c>
      <c r="O74" s="32"/>
      <c r="P74" s="19">
        <v>2569</v>
      </c>
      <c r="Q74" s="49">
        <v>2822</v>
      </c>
      <c r="R74" s="19">
        <v>30</v>
      </c>
      <c r="S74" s="32"/>
      <c r="T74" s="19">
        <v>2478</v>
      </c>
      <c r="U74" s="19">
        <v>314</v>
      </c>
      <c r="V74" s="49">
        <v>120426</v>
      </c>
      <c r="W74" s="19">
        <v>2365</v>
      </c>
      <c r="X74" s="19">
        <v>9753</v>
      </c>
      <c r="Y74" s="19">
        <v>2311</v>
      </c>
      <c r="Z74" s="19">
        <v>105997</v>
      </c>
      <c r="AA74" s="50">
        <v>330038</v>
      </c>
    </row>
    <row r="75" spans="1:27" ht="13.2" x14ac:dyDescent="0.25">
      <c r="A75" s="45">
        <v>44102</v>
      </c>
      <c r="B75" s="46">
        <v>8264</v>
      </c>
      <c r="E75" s="4">
        <v>1</v>
      </c>
      <c r="F75" s="4">
        <v>8263</v>
      </c>
      <c r="G75" s="46">
        <v>201687</v>
      </c>
      <c r="I75" s="4">
        <v>22709</v>
      </c>
      <c r="K75" s="4">
        <v>178978</v>
      </c>
      <c r="L75" s="46">
        <v>2680</v>
      </c>
      <c r="N75" s="4">
        <v>103</v>
      </c>
      <c r="P75" s="4">
        <v>2577</v>
      </c>
      <c r="Q75" s="46">
        <v>2864</v>
      </c>
      <c r="R75" s="4">
        <v>29</v>
      </c>
      <c r="T75" s="4">
        <v>2518</v>
      </c>
      <c r="U75" s="4">
        <v>317</v>
      </c>
      <c r="V75" s="46">
        <v>122732</v>
      </c>
      <c r="W75" s="4">
        <v>1971</v>
      </c>
      <c r="X75" s="4">
        <v>10447</v>
      </c>
      <c r="Y75" s="4">
        <v>2311</v>
      </c>
      <c r="Z75" s="4">
        <v>108003</v>
      </c>
      <c r="AA75" s="47">
        <v>338227</v>
      </c>
    </row>
    <row r="76" spans="1:27" ht="15.75" customHeight="1" x14ac:dyDescent="0.3">
      <c r="A76" s="45">
        <v>44103</v>
      </c>
      <c r="B76" s="48">
        <v>8264</v>
      </c>
      <c r="C76" s="32"/>
      <c r="D76" s="32"/>
      <c r="E76" s="19">
        <v>1</v>
      </c>
      <c r="F76" s="19">
        <v>8263</v>
      </c>
      <c r="G76" s="49">
        <v>204027</v>
      </c>
      <c r="H76" s="32"/>
      <c r="I76" s="19">
        <v>21943</v>
      </c>
      <c r="J76" s="32"/>
      <c r="K76" s="19">
        <v>182084</v>
      </c>
      <c r="L76" s="49">
        <v>2680</v>
      </c>
      <c r="M76" s="32"/>
      <c r="N76" s="19">
        <v>89</v>
      </c>
      <c r="O76" s="32"/>
      <c r="P76" s="19">
        <v>2591</v>
      </c>
      <c r="Q76" s="49">
        <v>2867</v>
      </c>
      <c r="R76" s="19">
        <v>26</v>
      </c>
      <c r="S76" s="32"/>
      <c r="T76" s="19">
        <v>2518</v>
      </c>
      <c r="U76" s="19">
        <v>323</v>
      </c>
      <c r="V76" s="49">
        <v>124081</v>
      </c>
      <c r="W76" s="19">
        <v>2069</v>
      </c>
      <c r="X76" s="19">
        <v>9937</v>
      </c>
      <c r="Y76" s="19">
        <v>2311</v>
      </c>
      <c r="Z76" s="19">
        <v>109764</v>
      </c>
      <c r="AA76" s="50">
        <v>341919</v>
      </c>
    </row>
    <row r="77" spans="1:27" ht="13.2" x14ac:dyDescent="0.25">
      <c r="A77" s="45">
        <v>44104</v>
      </c>
      <c r="B77" s="46">
        <v>8303</v>
      </c>
      <c r="E77" s="4">
        <v>1</v>
      </c>
      <c r="F77" s="4">
        <v>8302</v>
      </c>
      <c r="G77" s="46">
        <v>207964</v>
      </c>
      <c r="I77" s="4">
        <v>22973</v>
      </c>
      <c r="K77" s="4">
        <v>184991</v>
      </c>
      <c r="L77" s="46">
        <v>2691</v>
      </c>
      <c r="N77" s="4">
        <v>90</v>
      </c>
      <c r="P77" s="4">
        <v>2601</v>
      </c>
      <c r="Q77" s="46">
        <v>2999</v>
      </c>
      <c r="R77" s="4">
        <v>26</v>
      </c>
      <c r="T77" s="4">
        <v>2648</v>
      </c>
      <c r="U77" s="4">
        <v>325</v>
      </c>
      <c r="V77" s="46">
        <v>126169</v>
      </c>
      <c r="W77" s="4">
        <v>1714</v>
      </c>
      <c r="X77" s="4">
        <v>10485</v>
      </c>
      <c r="Y77" s="4">
        <v>2311</v>
      </c>
      <c r="Z77" s="4">
        <v>111659</v>
      </c>
      <c r="AA77" s="47">
        <v>348126</v>
      </c>
    </row>
    <row r="78" spans="1:27" ht="13.2" x14ac:dyDescent="0.25">
      <c r="A78" s="45">
        <v>44105</v>
      </c>
      <c r="B78" s="46">
        <v>8379</v>
      </c>
      <c r="E78" s="4">
        <v>1</v>
      </c>
      <c r="F78" s="4">
        <v>8378</v>
      </c>
      <c r="G78" s="46">
        <v>209994</v>
      </c>
      <c r="I78" s="4">
        <v>21881</v>
      </c>
      <c r="K78" s="4">
        <v>188113</v>
      </c>
      <c r="L78" s="46">
        <v>2705</v>
      </c>
      <c r="N78" s="4">
        <v>96</v>
      </c>
      <c r="P78" s="4">
        <v>2609</v>
      </c>
      <c r="Q78" s="46">
        <v>3044</v>
      </c>
      <c r="R78" s="4">
        <v>30</v>
      </c>
      <c r="T78" s="4">
        <v>2688</v>
      </c>
      <c r="U78" s="4">
        <v>326</v>
      </c>
      <c r="V78" s="46">
        <v>127949</v>
      </c>
      <c r="W78" s="4">
        <v>1451</v>
      </c>
      <c r="X78" s="4">
        <v>10902</v>
      </c>
      <c r="Y78" s="4">
        <v>2311</v>
      </c>
      <c r="Z78" s="4">
        <v>113285</v>
      </c>
      <c r="AA78" s="47">
        <v>352071</v>
      </c>
    </row>
    <row r="79" spans="1:27" ht="15.75" customHeight="1" x14ac:dyDescent="0.3">
      <c r="A79" s="45">
        <v>44106</v>
      </c>
      <c r="B79" s="48">
        <v>8379</v>
      </c>
      <c r="C79" s="32"/>
      <c r="D79" s="32"/>
      <c r="E79" s="19">
        <v>1</v>
      </c>
      <c r="F79" s="19">
        <v>8378</v>
      </c>
      <c r="G79" s="49">
        <v>215687</v>
      </c>
      <c r="H79" s="32"/>
      <c r="I79" s="19">
        <v>23648</v>
      </c>
      <c r="J79" s="32"/>
      <c r="K79" s="19">
        <v>192039</v>
      </c>
      <c r="L79" s="49">
        <v>2718</v>
      </c>
      <c r="M79" s="32"/>
      <c r="N79" s="19">
        <v>104</v>
      </c>
      <c r="O79" s="32"/>
      <c r="P79" s="19">
        <v>2614</v>
      </c>
      <c r="Q79" s="49">
        <v>3077</v>
      </c>
      <c r="R79" s="19">
        <v>28</v>
      </c>
      <c r="S79" s="32"/>
      <c r="T79" s="19">
        <v>2721</v>
      </c>
      <c r="U79" s="19">
        <v>328</v>
      </c>
      <c r="V79" s="49">
        <v>130383</v>
      </c>
      <c r="W79" s="19">
        <v>1460</v>
      </c>
      <c r="X79" s="19">
        <v>11454</v>
      </c>
      <c r="Y79" s="19">
        <v>2311</v>
      </c>
      <c r="Z79" s="19">
        <v>115158</v>
      </c>
      <c r="AA79" s="50">
        <v>360244</v>
      </c>
    </row>
    <row r="80" spans="1:27" ht="13.2" x14ac:dyDescent="0.25">
      <c r="A80" s="45">
        <v>44107</v>
      </c>
      <c r="B80" s="46">
        <v>8379</v>
      </c>
      <c r="E80" s="4">
        <v>1</v>
      </c>
      <c r="F80" s="4">
        <v>8378</v>
      </c>
      <c r="G80" s="46">
        <v>219356</v>
      </c>
      <c r="I80" s="4">
        <v>25468</v>
      </c>
      <c r="K80" s="4">
        <v>193888</v>
      </c>
      <c r="L80" s="46">
        <v>2718</v>
      </c>
      <c r="N80" s="4">
        <v>104</v>
      </c>
      <c r="P80" s="4">
        <v>2614</v>
      </c>
      <c r="Q80" s="46">
        <v>3114</v>
      </c>
      <c r="R80" s="4">
        <v>27</v>
      </c>
      <c r="T80" s="4">
        <v>2758</v>
      </c>
      <c r="U80" s="4">
        <v>329</v>
      </c>
      <c r="V80" s="46">
        <v>131975</v>
      </c>
      <c r="W80" s="4">
        <v>2047</v>
      </c>
      <c r="X80" s="4">
        <v>11541</v>
      </c>
      <c r="Y80" s="4">
        <v>2311</v>
      </c>
      <c r="Z80" s="4">
        <v>116076</v>
      </c>
      <c r="AA80" s="47">
        <v>365542</v>
      </c>
    </row>
    <row r="81" spans="1:27" ht="15.75" customHeight="1" x14ac:dyDescent="0.3">
      <c r="A81" s="45">
        <v>44108</v>
      </c>
      <c r="B81" s="48">
        <v>8379</v>
      </c>
      <c r="C81" s="32"/>
      <c r="D81" s="32"/>
      <c r="E81" s="19">
        <v>1</v>
      </c>
      <c r="F81" s="19">
        <v>8378</v>
      </c>
      <c r="G81" s="49">
        <v>222028</v>
      </c>
      <c r="H81" s="32"/>
      <c r="I81" s="19">
        <v>26986</v>
      </c>
      <c r="J81" s="32"/>
      <c r="K81" s="19">
        <v>195042</v>
      </c>
      <c r="L81" s="49">
        <v>2718</v>
      </c>
      <c r="M81" s="32"/>
      <c r="N81" s="19">
        <v>104</v>
      </c>
      <c r="O81" s="32"/>
      <c r="P81" s="19">
        <v>2614</v>
      </c>
      <c r="Q81" s="49">
        <v>3114</v>
      </c>
      <c r="R81" s="19">
        <v>25</v>
      </c>
      <c r="S81" s="32"/>
      <c r="T81" s="19">
        <v>2758</v>
      </c>
      <c r="U81" s="19">
        <v>331</v>
      </c>
      <c r="V81" s="49">
        <v>132842</v>
      </c>
      <c r="W81" s="19">
        <v>1995</v>
      </c>
      <c r="X81" s="19">
        <v>12262</v>
      </c>
      <c r="Y81" s="19">
        <v>2311</v>
      </c>
      <c r="Z81" s="19">
        <v>116274</v>
      </c>
      <c r="AA81" s="50">
        <v>369081</v>
      </c>
    </row>
    <row r="82" spans="1:27" ht="13.2" x14ac:dyDescent="0.25">
      <c r="A82" s="45">
        <v>44109</v>
      </c>
      <c r="B82" s="46">
        <v>8379</v>
      </c>
      <c r="E82" s="4">
        <v>1</v>
      </c>
      <c r="F82" s="4">
        <v>8378</v>
      </c>
      <c r="G82" s="46">
        <v>224298</v>
      </c>
      <c r="I82" s="4">
        <v>26129</v>
      </c>
      <c r="K82" s="4">
        <v>198169</v>
      </c>
      <c r="L82" s="46">
        <v>2718</v>
      </c>
      <c r="N82" s="4">
        <v>78</v>
      </c>
      <c r="P82" s="4">
        <v>2640</v>
      </c>
      <c r="Q82" s="46">
        <v>3169</v>
      </c>
      <c r="R82" s="4">
        <v>18</v>
      </c>
      <c r="T82" s="4">
        <v>2813</v>
      </c>
      <c r="U82" s="4">
        <v>338</v>
      </c>
      <c r="V82" s="46">
        <v>133530</v>
      </c>
      <c r="W82" s="4">
        <v>2170</v>
      </c>
      <c r="X82" s="4">
        <v>11262</v>
      </c>
      <c r="Y82" s="4">
        <v>2311</v>
      </c>
      <c r="Z82" s="4">
        <v>117787</v>
      </c>
      <c r="AA82" s="47">
        <v>372094</v>
      </c>
    </row>
    <row r="83" spans="1:27" ht="13.2" x14ac:dyDescent="0.25">
      <c r="A83" s="45">
        <v>44110</v>
      </c>
      <c r="B83" s="46">
        <v>8699</v>
      </c>
      <c r="E83" s="4">
        <v>1</v>
      </c>
      <c r="F83" s="4">
        <v>8698</v>
      </c>
      <c r="G83" s="46">
        <v>226605</v>
      </c>
      <c r="I83" s="4">
        <v>25612</v>
      </c>
      <c r="K83" s="4">
        <v>200993</v>
      </c>
      <c r="L83" s="46">
        <v>2746</v>
      </c>
      <c r="N83" s="4">
        <v>73</v>
      </c>
      <c r="P83" s="4">
        <v>2673</v>
      </c>
      <c r="Q83" s="46">
        <v>3242</v>
      </c>
      <c r="R83" s="4">
        <v>16</v>
      </c>
      <c r="T83" s="4">
        <v>2874</v>
      </c>
      <c r="U83" s="4">
        <v>352</v>
      </c>
      <c r="V83" s="46">
        <v>136106</v>
      </c>
      <c r="W83" s="4">
        <v>2270</v>
      </c>
      <c r="X83" s="4">
        <v>11811</v>
      </c>
      <c r="Y83" s="4">
        <v>2311</v>
      </c>
      <c r="Z83" s="4">
        <v>119714</v>
      </c>
      <c r="AA83" s="47">
        <v>377398</v>
      </c>
    </row>
    <row r="84" spans="1:27" ht="13.2" x14ac:dyDescent="0.25">
      <c r="A84" s="45">
        <v>44111</v>
      </c>
      <c r="B84" s="46">
        <v>8809</v>
      </c>
      <c r="E84" s="4">
        <v>1</v>
      </c>
      <c r="F84" s="4">
        <v>8808</v>
      </c>
      <c r="G84" s="46">
        <v>232428</v>
      </c>
      <c r="I84" s="4">
        <v>27880</v>
      </c>
      <c r="K84" s="4">
        <v>204548</v>
      </c>
      <c r="L84" s="46">
        <v>2754</v>
      </c>
      <c r="N84" s="4">
        <v>35</v>
      </c>
      <c r="P84" s="4">
        <v>2719</v>
      </c>
      <c r="Q84" s="46">
        <v>3286</v>
      </c>
      <c r="R84" s="4">
        <v>20</v>
      </c>
      <c r="T84" s="4">
        <v>2912</v>
      </c>
      <c r="U84" s="4">
        <v>354</v>
      </c>
      <c r="V84" s="46">
        <v>139002</v>
      </c>
      <c r="W84" s="4">
        <v>1897</v>
      </c>
      <c r="X84" s="4">
        <v>12970</v>
      </c>
      <c r="Y84" s="4">
        <v>2311</v>
      </c>
      <c r="Z84" s="4">
        <v>121824</v>
      </c>
      <c r="AA84" s="47">
        <v>386279</v>
      </c>
    </row>
    <row r="85" spans="1:27" ht="13.2" x14ac:dyDescent="0.25">
      <c r="A85" s="45">
        <v>44112</v>
      </c>
      <c r="B85" s="46">
        <v>8884</v>
      </c>
      <c r="E85" s="4">
        <v>1</v>
      </c>
      <c r="F85" s="4">
        <v>8883</v>
      </c>
      <c r="G85" s="46">
        <v>238019</v>
      </c>
      <c r="I85" s="4">
        <v>29786</v>
      </c>
      <c r="K85" s="4">
        <v>208233</v>
      </c>
      <c r="L85" s="46">
        <v>2768</v>
      </c>
      <c r="N85" s="4">
        <v>33</v>
      </c>
      <c r="P85" s="4">
        <v>2735</v>
      </c>
      <c r="Q85" s="46">
        <v>3346</v>
      </c>
      <c r="R85" s="4">
        <v>34</v>
      </c>
      <c r="T85" s="4">
        <v>2955</v>
      </c>
      <c r="U85" s="4">
        <v>357</v>
      </c>
      <c r="V85" s="46">
        <v>142333</v>
      </c>
      <c r="W85" s="4">
        <v>1964</v>
      </c>
      <c r="X85" s="4">
        <v>13920</v>
      </c>
      <c r="Y85" s="4">
        <v>2311</v>
      </c>
      <c r="Z85" s="4">
        <v>124138</v>
      </c>
      <c r="AA85" s="47">
        <v>395350</v>
      </c>
    </row>
    <row r="86" spans="1:27" ht="15.75" customHeight="1" x14ac:dyDescent="0.3">
      <c r="A86" s="45">
        <v>44113</v>
      </c>
      <c r="B86" s="48">
        <v>8884</v>
      </c>
      <c r="C86" s="32"/>
      <c r="D86" s="32"/>
      <c r="E86" s="19">
        <v>1</v>
      </c>
      <c r="F86" s="19">
        <v>8883</v>
      </c>
      <c r="G86" s="49">
        <v>240257</v>
      </c>
      <c r="H86" s="32"/>
      <c r="I86" s="19">
        <v>31485</v>
      </c>
      <c r="J86" s="32"/>
      <c r="K86" s="19">
        <v>208772</v>
      </c>
      <c r="L86" s="49">
        <v>2768</v>
      </c>
      <c r="M86" s="32"/>
      <c r="N86" s="19">
        <v>33</v>
      </c>
      <c r="O86" s="32"/>
      <c r="P86" s="19">
        <v>2735</v>
      </c>
      <c r="Q86" s="49">
        <v>3397</v>
      </c>
      <c r="R86" s="19">
        <v>34</v>
      </c>
      <c r="S86" s="32"/>
      <c r="T86" s="19">
        <v>3006</v>
      </c>
      <c r="U86" s="19">
        <v>357</v>
      </c>
      <c r="V86" s="49">
        <v>143804</v>
      </c>
      <c r="W86" s="19">
        <v>2047</v>
      </c>
      <c r="X86" s="19">
        <v>15186</v>
      </c>
      <c r="Y86" s="19">
        <v>2311</v>
      </c>
      <c r="Z86" s="19">
        <v>124260</v>
      </c>
      <c r="AA86" s="50">
        <v>399110</v>
      </c>
    </row>
    <row r="87" spans="1:27" ht="13.2" x14ac:dyDescent="0.25">
      <c r="A87" s="45">
        <v>44114</v>
      </c>
      <c r="B87" s="46">
        <v>8884</v>
      </c>
      <c r="E87" s="4">
        <v>1</v>
      </c>
      <c r="F87" s="4">
        <v>8883</v>
      </c>
      <c r="G87" s="46">
        <v>243775</v>
      </c>
      <c r="I87" s="4">
        <v>30800</v>
      </c>
      <c r="K87" s="4">
        <v>212975</v>
      </c>
      <c r="L87" s="46">
        <v>2768</v>
      </c>
      <c r="N87" s="4">
        <v>31</v>
      </c>
      <c r="P87" s="4">
        <v>2737</v>
      </c>
      <c r="Q87" s="46">
        <v>3397</v>
      </c>
      <c r="R87" s="4">
        <v>30</v>
      </c>
      <c r="T87" s="4">
        <v>3006</v>
      </c>
      <c r="U87" s="4">
        <v>361</v>
      </c>
      <c r="V87" s="46">
        <v>145808</v>
      </c>
      <c r="W87" s="4">
        <v>2256</v>
      </c>
      <c r="X87" s="4">
        <v>14918</v>
      </c>
      <c r="Y87" s="4">
        <v>2311</v>
      </c>
      <c r="Z87" s="4">
        <v>126323</v>
      </c>
      <c r="AA87" s="47">
        <v>404632</v>
      </c>
    </row>
    <row r="88" spans="1:27" ht="15.75" customHeight="1" x14ac:dyDescent="0.3">
      <c r="A88" s="45">
        <v>44115</v>
      </c>
      <c r="B88" s="48">
        <v>9014</v>
      </c>
      <c r="C88" s="32"/>
      <c r="D88" s="32"/>
      <c r="E88" s="19">
        <v>1</v>
      </c>
      <c r="F88" s="19">
        <v>9013</v>
      </c>
      <c r="G88" s="49">
        <v>246751</v>
      </c>
      <c r="H88" s="32"/>
      <c r="I88" s="19">
        <v>31676</v>
      </c>
      <c r="J88" s="32"/>
      <c r="K88" s="19">
        <v>215075</v>
      </c>
      <c r="L88" s="49">
        <v>2827</v>
      </c>
      <c r="M88" s="32"/>
      <c r="N88" s="19">
        <v>35</v>
      </c>
      <c r="O88" s="32"/>
      <c r="P88" s="19">
        <v>2792</v>
      </c>
      <c r="Q88" s="49">
        <v>3414</v>
      </c>
      <c r="R88" s="19">
        <v>38</v>
      </c>
      <c r="S88" s="32"/>
      <c r="T88" s="19">
        <v>3006</v>
      </c>
      <c r="U88" s="19">
        <v>370</v>
      </c>
      <c r="V88" s="49">
        <v>147916</v>
      </c>
      <c r="W88" s="19">
        <v>2375</v>
      </c>
      <c r="X88" s="19">
        <v>15614</v>
      </c>
      <c r="Y88" s="19">
        <v>2311</v>
      </c>
      <c r="Z88" s="19">
        <v>127616</v>
      </c>
      <c r="AA88" s="50">
        <v>409922</v>
      </c>
    </row>
    <row r="89" spans="1:27" ht="13.2" x14ac:dyDescent="0.25">
      <c r="A89" s="45">
        <v>44116</v>
      </c>
      <c r="B89" s="46">
        <v>9014</v>
      </c>
      <c r="E89" s="4">
        <v>1</v>
      </c>
      <c r="F89" s="4">
        <v>9013</v>
      </c>
      <c r="G89" s="46">
        <v>249828</v>
      </c>
      <c r="I89" s="4">
        <v>29407</v>
      </c>
      <c r="K89" s="4">
        <v>220421</v>
      </c>
      <c r="L89" s="46">
        <v>2827</v>
      </c>
      <c r="N89" s="4">
        <v>28</v>
      </c>
      <c r="P89" s="4">
        <v>2799</v>
      </c>
      <c r="Q89" s="46">
        <v>3486</v>
      </c>
      <c r="R89" s="4">
        <v>34</v>
      </c>
      <c r="T89" s="4">
        <v>3078</v>
      </c>
      <c r="U89" s="4">
        <v>374</v>
      </c>
      <c r="V89" s="46">
        <v>149319</v>
      </c>
      <c r="W89" s="4">
        <v>2299</v>
      </c>
      <c r="X89" s="4">
        <v>14261</v>
      </c>
      <c r="Y89" s="4">
        <v>2311</v>
      </c>
      <c r="Z89" s="4">
        <v>130448</v>
      </c>
      <c r="AA89" s="47">
        <v>414474</v>
      </c>
    </row>
    <row r="90" spans="1:27" ht="15.75" customHeight="1" x14ac:dyDescent="0.3">
      <c r="A90" s="45">
        <v>44117</v>
      </c>
      <c r="B90" s="48">
        <v>9014</v>
      </c>
      <c r="C90" s="32"/>
      <c r="D90" s="32"/>
      <c r="E90" s="19">
        <v>1</v>
      </c>
      <c r="F90" s="19">
        <v>9013</v>
      </c>
      <c r="G90" s="49">
        <v>252575</v>
      </c>
      <c r="H90" s="32"/>
      <c r="I90" s="19">
        <v>28133</v>
      </c>
      <c r="J90" s="32"/>
      <c r="K90" s="19">
        <v>224442</v>
      </c>
      <c r="L90" s="49">
        <v>2827</v>
      </c>
      <c r="M90" s="32"/>
      <c r="N90" s="19">
        <v>22</v>
      </c>
      <c r="O90" s="32"/>
      <c r="P90" s="19">
        <v>2805</v>
      </c>
      <c r="Q90" s="49">
        <v>3486</v>
      </c>
      <c r="R90" s="19">
        <v>33</v>
      </c>
      <c r="S90" s="32"/>
      <c r="T90" s="19">
        <v>3078</v>
      </c>
      <c r="U90" s="19">
        <v>375</v>
      </c>
      <c r="V90" s="49">
        <v>151453</v>
      </c>
      <c r="W90" s="19">
        <v>2468</v>
      </c>
      <c r="X90" s="19">
        <v>13605</v>
      </c>
      <c r="Y90" s="19">
        <v>2311</v>
      </c>
      <c r="Z90" s="19">
        <v>133069</v>
      </c>
      <c r="AA90" s="50">
        <v>419355</v>
      </c>
    </row>
    <row r="91" spans="1:27" ht="13.2" x14ac:dyDescent="0.25">
      <c r="A91" s="45">
        <v>44118</v>
      </c>
      <c r="B91" s="46">
        <v>9167</v>
      </c>
      <c r="E91" s="4">
        <v>1</v>
      </c>
      <c r="F91" s="4">
        <v>9166</v>
      </c>
      <c r="G91" s="46">
        <v>254730</v>
      </c>
      <c r="I91" s="4">
        <v>26020</v>
      </c>
      <c r="K91" s="4">
        <v>228710</v>
      </c>
      <c r="L91" s="46">
        <v>2865</v>
      </c>
      <c r="N91" s="4">
        <v>21</v>
      </c>
      <c r="P91" s="4">
        <v>2844</v>
      </c>
      <c r="Q91" s="46">
        <v>3493</v>
      </c>
      <c r="R91" s="4">
        <v>38</v>
      </c>
      <c r="T91" s="4">
        <v>3078</v>
      </c>
      <c r="U91" s="4">
        <v>377</v>
      </c>
      <c r="V91" s="46">
        <v>153437</v>
      </c>
      <c r="W91" s="4">
        <v>2578</v>
      </c>
      <c r="X91" s="4">
        <v>13153</v>
      </c>
      <c r="Y91" s="4">
        <v>2311</v>
      </c>
      <c r="Z91" s="4">
        <v>135395</v>
      </c>
      <c r="AA91" s="47">
        <v>423692</v>
      </c>
    </row>
    <row r="92" spans="1:27" ht="13.2" x14ac:dyDescent="0.25">
      <c r="A92" s="45">
        <v>44119</v>
      </c>
      <c r="B92" s="46">
        <v>9172</v>
      </c>
      <c r="E92" s="4">
        <v>1</v>
      </c>
      <c r="F92" s="4">
        <v>9171</v>
      </c>
      <c r="G92" s="46">
        <v>259093</v>
      </c>
      <c r="I92" s="4">
        <v>25835</v>
      </c>
      <c r="K92" s="4">
        <v>233258</v>
      </c>
      <c r="L92" s="46">
        <v>2889</v>
      </c>
      <c r="N92" s="4">
        <v>25</v>
      </c>
      <c r="P92" s="4">
        <v>2864</v>
      </c>
      <c r="Q92" s="46">
        <v>3644</v>
      </c>
      <c r="R92" s="4">
        <v>38</v>
      </c>
      <c r="T92" s="4">
        <v>3220</v>
      </c>
      <c r="U92" s="4">
        <v>386</v>
      </c>
      <c r="V92" s="46">
        <v>156858</v>
      </c>
      <c r="W92" s="4">
        <v>2119</v>
      </c>
      <c r="X92" s="4">
        <v>14340</v>
      </c>
      <c r="Y92" s="4">
        <v>2311</v>
      </c>
      <c r="Z92" s="4">
        <v>138088</v>
      </c>
      <c r="AA92" s="47">
        <v>431656</v>
      </c>
    </row>
    <row r="93" spans="1:27" ht="15.75" customHeight="1" x14ac:dyDescent="0.3">
      <c r="A93" s="45">
        <v>44120</v>
      </c>
      <c r="B93" s="48">
        <v>9172</v>
      </c>
      <c r="C93" s="32"/>
      <c r="D93" s="32"/>
      <c r="E93" s="19">
        <v>1</v>
      </c>
      <c r="F93" s="19">
        <v>9171</v>
      </c>
      <c r="G93" s="49">
        <v>262702</v>
      </c>
      <c r="H93" s="32"/>
      <c r="I93" s="19">
        <v>25129</v>
      </c>
      <c r="J93" s="32"/>
      <c r="K93" s="19">
        <v>237573</v>
      </c>
      <c r="L93" s="49">
        <v>2889</v>
      </c>
      <c r="M93" s="32"/>
      <c r="N93" s="19">
        <v>24</v>
      </c>
      <c r="O93" s="32"/>
      <c r="P93" s="19">
        <v>2865</v>
      </c>
      <c r="Q93" s="49">
        <v>3684</v>
      </c>
      <c r="R93" s="19">
        <v>35</v>
      </c>
      <c r="S93" s="32"/>
      <c r="T93" s="19">
        <v>3260</v>
      </c>
      <c r="U93" s="19">
        <v>389</v>
      </c>
      <c r="V93" s="49">
        <v>158874</v>
      </c>
      <c r="W93" s="19">
        <v>1998</v>
      </c>
      <c r="X93" s="19">
        <v>13865</v>
      </c>
      <c r="Y93" s="19">
        <v>2311</v>
      </c>
      <c r="Z93" s="19">
        <v>140700</v>
      </c>
      <c r="AA93" s="50">
        <v>437321</v>
      </c>
    </row>
    <row r="94" spans="1:27" ht="13.2" x14ac:dyDescent="0.25">
      <c r="A94" s="45">
        <v>44121</v>
      </c>
      <c r="B94" s="46">
        <v>9172</v>
      </c>
      <c r="E94" s="4">
        <v>1</v>
      </c>
      <c r="F94" s="4">
        <v>9171</v>
      </c>
      <c r="G94" s="46">
        <v>267580</v>
      </c>
      <c r="I94" s="4">
        <v>28303</v>
      </c>
      <c r="K94" s="4">
        <v>239277</v>
      </c>
      <c r="L94" s="46">
        <v>2898</v>
      </c>
      <c r="N94" s="4">
        <v>24</v>
      </c>
      <c r="P94" s="4">
        <v>2874</v>
      </c>
      <c r="Q94" s="46">
        <v>3690</v>
      </c>
      <c r="R94" s="4">
        <v>37</v>
      </c>
      <c r="T94" s="4">
        <v>3260</v>
      </c>
      <c r="U94" s="4">
        <v>393</v>
      </c>
      <c r="V94" s="46">
        <v>159679</v>
      </c>
      <c r="W94" s="4">
        <v>1714</v>
      </c>
      <c r="X94" s="4">
        <v>13866</v>
      </c>
      <c r="Y94" s="4">
        <v>2311</v>
      </c>
      <c r="Z94" s="4">
        <v>141788</v>
      </c>
      <c r="AA94" s="47">
        <v>443019</v>
      </c>
    </row>
    <row r="95" spans="1:27" ht="15.75" customHeight="1" x14ac:dyDescent="0.3">
      <c r="A95" s="51">
        <v>44122</v>
      </c>
      <c r="B95" s="48">
        <v>9172</v>
      </c>
      <c r="C95" s="32"/>
      <c r="D95" s="32"/>
      <c r="E95" s="19">
        <v>1</v>
      </c>
      <c r="F95" s="19">
        <v>9171</v>
      </c>
      <c r="G95" s="49">
        <v>271067</v>
      </c>
      <c r="H95" s="32"/>
      <c r="I95" s="19">
        <v>30374</v>
      </c>
      <c r="J95" s="32"/>
      <c r="K95" s="19">
        <v>240693</v>
      </c>
      <c r="L95" s="49">
        <v>2898</v>
      </c>
      <c r="M95" s="32"/>
      <c r="N95" s="19">
        <v>24</v>
      </c>
      <c r="O95" s="32"/>
      <c r="P95" s="19">
        <v>2874</v>
      </c>
      <c r="Q95" s="49">
        <v>3690</v>
      </c>
      <c r="R95" s="19">
        <v>36</v>
      </c>
      <c r="S95" s="32"/>
      <c r="T95" s="19">
        <v>3260</v>
      </c>
      <c r="U95" s="19">
        <v>394</v>
      </c>
      <c r="V95" s="49">
        <v>162501</v>
      </c>
      <c r="W95" s="19">
        <v>1857</v>
      </c>
      <c r="X95" s="19">
        <v>15490</v>
      </c>
      <c r="Y95" s="19">
        <v>2311</v>
      </c>
      <c r="Z95" s="19">
        <v>142843</v>
      </c>
      <c r="AA95" s="50">
        <v>449328</v>
      </c>
    </row>
    <row r="96" spans="1:27" ht="13.2" x14ac:dyDescent="0.25">
      <c r="A96" s="45">
        <v>44123</v>
      </c>
      <c r="B96" s="46">
        <v>9172</v>
      </c>
      <c r="E96" s="4">
        <v>1</v>
      </c>
      <c r="F96" s="4">
        <v>9171</v>
      </c>
      <c r="G96" s="46">
        <v>273009</v>
      </c>
      <c r="I96" s="4">
        <v>27847</v>
      </c>
      <c r="K96" s="4">
        <v>245162</v>
      </c>
      <c r="L96" s="46">
        <v>2898</v>
      </c>
      <c r="N96" s="4">
        <v>21</v>
      </c>
      <c r="P96" s="4">
        <v>2877</v>
      </c>
      <c r="Q96" s="46">
        <v>3690</v>
      </c>
      <c r="R96" s="4">
        <v>27</v>
      </c>
      <c r="T96" s="4">
        <v>3260</v>
      </c>
      <c r="U96" s="4">
        <v>403</v>
      </c>
      <c r="V96" s="46">
        <v>163356</v>
      </c>
      <c r="W96" s="4">
        <v>2181</v>
      </c>
      <c r="X96" s="4">
        <v>13136</v>
      </c>
      <c r="Y96" s="4">
        <v>2311</v>
      </c>
      <c r="Z96" s="4">
        <v>145728</v>
      </c>
      <c r="AA96" s="47">
        <v>452125</v>
      </c>
    </row>
    <row r="97" spans="1:27" ht="13.2" x14ac:dyDescent="0.25">
      <c r="A97" s="51">
        <v>44124</v>
      </c>
      <c r="B97" s="46">
        <v>9234</v>
      </c>
      <c r="E97" s="4">
        <v>1</v>
      </c>
      <c r="F97" s="4">
        <v>9233</v>
      </c>
      <c r="G97" s="46">
        <v>276749</v>
      </c>
      <c r="I97" s="4">
        <v>27954</v>
      </c>
      <c r="K97" s="4">
        <v>248795</v>
      </c>
      <c r="L97" s="46">
        <v>2910</v>
      </c>
      <c r="N97" s="4">
        <v>24</v>
      </c>
      <c r="P97" s="4">
        <v>2886</v>
      </c>
      <c r="Q97" s="46">
        <v>3691</v>
      </c>
      <c r="R97" s="4">
        <v>25</v>
      </c>
      <c r="T97" s="4">
        <v>3260</v>
      </c>
      <c r="U97" s="4">
        <v>406</v>
      </c>
      <c r="V97" s="46">
        <v>166320</v>
      </c>
      <c r="W97" s="4">
        <v>2197</v>
      </c>
      <c r="X97" s="4">
        <v>13255</v>
      </c>
      <c r="Y97" s="4">
        <v>2311</v>
      </c>
      <c r="Z97" s="4">
        <v>148557</v>
      </c>
      <c r="AA97" s="47">
        <v>458904</v>
      </c>
    </row>
    <row r="98" spans="1:27" ht="13.2" x14ac:dyDescent="0.25">
      <c r="A98" s="45">
        <v>44125</v>
      </c>
      <c r="B98" s="46">
        <v>9234</v>
      </c>
      <c r="E98" s="4">
        <v>1</v>
      </c>
      <c r="F98" s="4">
        <v>9233</v>
      </c>
      <c r="G98" s="46">
        <v>278637</v>
      </c>
      <c r="I98" s="4">
        <v>26293</v>
      </c>
      <c r="K98" s="4">
        <v>252344</v>
      </c>
      <c r="L98" s="46">
        <v>2933</v>
      </c>
      <c r="N98" s="4">
        <v>31</v>
      </c>
      <c r="P98" s="4">
        <v>2902</v>
      </c>
      <c r="Q98" s="46">
        <v>3700</v>
      </c>
      <c r="R98" s="4">
        <v>29</v>
      </c>
      <c r="T98" s="4">
        <v>3260</v>
      </c>
      <c r="U98" s="4">
        <v>411</v>
      </c>
      <c r="V98" s="46">
        <v>167829</v>
      </c>
      <c r="W98" s="4">
        <v>1949</v>
      </c>
      <c r="X98" s="4">
        <v>12304</v>
      </c>
      <c r="Y98" s="4">
        <v>2311</v>
      </c>
      <c r="Z98" s="4">
        <v>151265</v>
      </c>
      <c r="AA98" s="47">
        <v>462333</v>
      </c>
    </row>
    <row r="99" spans="1:27" ht="13.2" x14ac:dyDescent="0.25">
      <c r="A99" s="45">
        <v>44126</v>
      </c>
      <c r="B99" s="46">
        <v>9257</v>
      </c>
      <c r="E99" s="4">
        <v>1</v>
      </c>
      <c r="F99" s="4">
        <v>9256</v>
      </c>
      <c r="G99" s="46">
        <v>280838</v>
      </c>
      <c r="I99" s="4">
        <v>24196</v>
      </c>
      <c r="K99" s="4">
        <v>256642</v>
      </c>
      <c r="L99" s="46">
        <v>2946</v>
      </c>
      <c r="N99" s="4">
        <v>31</v>
      </c>
      <c r="P99" s="4">
        <v>2915</v>
      </c>
      <c r="Q99" s="46">
        <v>3744</v>
      </c>
      <c r="R99" s="4">
        <v>27</v>
      </c>
      <c r="T99" s="4">
        <v>3302</v>
      </c>
      <c r="U99" s="4">
        <v>415</v>
      </c>
      <c r="V99" s="46">
        <v>168692</v>
      </c>
      <c r="W99" s="4">
        <v>1676</v>
      </c>
      <c r="X99" s="4">
        <v>11528</v>
      </c>
      <c r="Y99" s="4">
        <v>2311</v>
      </c>
      <c r="Z99" s="4">
        <v>153177</v>
      </c>
      <c r="AA99" s="47">
        <v>465477</v>
      </c>
    </row>
    <row r="100" spans="1:27" ht="15.75" customHeight="1" x14ac:dyDescent="0.3">
      <c r="A100" s="51">
        <v>44127</v>
      </c>
      <c r="B100" s="48">
        <v>9383</v>
      </c>
      <c r="C100" s="32"/>
      <c r="D100" s="32"/>
      <c r="E100" s="19">
        <v>1</v>
      </c>
      <c r="F100" s="19">
        <v>9382</v>
      </c>
      <c r="G100" s="49">
        <v>283186</v>
      </c>
      <c r="H100" s="32"/>
      <c r="I100" s="19">
        <v>25571</v>
      </c>
      <c r="J100" s="32"/>
      <c r="K100" s="19">
        <v>257615</v>
      </c>
      <c r="L100" s="49">
        <v>2967</v>
      </c>
      <c r="M100" s="32"/>
      <c r="N100" s="19">
        <v>32</v>
      </c>
      <c r="O100" s="32"/>
      <c r="P100" s="19">
        <v>2935</v>
      </c>
      <c r="Q100" s="49">
        <v>3747</v>
      </c>
      <c r="R100" s="19">
        <v>29</v>
      </c>
      <c r="S100" s="32"/>
      <c r="T100" s="19">
        <v>3302</v>
      </c>
      <c r="U100" s="19">
        <v>416</v>
      </c>
      <c r="V100" s="49">
        <v>169684</v>
      </c>
      <c r="W100" s="19">
        <v>1739</v>
      </c>
      <c r="X100" s="19">
        <v>12232</v>
      </c>
      <c r="Y100" s="19">
        <v>2311</v>
      </c>
      <c r="Z100" s="19">
        <v>153402</v>
      </c>
      <c r="AA100" s="50">
        <v>468967</v>
      </c>
    </row>
    <row r="101" spans="1:27" ht="13.2" x14ac:dyDescent="0.25">
      <c r="A101" s="45">
        <v>44128</v>
      </c>
      <c r="B101" s="46">
        <v>9453</v>
      </c>
      <c r="E101" s="4">
        <v>1</v>
      </c>
      <c r="F101" s="4">
        <v>9452</v>
      </c>
      <c r="G101" s="46">
        <v>285576</v>
      </c>
      <c r="I101" s="4">
        <v>23034</v>
      </c>
      <c r="K101" s="4">
        <v>262542</v>
      </c>
      <c r="L101" s="46">
        <v>2985</v>
      </c>
      <c r="N101" s="4">
        <v>35</v>
      </c>
      <c r="P101" s="4">
        <v>2950</v>
      </c>
      <c r="Q101" s="46">
        <v>3749</v>
      </c>
      <c r="R101" s="4">
        <v>28</v>
      </c>
      <c r="T101" s="4">
        <v>3302</v>
      </c>
      <c r="U101" s="4">
        <v>419</v>
      </c>
      <c r="V101" s="46">
        <v>170801</v>
      </c>
      <c r="W101" s="4">
        <v>1550</v>
      </c>
      <c r="X101" s="4">
        <v>11758</v>
      </c>
      <c r="Y101" s="4">
        <v>2311</v>
      </c>
      <c r="Z101" s="4">
        <v>155182</v>
      </c>
      <c r="AA101" s="47">
        <v>472564</v>
      </c>
    </row>
    <row r="102" spans="1:27" ht="15.75" customHeight="1" x14ac:dyDescent="0.3">
      <c r="A102" s="51">
        <v>44129</v>
      </c>
      <c r="B102" s="48">
        <v>9600</v>
      </c>
      <c r="C102" s="32"/>
      <c r="D102" s="32"/>
      <c r="E102" s="19">
        <v>1</v>
      </c>
      <c r="F102" s="19">
        <v>9599</v>
      </c>
      <c r="G102" s="49">
        <v>288794</v>
      </c>
      <c r="H102" s="32"/>
      <c r="I102" s="19">
        <v>24006</v>
      </c>
      <c r="J102" s="32"/>
      <c r="K102" s="19">
        <v>264788</v>
      </c>
      <c r="L102" s="49">
        <v>2997</v>
      </c>
      <c r="M102" s="32"/>
      <c r="N102" s="19">
        <v>36</v>
      </c>
      <c r="O102" s="32"/>
      <c r="P102" s="19">
        <v>2961</v>
      </c>
      <c r="Q102" s="49">
        <v>3837</v>
      </c>
      <c r="R102" s="19">
        <v>29</v>
      </c>
      <c r="S102" s="32"/>
      <c r="T102" s="19">
        <v>3386</v>
      </c>
      <c r="U102" s="19">
        <v>422</v>
      </c>
      <c r="V102" s="49">
        <v>172634</v>
      </c>
      <c r="W102" s="19">
        <v>1826</v>
      </c>
      <c r="X102" s="19">
        <v>11851</v>
      </c>
      <c r="Y102" s="19">
        <v>2311</v>
      </c>
      <c r="Z102" s="19">
        <v>156646</v>
      </c>
      <c r="AA102" s="50">
        <v>477862</v>
      </c>
    </row>
    <row r="103" spans="1:27" ht="13.2" x14ac:dyDescent="0.25">
      <c r="A103" s="45">
        <v>44130</v>
      </c>
      <c r="B103" s="46">
        <v>9676</v>
      </c>
      <c r="E103" s="4">
        <v>1</v>
      </c>
      <c r="F103" s="4">
        <v>9675</v>
      </c>
      <c r="G103" s="46">
        <v>291363</v>
      </c>
      <c r="I103" s="4">
        <v>22298</v>
      </c>
      <c r="K103" s="4">
        <v>269065</v>
      </c>
      <c r="L103" s="46">
        <v>2997</v>
      </c>
      <c r="N103" s="4">
        <v>35</v>
      </c>
      <c r="P103" s="4">
        <v>2962</v>
      </c>
      <c r="Q103" s="46">
        <v>3908</v>
      </c>
      <c r="R103" s="4">
        <v>29</v>
      </c>
      <c r="T103" s="4">
        <v>3455</v>
      </c>
      <c r="U103" s="4">
        <v>424</v>
      </c>
      <c r="V103" s="46">
        <v>173667</v>
      </c>
      <c r="W103" s="4">
        <v>1652</v>
      </c>
      <c r="X103" s="4">
        <v>10592</v>
      </c>
      <c r="Y103" s="4">
        <v>2311</v>
      </c>
      <c r="Z103" s="4">
        <v>159112</v>
      </c>
      <c r="AA103" s="47">
        <v>481611</v>
      </c>
    </row>
    <row r="104" spans="1:27" ht="15.75" customHeight="1" x14ac:dyDescent="0.3">
      <c r="A104" s="51">
        <v>44131</v>
      </c>
      <c r="B104" s="48">
        <v>9747</v>
      </c>
      <c r="C104" s="32"/>
      <c r="D104" s="32"/>
      <c r="E104" s="19">
        <v>1</v>
      </c>
      <c r="F104" s="19">
        <v>9746</v>
      </c>
      <c r="G104" s="49">
        <v>295337</v>
      </c>
      <c r="H104" s="32"/>
      <c r="I104" s="19">
        <v>22896</v>
      </c>
      <c r="J104" s="32"/>
      <c r="K104" s="19">
        <v>272441</v>
      </c>
      <c r="L104" s="49">
        <v>3002</v>
      </c>
      <c r="M104" s="32"/>
      <c r="N104" s="19">
        <v>33</v>
      </c>
      <c r="O104" s="32"/>
      <c r="P104" s="19">
        <v>2969</v>
      </c>
      <c r="Q104" s="49">
        <v>3913</v>
      </c>
      <c r="R104" s="19">
        <v>33</v>
      </c>
      <c r="S104" s="32"/>
      <c r="T104" s="19">
        <v>3455</v>
      </c>
      <c r="U104" s="19">
        <v>425</v>
      </c>
      <c r="V104" s="49">
        <v>175710</v>
      </c>
      <c r="W104" s="19">
        <v>1717</v>
      </c>
      <c r="X104" s="19">
        <v>10486</v>
      </c>
      <c r="Y104" s="19">
        <v>2311</v>
      </c>
      <c r="Z104" s="19">
        <v>161196</v>
      </c>
      <c r="AA104" s="50">
        <v>487709</v>
      </c>
    </row>
    <row r="105" spans="1:27" ht="13.2" x14ac:dyDescent="0.25">
      <c r="A105" s="45">
        <v>44132</v>
      </c>
      <c r="B105" s="46">
        <v>9853</v>
      </c>
      <c r="E105" s="4">
        <v>1</v>
      </c>
      <c r="F105" s="4">
        <v>9852</v>
      </c>
      <c r="G105" s="46">
        <v>297240</v>
      </c>
      <c r="I105" s="4">
        <v>21014</v>
      </c>
      <c r="K105" s="4">
        <v>276226</v>
      </c>
      <c r="L105" s="46">
        <v>3007</v>
      </c>
      <c r="N105" s="4">
        <v>33</v>
      </c>
      <c r="P105" s="4">
        <v>2974</v>
      </c>
      <c r="Q105" s="46">
        <v>3921</v>
      </c>
      <c r="R105" s="4">
        <v>41</v>
      </c>
      <c r="T105" s="4">
        <v>3455</v>
      </c>
      <c r="U105" s="4">
        <v>425</v>
      </c>
      <c r="V105" s="46">
        <v>176589</v>
      </c>
      <c r="W105" s="4">
        <v>1745</v>
      </c>
      <c r="X105" s="4">
        <v>9912</v>
      </c>
      <c r="Y105" s="4">
        <v>2311</v>
      </c>
      <c r="Z105" s="4">
        <v>162621</v>
      </c>
      <c r="AA105" s="47">
        <v>490610</v>
      </c>
    </row>
    <row r="106" spans="1:27" ht="13.2" x14ac:dyDescent="0.25">
      <c r="A106" s="45">
        <v>44133</v>
      </c>
      <c r="B106" s="46">
        <v>9982</v>
      </c>
      <c r="D106" s="4">
        <v>60</v>
      </c>
      <c r="E106" s="4">
        <v>1</v>
      </c>
      <c r="F106" s="4">
        <v>9921</v>
      </c>
      <c r="G106" s="46">
        <v>301090</v>
      </c>
      <c r="I106" s="4">
        <v>18603</v>
      </c>
      <c r="K106" s="4">
        <v>282487</v>
      </c>
      <c r="L106" s="46">
        <v>3019</v>
      </c>
      <c r="N106" s="4">
        <v>40</v>
      </c>
      <c r="P106" s="4">
        <v>2979</v>
      </c>
      <c r="Q106" s="46">
        <v>3949</v>
      </c>
      <c r="R106" s="4">
        <v>40</v>
      </c>
      <c r="T106" s="4">
        <v>3478</v>
      </c>
      <c r="U106" s="4">
        <v>431</v>
      </c>
      <c r="V106" s="46">
        <v>178752</v>
      </c>
      <c r="W106" s="4">
        <v>1579</v>
      </c>
      <c r="X106" s="4">
        <v>10171</v>
      </c>
      <c r="Y106" s="4">
        <v>2311</v>
      </c>
      <c r="Z106" s="4">
        <v>164691</v>
      </c>
      <c r="AA106" s="47">
        <v>496792</v>
      </c>
    </row>
    <row r="107" spans="1:27" ht="15.75" customHeight="1" x14ac:dyDescent="0.3">
      <c r="A107" s="51">
        <v>44134</v>
      </c>
      <c r="B107" s="48">
        <v>10146</v>
      </c>
      <c r="C107" s="32"/>
      <c r="D107" s="10">
        <v>60</v>
      </c>
      <c r="E107" s="19">
        <v>1</v>
      </c>
      <c r="F107" s="19">
        <v>10085</v>
      </c>
      <c r="G107" s="49">
        <v>308922</v>
      </c>
      <c r="H107" s="32"/>
      <c r="I107" s="19">
        <v>23145</v>
      </c>
      <c r="J107" s="32"/>
      <c r="K107" s="19">
        <v>285777</v>
      </c>
      <c r="L107" s="49">
        <v>3019</v>
      </c>
      <c r="M107" s="32"/>
      <c r="N107" s="19">
        <v>36</v>
      </c>
      <c r="O107" s="32"/>
      <c r="P107" s="19">
        <v>2983</v>
      </c>
      <c r="Q107" s="49">
        <v>3956</v>
      </c>
      <c r="R107" s="19">
        <v>44</v>
      </c>
      <c r="S107" s="32"/>
      <c r="T107" s="19">
        <v>3478</v>
      </c>
      <c r="U107" s="19">
        <v>434</v>
      </c>
      <c r="V107" s="49">
        <v>181900</v>
      </c>
      <c r="W107" s="19">
        <v>1338</v>
      </c>
      <c r="X107" s="19">
        <v>11058</v>
      </c>
      <c r="Y107" s="19">
        <v>2311</v>
      </c>
      <c r="Z107" s="19">
        <v>167193</v>
      </c>
      <c r="AA107" s="50">
        <v>507943</v>
      </c>
    </row>
    <row r="108" spans="1:27" ht="13.2" x14ac:dyDescent="0.25">
      <c r="A108" s="45">
        <v>44135</v>
      </c>
      <c r="B108" s="46">
        <v>10327</v>
      </c>
      <c r="D108" s="4">
        <v>60</v>
      </c>
      <c r="E108" s="4">
        <v>1</v>
      </c>
      <c r="F108" s="4">
        <v>10266</v>
      </c>
      <c r="G108" s="46">
        <v>313621</v>
      </c>
      <c r="I108" s="4">
        <v>22870</v>
      </c>
      <c r="K108" s="4">
        <v>290751</v>
      </c>
      <c r="L108" s="46">
        <v>3022</v>
      </c>
      <c r="N108" s="4">
        <v>39</v>
      </c>
      <c r="P108" s="4">
        <v>2983</v>
      </c>
      <c r="Q108" s="46">
        <v>3959</v>
      </c>
      <c r="R108" s="4">
        <v>47</v>
      </c>
      <c r="T108" s="4">
        <v>3478</v>
      </c>
      <c r="U108" s="4">
        <v>434</v>
      </c>
      <c r="V108" s="46">
        <v>184070</v>
      </c>
      <c r="W108" s="4">
        <v>1735</v>
      </c>
      <c r="X108" s="4">
        <v>11912</v>
      </c>
      <c r="Y108" s="4">
        <v>2311</v>
      </c>
      <c r="Z108" s="4">
        <v>168112</v>
      </c>
      <c r="AA108" s="47">
        <v>514999</v>
      </c>
    </row>
    <row r="109" spans="1:27" ht="15.75" customHeight="1" x14ac:dyDescent="0.3">
      <c r="A109" s="45">
        <v>44136</v>
      </c>
      <c r="B109" s="48">
        <v>10390</v>
      </c>
      <c r="C109" s="32"/>
      <c r="D109" s="10">
        <v>30</v>
      </c>
      <c r="E109" s="19">
        <v>1</v>
      </c>
      <c r="F109" s="19">
        <v>10359</v>
      </c>
      <c r="G109" s="49">
        <v>317753</v>
      </c>
      <c r="H109" s="32"/>
      <c r="I109" s="19">
        <v>23320</v>
      </c>
      <c r="J109" s="32"/>
      <c r="K109" s="19">
        <v>294433</v>
      </c>
      <c r="L109" s="49">
        <v>3023</v>
      </c>
      <c r="M109" s="32"/>
      <c r="N109" s="19">
        <v>39</v>
      </c>
      <c r="O109" s="32"/>
      <c r="P109" s="19">
        <v>2984</v>
      </c>
      <c r="Q109" s="49">
        <v>3961</v>
      </c>
      <c r="R109" s="19">
        <v>47</v>
      </c>
      <c r="S109" s="32"/>
      <c r="T109" s="19">
        <v>3478</v>
      </c>
      <c r="U109" s="19">
        <v>436</v>
      </c>
      <c r="V109" s="49">
        <v>185855</v>
      </c>
      <c r="W109" s="19">
        <v>1811</v>
      </c>
      <c r="X109" s="19">
        <v>12663</v>
      </c>
      <c r="Y109" s="19">
        <v>2311</v>
      </c>
      <c r="Z109" s="19">
        <v>169070</v>
      </c>
      <c r="AA109" s="50">
        <v>520982</v>
      </c>
    </row>
    <row r="110" spans="1:27" ht="13.2" x14ac:dyDescent="0.25">
      <c r="A110" s="45">
        <v>44137</v>
      </c>
      <c r="B110" s="46">
        <v>10535</v>
      </c>
      <c r="E110" s="4">
        <v>1</v>
      </c>
      <c r="F110" s="4">
        <v>10534</v>
      </c>
      <c r="G110" s="46">
        <v>319994</v>
      </c>
      <c r="I110" s="4">
        <v>22170</v>
      </c>
      <c r="K110" s="4">
        <v>297824</v>
      </c>
      <c r="L110" s="46">
        <v>3023</v>
      </c>
      <c r="N110" s="4">
        <v>30</v>
      </c>
      <c r="P110" s="4">
        <v>2993</v>
      </c>
      <c r="Q110" s="46">
        <v>3962</v>
      </c>
      <c r="R110" s="4">
        <v>48</v>
      </c>
      <c r="T110" s="4">
        <v>3478</v>
      </c>
      <c r="U110" s="4">
        <v>436</v>
      </c>
      <c r="V110" s="46">
        <v>186632</v>
      </c>
      <c r="W110" s="4">
        <v>1960</v>
      </c>
      <c r="X110" s="4">
        <v>12092</v>
      </c>
      <c r="Y110" s="4">
        <v>2311</v>
      </c>
      <c r="Z110" s="4">
        <v>170269</v>
      </c>
      <c r="AA110" s="47">
        <v>524146</v>
      </c>
    </row>
    <row r="111" spans="1:27" ht="13.2" x14ac:dyDescent="0.25">
      <c r="A111" s="45">
        <v>44138</v>
      </c>
      <c r="B111" s="46">
        <v>10720</v>
      </c>
      <c r="E111" s="4">
        <v>1</v>
      </c>
      <c r="F111" s="4">
        <v>10719</v>
      </c>
      <c r="G111" s="46">
        <v>324175</v>
      </c>
      <c r="I111" s="4">
        <v>23400</v>
      </c>
      <c r="K111" s="4">
        <v>300775</v>
      </c>
      <c r="L111" s="46">
        <v>3025</v>
      </c>
      <c r="N111" s="4">
        <v>27</v>
      </c>
      <c r="P111" s="4">
        <v>2998</v>
      </c>
      <c r="Q111" s="46">
        <v>4167</v>
      </c>
      <c r="R111" s="4">
        <v>44</v>
      </c>
      <c r="T111" s="4">
        <v>3675</v>
      </c>
      <c r="U111" s="4">
        <v>448</v>
      </c>
      <c r="V111" s="46">
        <v>189118</v>
      </c>
      <c r="W111" s="4">
        <v>2273</v>
      </c>
      <c r="X111" s="4">
        <v>12526</v>
      </c>
      <c r="Y111" s="4">
        <v>2311</v>
      </c>
      <c r="Z111" s="4">
        <v>172008</v>
      </c>
      <c r="AA111" s="47">
        <v>531205</v>
      </c>
    </row>
    <row r="112" spans="1:27" ht="13.2" x14ac:dyDescent="0.25">
      <c r="A112" s="45">
        <v>44139</v>
      </c>
      <c r="B112" s="46">
        <v>10798</v>
      </c>
      <c r="E112" s="4">
        <v>1</v>
      </c>
      <c r="F112" s="4">
        <v>10797</v>
      </c>
      <c r="G112" s="46">
        <v>329301</v>
      </c>
      <c r="I112" s="4">
        <v>23802</v>
      </c>
      <c r="K112" s="4">
        <v>305499</v>
      </c>
      <c r="L112" s="46">
        <v>3030</v>
      </c>
      <c r="N112" s="4">
        <v>24</v>
      </c>
      <c r="P112" s="4">
        <v>3006</v>
      </c>
      <c r="Q112" s="46">
        <v>4210</v>
      </c>
      <c r="R112" s="4">
        <v>31</v>
      </c>
      <c r="T112" s="4">
        <v>3714</v>
      </c>
      <c r="U112" s="4">
        <v>465</v>
      </c>
      <c r="V112" s="46">
        <v>191453</v>
      </c>
      <c r="W112" s="4">
        <v>1915</v>
      </c>
      <c r="X112" s="4">
        <v>11753</v>
      </c>
      <c r="Y112" s="4">
        <v>2311</v>
      </c>
      <c r="Z112" s="4">
        <v>175474</v>
      </c>
      <c r="AA112" s="47">
        <v>538792</v>
      </c>
    </row>
    <row r="113" spans="1:27" ht="13.2" x14ac:dyDescent="0.25">
      <c r="A113" s="45">
        <v>44140</v>
      </c>
      <c r="B113" s="46">
        <v>10839</v>
      </c>
      <c r="E113" s="4">
        <v>1</v>
      </c>
      <c r="F113" s="4">
        <v>10838</v>
      </c>
      <c r="G113" s="46">
        <v>333716</v>
      </c>
      <c r="I113" s="4">
        <v>24083</v>
      </c>
      <c r="K113" s="4">
        <v>309633</v>
      </c>
      <c r="L113" s="46">
        <v>3040</v>
      </c>
      <c r="N113" s="4">
        <v>26</v>
      </c>
      <c r="P113" s="4">
        <v>3014</v>
      </c>
      <c r="Q113" s="46">
        <v>4220</v>
      </c>
      <c r="R113" s="4">
        <v>40</v>
      </c>
      <c r="T113" s="4">
        <v>3714</v>
      </c>
      <c r="U113" s="4">
        <v>466</v>
      </c>
      <c r="V113" s="46">
        <v>194393</v>
      </c>
      <c r="W113" s="4">
        <v>2082</v>
      </c>
      <c r="X113" s="4">
        <v>12419</v>
      </c>
      <c r="Y113" s="4">
        <v>2311</v>
      </c>
      <c r="Z113" s="4">
        <v>177581</v>
      </c>
      <c r="AA113" s="47">
        <v>546208</v>
      </c>
    </row>
    <row r="114" spans="1:27" ht="15.75" customHeight="1" x14ac:dyDescent="0.3">
      <c r="A114" s="45">
        <v>44141</v>
      </c>
      <c r="B114" s="48">
        <v>10934</v>
      </c>
      <c r="C114" s="32"/>
      <c r="D114" s="32"/>
      <c r="E114" s="19">
        <v>1</v>
      </c>
      <c r="F114" s="19">
        <v>10933</v>
      </c>
      <c r="G114" s="49">
        <v>335295</v>
      </c>
      <c r="H114" s="32"/>
      <c r="I114" s="19">
        <v>21281</v>
      </c>
      <c r="J114" s="32"/>
      <c r="K114" s="19">
        <v>314014</v>
      </c>
      <c r="L114" s="49">
        <v>3059</v>
      </c>
      <c r="M114" s="32"/>
      <c r="N114" s="19">
        <v>38</v>
      </c>
      <c r="O114" s="32"/>
      <c r="P114" s="19">
        <v>3021</v>
      </c>
      <c r="Q114" s="49">
        <v>4222</v>
      </c>
      <c r="R114" s="19">
        <v>40</v>
      </c>
      <c r="S114" s="32"/>
      <c r="T114" s="19">
        <v>3714</v>
      </c>
      <c r="U114" s="19">
        <v>468</v>
      </c>
      <c r="V114" s="49">
        <v>195399</v>
      </c>
      <c r="W114" s="19">
        <v>2100</v>
      </c>
      <c r="X114" s="19">
        <v>11335</v>
      </c>
      <c r="Y114" s="19">
        <v>2311</v>
      </c>
      <c r="Z114" s="19">
        <v>179653</v>
      </c>
      <c r="AA114" s="50">
        <v>548909</v>
      </c>
    </row>
    <row r="115" spans="1:27" ht="13.2" x14ac:dyDescent="0.25">
      <c r="A115" s="45">
        <v>44142</v>
      </c>
      <c r="B115" s="46">
        <v>11051</v>
      </c>
      <c r="E115" s="4">
        <v>1</v>
      </c>
      <c r="F115" s="4">
        <v>11050</v>
      </c>
      <c r="G115" s="46">
        <v>341191</v>
      </c>
      <c r="I115" s="4">
        <v>24008</v>
      </c>
      <c r="K115" s="4">
        <v>317183</v>
      </c>
      <c r="L115" s="46">
        <v>3075</v>
      </c>
      <c r="N115" s="4">
        <v>47</v>
      </c>
      <c r="P115" s="4">
        <v>3028</v>
      </c>
      <c r="Q115" s="46">
        <v>4233</v>
      </c>
      <c r="R115" s="4">
        <v>42</v>
      </c>
      <c r="T115" s="4">
        <v>3714</v>
      </c>
      <c r="U115" s="4">
        <v>477</v>
      </c>
      <c r="V115" s="46">
        <v>198518</v>
      </c>
      <c r="W115" s="4">
        <v>1907</v>
      </c>
      <c r="X115" s="4">
        <v>12470</v>
      </c>
      <c r="Y115" s="4">
        <v>2311</v>
      </c>
      <c r="Z115" s="4">
        <v>181830</v>
      </c>
      <c r="AA115" s="47">
        <v>558068</v>
      </c>
    </row>
    <row r="116" spans="1:27" ht="15.75" customHeight="1" x14ac:dyDescent="0.3">
      <c r="A116" s="45">
        <v>44143</v>
      </c>
      <c r="B116" s="48">
        <v>11185</v>
      </c>
      <c r="C116" s="32"/>
      <c r="D116" s="32"/>
      <c r="E116" s="19">
        <v>1</v>
      </c>
      <c r="F116" s="19">
        <v>11184</v>
      </c>
      <c r="G116" s="49">
        <v>344884</v>
      </c>
      <c r="H116" s="32"/>
      <c r="I116" s="19">
        <v>26148</v>
      </c>
      <c r="J116" s="32"/>
      <c r="K116" s="19">
        <v>318736</v>
      </c>
      <c r="L116" s="49">
        <v>3085</v>
      </c>
      <c r="M116" s="32"/>
      <c r="N116" s="19">
        <v>49</v>
      </c>
      <c r="O116" s="32"/>
      <c r="P116" s="19">
        <v>3036</v>
      </c>
      <c r="Q116" s="49">
        <v>4236</v>
      </c>
      <c r="R116" s="19">
        <v>42</v>
      </c>
      <c r="S116" s="32"/>
      <c r="T116" s="19">
        <v>3714</v>
      </c>
      <c r="U116" s="19">
        <v>480</v>
      </c>
      <c r="V116" s="49">
        <v>200694</v>
      </c>
      <c r="W116" s="19">
        <v>1909</v>
      </c>
      <c r="X116" s="19">
        <v>13612</v>
      </c>
      <c r="Y116" s="19">
        <v>2311</v>
      </c>
      <c r="Z116" s="19">
        <v>182862</v>
      </c>
      <c r="AA116" s="50">
        <v>564084</v>
      </c>
    </row>
    <row r="117" spans="1:27" ht="13.2" x14ac:dyDescent="0.25">
      <c r="A117" s="45">
        <v>44144</v>
      </c>
      <c r="B117" s="46">
        <v>11334</v>
      </c>
      <c r="E117" s="4">
        <v>1</v>
      </c>
      <c r="F117" s="4">
        <v>11333</v>
      </c>
      <c r="G117" s="46">
        <v>345171</v>
      </c>
      <c r="I117" s="4">
        <v>22232</v>
      </c>
      <c r="K117" s="4">
        <v>322939</v>
      </c>
      <c r="L117" s="46">
        <v>3085</v>
      </c>
      <c r="N117" s="4">
        <v>44</v>
      </c>
      <c r="P117" s="4">
        <v>3041</v>
      </c>
      <c r="Q117" s="46">
        <v>4241</v>
      </c>
      <c r="R117" s="4">
        <v>39</v>
      </c>
      <c r="T117" s="4">
        <v>3714</v>
      </c>
      <c r="U117" s="4">
        <v>488</v>
      </c>
      <c r="V117" s="46">
        <v>200822</v>
      </c>
      <c r="W117" s="4">
        <v>1649</v>
      </c>
      <c r="X117" s="4">
        <v>11855</v>
      </c>
      <c r="Y117" s="4">
        <v>2311</v>
      </c>
      <c r="Z117" s="4">
        <v>185007</v>
      </c>
      <c r="AA117" s="47">
        <v>564653</v>
      </c>
    </row>
    <row r="118" spans="1:27" ht="15.75" customHeight="1" x14ac:dyDescent="0.3">
      <c r="A118" s="51">
        <v>44145</v>
      </c>
      <c r="B118" s="48">
        <v>11392</v>
      </c>
      <c r="C118" s="32"/>
      <c r="D118" s="32"/>
      <c r="E118" s="19">
        <v>1</v>
      </c>
      <c r="F118" s="19">
        <v>11391</v>
      </c>
      <c r="G118" s="49">
        <v>348726</v>
      </c>
      <c r="H118" s="32"/>
      <c r="I118" s="19">
        <v>21204</v>
      </c>
      <c r="J118" s="32"/>
      <c r="K118" s="19">
        <v>327522</v>
      </c>
      <c r="L118" s="49">
        <v>3087</v>
      </c>
      <c r="M118" s="32"/>
      <c r="N118" s="19">
        <v>41</v>
      </c>
      <c r="O118" s="32"/>
      <c r="P118" s="19">
        <v>3046</v>
      </c>
      <c r="Q118" s="49">
        <v>4249</v>
      </c>
      <c r="R118" s="19">
        <v>43</v>
      </c>
      <c r="S118" s="32"/>
      <c r="T118" s="19">
        <v>3714</v>
      </c>
      <c r="U118" s="19">
        <v>492</v>
      </c>
      <c r="V118" s="49">
        <v>203100</v>
      </c>
      <c r="W118" s="19">
        <v>1532</v>
      </c>
      <c r="X118" s="19">
        <v>11739</v>
      </c>
      <c r="Y118" s="19">
        <v>2311</v>
      </c>
      <c r="Z118" s="19">
        <v>187518</v>
      </c>
      <c r="AA118" s="50">
        <v>570554</v>
      </c>
    </row>
    <row r="119" spans="1:27" ht="13.2" x14ac:dyDescent="0.25">
      <c r="A119" s="45">
        <v>44146</v>
      </c>
      <c r="B119" s="46">
        <v>11495</v>
      </c>
      <c r="E119" s="4">
        <v>1</v>
      </c>
      <c r="F119" s="4">
        <v>11494</v>
      </c>
      <c r="G119" s="46">
        <v>351836</v>
      </c>
      <c r="I119" s="4">
        <v>21713</v>
      </c>
      <c r="K119" s="4">
        <v>330123</v>
      </c>
      <c r="L119" s="46">
        <v>3092</v>
      </c>
      <c r="N119" s="4">
        <v>36</v>
      </c>
      <c r="P119" s="4">
        <v>3056</v>
      </c>
      <c r="Q119" s="46">
        <v>4252</v>
      </c>
      <c r="R119" s="4">
        <v>41</v>
      </c>
      <c r="T119" s="4">
        <v>3714</v>
      </c>
      <c r="U119" s="4">
        <v>497</v>
      </c>
      <c r="V119" s="46">
        <v>205925</v>
      </c>
      <c r="W119" s="4">
        <v>1404</v>
      </c>
      <c r="X119" s="4">
        <v>12908</v>
      </c>
      <c r="Y119" s="4">
        <v>2311</v>
      </c>
      <c r="Z119" s="4">
        <v>189302</v>
      </c>
      <c r="AA119" s="47">
        <v>576600</v>
      </c>
    </row>
    <row r="120" spans="1:27" ht="15.75" customHeight="1" x14ac:dyDescent="0.3">
      <c r="A120" s="51">
        <v>44147</v>
      </c>
      <c r="B120" s="48">
        <v>11678</v>
      </c>
      <c r="C120" s="32"/>
      <c r="D120" s="32"/>
      <c r="E120" s="19">
        <v>1</v>
      </c>
      <c r="F120" s="19">
        <v>11677</v>
      </c>
      <c r="G120" s="49">
        <v>356799</v>
      </c>
      <c r="H120" s="32"/>
      <c r="I120" s="19">
        <v>24385</v>
      </c>
      <c r="J120" s="32"/>
      <c r="K120" s="19">
        <v>332414</v>
      </c>
      <c r="L120" s="49">
        <v>3096</v>
      </c>
      <c r="M120" s="32"/>
      <c r="N120" s="19">
        <v>39</v>
      </c>
      <c r="O120" s="32"/>
      <c r="P120" s="19">
        <v>3057</v>
      </c>
      <c r="Q120" s="49">
        <v>4254</v>
      </c>
      <c r="R120" s="19">
        <v>41</v>
      </c>
      <c r="S120" s="32"/>
      <c r="T120" s="19">
        <v>3714</v>
      </c>
      <c r="U120" s="19">
        <v>499</v>
      </c>
      <c r="V120" s="49">
        <v>209565</v>
      </c>
      <c r="W120" s="19">
        <v>1535</v>
      </c>
      <c r="X120" s="19">
        <v>14587</v>
      </c>
      <c r="Y120" s="19">
        <v>2311</v>
      </c>
      <c r="Z120" s="19">
        <v>191132</v>
      </c>
      <c r="AA120" s="50">
        <v>585392</v>
      </c>
    </row>
    <row r="121" spans="1:27" ht="13.2" x14ac:dyDescent="0.25">
      <c r="A121" s="45">
        <v>44148</v>
      </c>
      <c r="B121" s="46">
        <v>11785</v>
      </c>
      <c r="E121" s="4">
        <v>1</v>
      </c>
      <c r="F121" s="4">
        <v>11784</v>
      </c>
      <c r="G121" s="46">
        <v>362473</v>
      </c>
      <c r="I121" s="4">
        <v>27757</v>
      </c>
      <c r="K121" s="4">
        <v>334716</v>
      </c>
      <c r="L121" s="46">
        <v>3107</v>
      </c>
      <c r="N121" s="4">
        <v>43</v>
      </c>
      <c r="P121" s="4">
        <v>3064</v>
      </c>
      <c r="Q121" s="46">
        <v>4315</v>
      </c>
      <c r="R121" s="4">
        <v>42</v>
      </c>
      <c r="T121" s="4">
        <v>3773</v>
      </c>
      <c r="U121" s="4">
        <v>500</v>
      </c>
      <c r="V121" s="46">
        <v>213362</v>
      </c>
      <c r="W121" s="4">
        <v>1478</v>
      </c>
      <c r="X121" s="4">
        <v>16161</v>
      </c>
      <c r="Y121" s="4">
        <v>2311</v>
      </c>
      <c r="Z121" s="4">
        <v>193412</v>
      </c>
      <c r="AA121" s="47">
        <v>595042</v>
      </c>
    </row>
    <row r="122" spans="1:27" ht="13.2" x14ac:dyDescent="0.25">
      <c r="A122" s="45">
        <v>44149</v>
      </c>
      <c r="B122" s="46">
        <v>11881</v>
      </c>
      <c r="E122" s="4">
        <v>1</v>
      </c>
      <c r="F122" s="4">
        <v>11880</v>
      </c>
      <c r="G122" s="46">
        <v>364313</v>
      </c>
      <c r="I122" s="4">
        <v>28848</v>
      </c>
      <c r="K122" s="4">
        <v>335465</v>
      </c>
      <c r="L122" s="46">
        <v>3111</v>
      </c>
      <c r="N122" s="4">
        <v>45</v>
      </c>
      <c r="P122" s="4">
        <v>3066</v>
      </c>
      <c r="Q122" s="46">
        <v>4318</v>
      </c>
      <c r="R122" s="4">
        <v>45</v>
      </c>
      <c r="T122" s="4">
        <v>3773</v>
      </c>
      <c r="U122" s="4">
        <v>500</v>
      </c>
      <c r="V122" s="46">
        <v>214350</v>
      </c>
      <c r="W122" s="4">
        <v>1514</v>
      </c>
      <c r="X122" s="4">
        <v>17023</v>
      </c>
      <c r="Y122" s="4">
        <v>2311</v>
      </c>
      <c r="Z122" s="4">
        <v>193502</v>
      </c>
      <c r="AA122" s="47">
        <v>597973</v>
      </c>
    </row>
    <row r="123" spans="1:27" ht="15.75" customHeight="1" x14ac:dyDescent="0.3">
      <c r="A123" s="51">
        <v>44150</v>
      </c>
      <c r="B123" s="48">
        <v>12006</v>
      </c>
      <c r="C123" s="32"/>
      <c r="D123" s="32"/>
      <c r="E123" s="19">
        <v>1</v>
      </c>
      <c r="F123" s="19">
        <v>12005</v>
      </c>
      <c r="G123" s="49">
        <v>367745</v>
      </c>
      <c r="H123" s="32"/>
      <c r="I123" s="19">
        <v>30555</v>
      </c>
      <c r="J123" s="32"/>
      <c r="K123" s="19">
        <v>337190</v>
      </c>
      <c r="L123" s="49">
        <v>3116</v>
      </c>
      <c r="M123" s="32"/>
      <c r="N123" s="19">
        <v>46</v>
      </c>
      <c r="O123" s="32"/>
      <c r="P123" s="19">
        <v>3070</v>
      </c>
      <c r="Q123" s="49">
        <v>4355</v>
      </c>
      <c r="R123" s="19">
        <v>45</v>
      </c>
      <c r="S123" s="32"/>
      <c r="T123" s="19">
        <v>3808</v>
      </c>
      <c r="U123" s="19">
        <v>502</v>
      </c>
      <c r="V123" s="49">
        <v>216502</v>
      </c>
      <c r="W123" s="19">
        <v>1354</v>
      </c>
      <c r="X123" s="19">
        <v>18114</v>
      </c>
      <c r="Y123" s="19">
        <v>2311</v>
      </c>
      <c r="Z123" s="19">
        <v>194723</v>
      </c>
      <c r="AA123" s="50">
        <v>603724</v>
      </c>
    </row>
    <row r="124" spans="1:27" ht="13.2" x14ac:dyDescent="0.25">
      <c r="A124" s="45">
        <v>44151</v>
      </c>
      <c r="B124" s="46">
        <v>12095</v>
      </c>
      <c r="E124" s="4">
        <v>1</v>
      </c>
      <c r="F124" s="4">
        <v>12094</v>
      </c>
      <c r="G124" s="46">
        <v>371581</v>
      </c>
      <c r="I124" s="4">
        <v>33448</v>
      </c>
      <c r="K124" s="4">
        <v>338133</v>
      </c>
      <c r="L124" s="46">
        <v>3116</v>
      </c>
      <c r="N124" s="4">
        <v>46</v>
      </c>
      <c r="P124" s="4">
        <v>3070</v>
      </c>
      <c r="Q124" s="46">
        <v>4461</v>
      </c>
      <c r="R124" s="4">
        <v>47</v>
      </c>
      <c r="T124" s="4">
        <v>3911</v>
      </c>
      <c r="U124" s="4">
        <v>503</v>
      </c>
      <c r="V124" s="46">
        <v>218309</v>
      </c>
      <c r="W124" s="4">
        <v>1474</v>
      </c>
      <c r="X124" s="4">
        <v>19133</v>
      </c>
      <c r="Y124" s="4">
        <v>2311</v>
      </c>
      <c r="Z124" s="4">
        <v>195391</v>
      </c>
      <c r="AA124" s="47">
        <v>609562</v>
      </c>
    </row>
    <row r="125" spans="1:27" ht="13.2" x14ac:dyDescent="0.25">
      <c r="A125" s="45">
        <v>44152</v>
      </c>
      <c r="B125" s="46">
        <v>12210</v>
      </c>
      <c r="E125" s="4">
        <v>1</v>
      </c>
      <c r="F125" s="4">
        <v>12209</v>
      </c>
      <c r="G125" s="46">
        <v>375215</v>
      </c>
      <c r="I125" s="4">
        <v>28584</v>
      </c>
      <c r="K125" s="4">
        <v>346631</v>
      </c>
      <c r="L125" s="46">
        <v>3125</v>
      </c>
      <c r="N125" s="4">
        <v>48</v>
      </c>
      <c r="P125" s="4">
        <v>3077</v>
      </c>
      <c r="Q125" s="46">
        <v>4507</v>
      </c>
      <c r="R125" s="4">
        <v>47</v>
      </c>
      <c r="T125" s="4">
        <v>3945</v>
      </c>
      <c r="U125" s="4">
        <v>515</v>
      </c>
      <c r="V125" s="46">
        <v>220956</v>
      </c>
      <c r="W125" s="4">
        <v>1315</v>
      </c>
      <c r="X125" s="4">
        <v>17684</v>
      </c>
      <c r="Y125" s="4">
        <v>2311</v>
      </c>
      <c r="Z125" s="4">
        <v>199646</v>
      </c>
      <c r="AA125" s="47">
        <v>616013</v>
      </c>
    </row>
    <row r="126" spans="1:27" ht="13.2" x14ac:dyDescent="0.25">
      <c r="A126" s="45">
        <v>44153</v>
      </c>
      <c r="B126" s="46">
        <v>12267</v>
      </c>
      <c r="E126" s="4">
        <v>1</v>
      </c>
      <c r="F126" s="4">
        <v>12266</v>
      </c>
      <c r="G126" s="46">
        <v>381621</v>
      </c>
      <c r="I126" s="4">
        <v>28143</v>
      </c>
      <c r="K126" s="4">
        <v>353478</v>
      </c>
      <c r="L126" s="46">
        <v>3143</v>
      </c>
      <c r="N126" s="4">
        <v>33</v>
      </c>
      <c r="P126" s="4">
        <v>3110</v>
      </c>
      <c r="Q126" s="46">
        <v>4566</v>
      </c>
      <c r="R126" s="4">
        <v>47</v>
      </c>
      <c r="T126" s="4">
        <v>3997</v>
      </c>
      <c r="U126" s="4">
        <v>522</v>
      </c>
      <c r="V126" s="46">
        <v>225294</v>
      </c>
      <c r="W126" s="4">
        <v>1477</v>
      </c>
      <c r="X126" s="4">
        <v>17218</v>
      </c>
      <c r="Y126" s="4">
        <v>2311</v>
      </c>
      <c r="Z126" s="4">
        <v>204288</v>
      </c>
      <c r="AA126" s="47">
        <v>626891</v>
      </c>
    </row>
    <row r="127" spans="1:27" ht="13.2" x14ac:dyDescent="0.25">
      <c r="A127" s="45">
        <v>44154</v>
      </c>
      <c r="B127" s="46">
        <v>12267</v>
      </c>
      <c r="E127" s="4">
        <v>1</v>
      </c>
      <c r="F127" s="4">
        <v>12266</v>
      </c>
      <c r="G127" s="46">
        <v>385965</v>
      </c>
      <c r="I127" s="4">
        <v>28530</v>
      </c>
      <c r="K127" s="4">
        <v>357435</v>
      </c>
      <c r="L127" s="46">
        <v>3143</v>
      </c>
      <c r="N127" s="4">
        <v>28</v>
      </c>
      <c r="P127" s="4">
        <v>3115</v>
      </c>
      <c r="Q127" s="46">
        <v>4661</v>
      </c>
      <c r="R127" s="4">
        <v>43</v>
      </c>
      <c r="T127" s="4">
        <v>4092</v>
      </c>
      <c r="U127" s="4">
        <v>526</v>
      </c>
      <c r="V127" s="46">
        <v>228041</v>
      </c>
      <c r="W127" s="4">
        <v>1588</v>
      </c>
      <c r="X127" s="4">
        <v>17078</v>
      </c>
      <c r="Y127" s="4">
        <v>2311</v>
      </c>
      <c r="Z127" s="4">
        <v>207064</v>
      </c>
      <c r="AA127" s="47">
        <v>634077</v>
      </c>
    </row>
    <row r="128" spans="1:27" ht="15.75" customHeight="1" x14ac:dyDescent="0.3">
      <c r="A128" s="51">
        <v>44155</v>
      </c>
      <c r="B128" s="48">
        <v>12364</v>
      </c>
      <c r="C128" s="32"/>
      <c r="D128" s="32"/>
      <c r="E128" s="19">
        <v>1</v>
      </c>
      <c r="F128" s="19">
        <v>12363</v>
      </c>
      <c r="G128" s="49">
        <v>391656</v>
      </c>
      <c r="H128" s="32"/>
      <c r="I128" s="19">
        <v>28922</v>
      </c>
      <c r="J128" s="32"/>
      <c r="K128" s="19">
        <v>362734</v>
      </c>
      <c r="L128" s="49">
        <v>3159</v>
      </c>
      <c r="M128" s="32"/>
      <c r="N128" s="19">
        <v>29</v>
      </c>
      <c r="O128" s="32"/>
      <c r="P128" s="19">
        <v>3130</v>
      </c>
      <c r="Q128" s="49">
        <v>4688</v>
      </c>
      <c r="R128" s="19">
        <v>41</v>
      </c>
      <c r="S128" s="32"/>
      <c r="T128" s="19">
        <v>4118</v>
      </c>
      <c r="U128" s="19">
        <v>529</v>
      </c>
      <c r="V128" s="49">
        <v>231910</v>
      </c>
      <c r="W128" s="19">
        <v>1584</v>
      </c>
      <c r="X128" s="19">
        <v>17490</v>
      </c>
      <c r="Y128" s="19">
        <v>2311</v>
      </c>
      <c r="Z128" s="19">
        <v>210525</v>
      </c>
      <c r="AA128" s="50">
        <v>643777</v>
      </c>
    </row>
    <row r="129" spans="1:27" ht="13.2" x14ac:dyDescent="0.25">
      <c r="A129" s="45">
        <v>44156</v>
      </c>
      <c r="B129" s="46">
        <v>12367</v>
      </c>
      <c r="E129" s="4">
        <v>1</v>
      </c>
      <c r="F129" s="4">
        <v>12366</v>
      </c>
      <c r="G129" s="46">
        <v>393530</v>
      </c>
      <c r="I129" s="4">
        <v>28624</v>
      </c>
      <c r="K129" s="4">
        <v>364906</v>
      </c>
      <c r="L129" s="46">
        <v>3176</v>
      </c>
      <c r="N129" s="4">
        <v>28</v>
      </c>
      <c r="P129" s="4">
        <v>3148</v>
      </c>
      <c r="Q129" s="46">
        <v>4694</v>
      </c>
      <c r="R129" s="4">
        <v>42</v>
      </c>
      <c r="T129" s="4">
        <v>4118</v>
      </c>
      <c r="U129" s="4">
        <v>534</v>
      </c>
      <c r="V129" s="46">
        <v>233185</v>
      </c>
      <c r="W129" s="4">
        <v>1517</v>
      </c>
      <c r="X129" s="4">
        <v>17474</v>
      </c>
      <c r="Y129" s="4">
        <v>2311</v>
      </c>
      <c r="Z129" s="4">
        <v>211883</v>
      </c>
      <c r="AA129" s="47">
        <v>646952</v>
      </c>
    </row>
    <row r="130" spans="1:27" ht="15.75" customHeight="1" x14ac:dyDescent="0.3">
      <c r="A130" s="51">
        <v>44157</v>
      </c>
      <c r="B130" s="48">
        <v>12423</v>
      </c>
      <c r="C130" s="32"/>
      <c r="D130" s="32"/>
      <c r="E130" s="19">
        <v>1</v>
      </c>
      <c r="F130" s="19">
        <v>12422</v>
      </c>
      <c r="G130" s="49">
        <v>399938</v>
      </c>
      <c r="H130" s="32"/>
      <c r="I130" s="19">
        <v>33028</v>
      </c>
      <c r="J130" s="32"/>
      <c r="K130" s="19">
        <v>366910</v>
      </c>
      <c r="L130" s="49">
        <v>3218</v>
      </c>
      <c r="M130" s="32"/>
      <c r="N130" s="19">
        <v>60</v>
      </c>
      <c r="O130" s="32"/>
      <c r="P130" s="19">
        <v>3158</v>
      </c>
      <c r="Q130" s="49">
        <v>4700</v>
      </c>
      <c r="R130" s="19">
        <v>44</v>
      </c>
      <c r="S130" s="32"/>
      <c r="T130" s="19">
        <v>4118</v>
      </c>
      <c r="U130" s="19">
        <v>538</v>
      </c>
      <c r="V130" s="49">
        <v>236561</v>
      </c>
      <c r="W130" s="19">
        <v>1682</v>
      </c>
      <c r="X130" s="19">
        <v>19341</v>
      </c>
      <c r="Y130" s="19">
        <v>2311</v>
      </c>
      <c r="Z130" s="19">
        <v>213227</v>
      </c>
      <c r="AA130" s="50">
        <v>656840</v>
      </c>
    </row>
    <row r="131" spans="1:27" ht="13.2" x14ac:dyDescent="0.25">
      <c r="A131" s="45">
        <v>44158</v>
      </c>
      <c r="B131" s="46">
        <v>12466</v>
      </c>
      <c r="E131" s="4">
        <v>1</v>
      </c>
      <c r="F131" s="4">
        <v>12465</v>
      </c>
      <c r="G131" s="46">
        <v>403540</v>
      </c>
      <c r="I131" s="4">
        <v>32034</v>
      </c>
      <c r="K131" s="4">
        <v>371506</v>
      </c>
      <c r="L131" s="46">
        <v>3229</v>
      </c>
      <c r="N131" s="4">
        <v>65</v>
      </c>
      <c r="P131" s="4">
        <v>3164</v>
      </c>
      <c r="Q131" s="46">
        <v>4706</v>
      </c>
      <c r="R131" s="4">
        <v>44</v>
      </c>
      <c r="T131" s="4">
        <v>4118</v>
      </c>
      <c r="U131" s="4">
        <v>544</v>
      </c>
      <c r="V131" s="46">
        <v>238175</v>
      </c>
      <c r="W131" s="4">
        <v>1613</v>
      </c>
      <c r="X131" s="4">
        <v>18061</v>
      </c>
      <c r="Y131" s="4">
        <v>2311</v>
      </c>
      <c r="Z131" s="4">
        <v>216190</v>
      </c>
      <c r="AA131" s="47">
        <v>662116</v>
      </c>
    </row>
    <row r="132" spans="1:27" ht="15.75" customHeight="1" x14ac:dyDescent="0.3">
      <c r="A132" s="51">
        <v>44159</v>
      </c>
      <c r="B132" s="48">
        <v>12571</v>
      </c>
      <c r="C132" s="32"/>
      <c r="D132" s="32"/>
      <c r="E132" s="19">
        <v>1</v>
      </c>
      <c r="F132" s="19">
        <v>12570</v>
      </c>
      <c r="G132" s="49">
        <v>407146</v>
      </c>
      <c r="H132" s="32"/>
      <c r="I132" s="19">
        <v>32187</v>
      </c>
      <c r="J132" s="32"/>
      <c r="K132" s="19">
        <v>374959</v>
      </c>
      <c r="L132" s="49">
        <v>3229</v>
      </c>
      <c r="M132" s="32"/>
      <c r="N132" s="19">
        <v>59</v>
      </c>
      <c r="O132" s="32"/>
      <c r="P132" s="19">
        <v>3170</v>
      </c>
      <c r="Q132" s="49">
        <v>4710</v>
      </c>
      <c r="R132" s="19">
        <v>42</v>
      </c>
      <c r="S132" s="32"/>
      <c r="T132" s="19">
        <v>4118</v>
      </c>
      <c r="U132" s="19">
        <v>550</v>
      </c>
      <c r="V132" s="49">
        <v>239739</v>
      </c>
      <c r="W132" s="19">
        <v>1577</v>
      </c>
      <c r="X132" s="19">
        <v>17468</v>
      </c>
      <c r="Y132" s="19">
        <v>2311</v>
      </c>
      <c r="Z132" s="19">
        <v>218383</v>
      </c>
      <c r="AA132" s="50">
        <v>667395</v>
      </c>
    </row>
    <row r="133" spans="1:27" ht="13.2" x14ac:dyDescent="0.25">
      <c r="A133" s="45">
        <v>44160</v>
      </c>
      <c r="B133" s="46">
        <v>12621</v>
      </c>
      <c r="E133" s="4">
        <v>1</v>
      </c>
      <c r="F133" s="4">
        <v>12620</v>
      </c>
      <c r="G133" s="46">
        <v>412758</v>
      </c>
      <c r="I133" s="4">
        <v>34347</v>
      </c>
      <c r="K133" s="4">
        <v>378411</v>
      </c>
      <c r="L133" s="46">
        <v>3257</v>
      </c>
      <c r="N133" s="4">
        <v>62</v>
      </c>
      <c r="P133" s="4">
        <v>3195</v>
      </c>
      <c r="Q133" s="46">
        <v>4744</v>
      </c>
      <c r="R133" s="4">
        <v>43</v>
      </c>
      <c r="T133" s="4">
        <v>4148</v>
      </c>
      <c r="U133" s="4">
        <v>553</v>
      </c>
      <c r="V133" s="46">
        <v>243217</v>
      </c>
      <c r="W133" s="4">
        <v>1583</v>
      </c>
      <c r="X133" s="4">
        <v>18202</v>
      </c>
      <c r="Y133" s="4">
        <v>2311</v>
      </c>
      <c r="Z133" s="4">
        <v>221121</v>
      </c>
      <c r="AA133" s="47">
        <v>676597</v>
      </c>
    </row>
    <row r="134" spans="1:27" ht="13.2" x14ac:dyDescent="0.25">
      <c r="A134" s="45">
        <v>44161</v>
      </c>
      <c r="B134" s="46">
        <v>12691</v>
      </c>
      <c r="E134" s="4">
        <v>1</v>
      </c>
      <c r="F134" s="4">
        <v>12690</v>
      </c>
      <c r="G134" s="46">
        <v>419682</v>
      </c>
      <c r="I134" s="4">
        <v>35307</v>
      </c>
      <c r="K134" s="4">
        <v>384375</v>
      </c>
      <c r="L134" s="46">
        <v>3266</v>
      </c>
      <c r="N134" s="4">
        <v>39</v>
      </c>
      <c r="P134" s="4">
        <v>3227</v>
      </c>
      <c r="Q134" s="46">
        <v>4751</v>
      </c>
      <c r="R134" s="4">
        <v>47</v>
      </c>
      <c r="T134" s="4">
        <v>4148</v>
      </c>
      <c r="U134" s="4">
        <v>556</v>
      </c>
      <c r="V134" s="46">
        <v>247299</v>
      </c>
      <c r="W134" s="4">
        <v>1486</v>
      </c>
      <c r="X134" s="4">
        <v>19121</v>
      </c>
      <c r="Y134" s="4">
        <v>2311</v>
      </c>
      <c r="Z134" s="4">
        <v>224381</v>
      </c>
      <c r="AA134" s="47">
        <v>687689</v>
      </c>
    </row>
    <row r="135" spans="1:27" ht="15.75" customHeight="1" x14ac:dyDescent="0.3">
      <c r="A135" s="51">
        <v>44162</v>
      </c>
      <c r="B135" s="48">
        <v>12756</v>
      </c>
      <c r="C135" s="32"/>
      <c r="D135" s="32"/>
      <c r="E135" s="19">
        <v>1</v>
      </c>
      <c r="F135" s="19">
        <v>12755</v>
      </c>
      <c r="G135" s="49">
        <v>426826</v>
      </c>
      <c r="H135" s="32"/>
      <c r="I135" s="19">
        <v>36226</v>
      </c>
      <c r="J135" s="32"/>
      <c r="K135" s="19">
        <v>390600</v>
      </c>
      <c r="L135" s="49">
        <v>3299</v>
      </c>
      <c r="M135" s="32"/>
      <c r="N135" s="19">
        <v>35</v>
      </c>
      <c r="O135" s="32"/>
      <c r="P135" s="19">
        <v>3264</v>
      </c>
      <c r="Q135" s="49">
        <v>4902</v>
      </c>
      <c r="R135" s="19">
        <v>49</v>
      </c>
      <c r="S135" s="32"/>
      <c r="T135" s="19">
        <v>4284</v>
      </c>
      <c r="U135" s="19">
        <v>569</v>
      </c>
      <c r="V135" s="49">
        <v>251571</v>
      </c>
      <c r="W135" s="19">
        <v>1415</v>
      </c>
      <c r="X135" s="19">
        <v>19750</v>
      </c>
      <c r="Y135" s="19">
        <v>2311</v>
      </c>
      <c r="Z135" s="19">
        <v>228095</v>
      </c>
      <c r="AA135" s="50">
        <v>699354</v>
      </c>
    </row>
    <row r="136" spans="1:27" ht="15.75" customHeight="1" x14ac:dyDescent="0.3">
      <c r="A136" s="51">
        <v>44163</v>
      </c>
      <c r="B136" s="48">
        <v>12805</v>
      </c>
      <c r="C136" s="32"/>
      <c r="D136" s="32"/>
      <c r="E136" s="19">
        <v>1</v>
      </c>
      <c r="F136" s="19">
        <v>12804</v>
      </c>
      <c r="G136" s="49">
        <v>433658</v>
      </c>
      <c r="H136" s="32"/>
      <c r="I136" s="19">
        <v>39551</v>
      </c>
      <c r="J136" s="32"/>
      <c r="K136" s="19">
        <v>394107</v>
      </c>
      <c r="L136" s="49">
        <v>3338</v>
      </c>
      <c r="M136" s="32"/>
      <c r="N136" s="19">
        <v>41</v>
      </c>
      <c r="O136" s="32"/>
      <c r="P136" s="19">
        <v>3297</v>
      </c>
      <c r="Q136" s="49">
        <v>4905</v>
      </c>
      <c r="R136" s="19">
        <v>50</v>
      </c>
      <c r="S136" s="32"/>
      <c r="T136" s="19">
        <v>4284</v>
      </c>
      <c r="U136" s="19">
        <v>571</v>
      </c>
      <c r="V136" s="49">
        <v>256114</v>
      </c>
      <c r="W136" s="19">
        <v>1359</v>
      </c>
      <c r="X136" s="19">
        <v>21025</v>
      </c>
      <c r="Y136" s="19">
        <v>2311</v>
      </c>
      <c r="Z136" s="19">
        <v>231419</v>
      </c>
      <c r="AA136" s="50">
        <v>710820</v>
      </c>
    </row>
    <row r="137" spans="1:27" ht="13.2" x14ac:dyDescent="0.25">
      <c r="A137" s="45">
        <v>44164</v>
      </c>
      <c r="B137" s="46">
        <v>12897</v>
      </c>
      <c r="E137" s="4">
        <v>1</v>
      </c>
      <c r="F137" s="4">
        <v>12896</v>
      </c>
      <c r="G137" s="46">
        <v>439261</v>
      </c>
      <c r="I137" s="4">
        <v>42654</v>
      </c>
      <c r="K137" s="4">
        <v>396607</v>
      </c>
      <c r="L137" s="46">
        <v>3355</v>
      </c>
      <c r="N137" s="4">
        <v>47</v>
      </c>
      <c r="P137" s="4">
        <v>3308</v>
      </c>
      <c r="Q137" s="46">
        <v>4909</v>
      </c>
      <c r="R137" s="4">
        <v>51</v>
      </c>
      <c r="T137" s="4">
        <v>4284</v>
      </c>
      <c r="U137" s="4">
        <v>574</v>
      </c>
      <c r="V137" s="46">
        <v>259412</v>
      </c>
      <c r="W137" s="4">
        <v>1410</v>
      </c>
      <c r="X137" s="4">
        <v>22825</v>
      </c>
      <c r="Y137" s="4">
        <v>2311</v>
      </c>
      <c r="Z137" s="4">
        <v>232866</v>
      </c>
      <c r="AA137" s="47">
        <v>719834</v>
      </c>
    </row>
    <row r="138" spans="1:27" ht="13.2" x14ac:dyDescent="0.25">
      <c r="A138" s="51">
        <v>44165</v>
      </c>
      <c r="B138" s="46">
        <v>12955</v>
      </c>
      <c r="E138" s="4">
        <v>1</v>
      </c>
      <c r="F138" s="4">
        <v>12954</v>
      </c>
      <c r="G138" s="46">
        <v>443495</v>
      </c>
      <c r="I138" s="4">
        <v>40338</v>
      </c>
      <c r="K138" s="4">
        <v>403157</v>
      </c>
      <c r="L138" s="46">
        <v>3369</v>
      </c>
      <c r="N138" s="4">
        <v>46</v>
      </c>
      <c r="P138" s="4">
        <v>3323</v>
      </c>
      <c r="Q138" s="46">
        <v>5080</v>
      </c>
      <c r="R138" s="4">
        <v>46</v>
      </c>
      <c r="T138" s="4">
        <v>4452</v>
      </c>
      <c r="U138" s="4">
        <v>582</v>
      </c>
      <c r="V138" s="46">
        <v>261610</v>
      </c>
      <c r="W138" s="4">
        <v>1328</v>
      </c>
      <c r="X138" s="4">
        <v>21201</v>
      </c>
      <c r="Y138" s="4">
        <v>2311</v>
      </c>
      <c r="Z138" s="4">
        <v>236770</v>
      </c>
      <c r="AA138" s="47">
        <v>726509</v>
      </c>
    </row>
    <row r="139" spans="1:27" ht="13.2" x14ac:dyDescent="0.25">
      <c r="A139" s="45">
        <v>44166</v>
      </c>
      <c r="B139" s="46">
        <v>13010</v>
      </c>
      <c r="E139" s="4">
        <v>1</v>
      </c>
      <c r="F139" s="4">
        <v>13009</v>
      </c>
      <c r="G139" s="46">
        <v>446437</v>
      </c>
      <c r="I139" s="4">
        <v>38666</v>
      </c>
      <c r="K139" s="4">
        <v>407771</v>
      </c>
      <c r="L139" s="46">
        <v>3379</v>
      </c>
      <c r="N139" s="4">
        <v>45</v>
      </c>
      <c r="P139" s="4">
        <v>3334</v>
      </c>
      <c r="Q139" s="46">
        <v>5081</v>
      </c>
      <c r="R139" s="4">
        <v>39</v>
      </c>
      <c r="T139" s="4">
        <v>4452</v>
      </c>
      <c r="U139" s="4">
        <v>590</v>
      </c>
      <c r="V139" s="46">
        <v>262895</v>
      </c>
      <c r="W139" s="4">
        <v>1305</v>
      </c>
      <c r="X139" s="4">
        <v>20201</v>
      </c>
      <c r="Y139" s="4">
        <v>2311</v>
      </c>
      <c r="Z139" s="4">
        <v>239078</v>
      </c>
      <c r="AA139" s="47">
        <v>730802</v>
      </c>
    </row>
    <row r="140" spans="1:27" ht="13.2" x14ac:dyDescent="0.25">
      <c r="A140" s="45">
        <v>44167</v>
      </c>
      <c r="B140" s="46">
        <v>13053</v>
      </c>
      <c r="E140" s="4">
        <v>1</v>
      </c>
      <c r="F140" s="4">
        <v>13052</v>
      </c>
      <c r="G140" s="46">
        <v>452536</v>
      </c>
      <c r="I140" s="4">
        <v>39532</v>
      </c>
      <c r="K140" s="4">
        <v>413004</v>
      </c>
      <c r="L140" s="46">
        <v>3393</v>
      </c>
      <c r="N140" s="4">
        <v>46</v>
      </c>
      <c r="P140" s="4">
        <v>3347</v>
      </c>
      <c r="Q140" s="46">
        <v>5085</v>
      </c>
      <c r="R140" s="4">
        <v>43</v>
      </c>
      <c r="T140" s="4">
        <v>4452</v>
      </c>
      <c r="U140" s="4">
        <v>590</v>
      </c>
      <c r="V140" s="46">
        <v>266413</v>
      </c>
      <c r="W140" s="4">
        <v>1376</v>
      </c>
      <c r="X140" s="4">
        <v>20318</v>
      </c>
      <c r="Y140" s="4">
        <v>2311</v>
      </c>
      <c r="Z140" s="4">
        <v>242408</v>
      </c>
      <c r="AA140" s="47">
        <v>740480</v>
      </c>
    </row>
    <row r="141" spans="1:27" ht="13.2" x14ac:dyDescent="0.25">
      <c r="A141" s="45">
        <v>44168</v>
      </c>
      <c r="B141" s="46">
        <v>13103</v>
      </c>
      <c r="E141" s="4">
        <v>1</v>
      </c>
      <c r="F141" s="4">
        <v>13102</v>
      </c>
      <c r="G141" s="46">
        <v>457750</v>
      </c>
      <c r="I141" s="4">
        <v>38423</v>
      </c>
      <c r="K141" s="4">
        <v>419327</v>
      </c>
      <c r="L141" s="46">
        <v>3419</v>
      </c>
      <c r="N141" s="4">
        <v>54</v>
      </c>
      <c r="P141" s="4">
        <v>3365</v>
      </c>
      <c r="Q141" s="46">
        <v>5281</v>
      </c>
      <c r="R141" s="4">
        <v>45</v>
      </c>
      <c r="T141" s="4">
        <v>4640</v>
      </c>
      <c r="U141" s="4">
        <v>596</v>
      </c>
      <c r="V141" s="46">
        <v>270662</v>
      </c>
      <c r="W141" s="4">
        <v>1388</v>
      </c>
      <c r="X141" s="4">
        <v>20674</v>
      </c>
      <c r="Y141" s="4">
        <v>2311</v>
      </c>
      <c r="Z141" s="4">
        <v>246289</v>
      </c>
      <c r="AA141" s="47">
        <v>750215</v>
      </c>
    </row>
    <row r="142" spans="1:27" ht="15.75" customHeight="1" x14ac:dyDescent="0.3">
      <c r="A142" s="45">
        <v>44169</v>
      </c>
      <c r="B142" s="48">
        <v>13164</v>
      </c>
      <c r="C142" s="32"/>
      <c r="D142" s="32"/>
      <c r="E142" s="19">
        <v>1</v>
      </c>
      <c r="F142" s="19">
        <v>13163</v>
      </c>
      <c r="G142" s="49">
        <v>462561</v>
      </c>
      <c r="H142" s="32"/>
      <c r="I142" s="19">
        <v>37159</v>
      </c>
      <c r="J142" s="32"/>
      <c r="K142" s="19">
        <v>425402</v>
      </c>
      <c r="L142" s="49">
        <v>3442</v>
      </c>
      <c r="M142" s="32"/>
      <c r="N142" s="19">
        <v>41</v>
      </c>
      <c r="O142" s="32"/>
      <c r="P142" s="19">
        <v>3401</v>
      </c>
      <c r="Q142" s="49">
        <v>5288</v>
      </c>
      <c r="R142" s="19">
        <v>48</v>
      </c>
      <c r="S142" s="32"/>
      <c r="T142" s="19">
        <v>4640</v>
      </c>
      <c r="U142" s="19">
        <v>600</v>
      </c>
      <c r="V142" s="49">
        <v>275103</v>
      </c>
      <c r="W142" s="19">
        <v>1268</v>
      </c>
      <c r="X142" s="19">
        <v>21281</v>
      </c>
      <c r="Y142" s="19">
        <v>2311</v>
      </c>
      <c r="Z142" s="19">
        <v>250243</v>
      </c>
      <c r="AA142" s="50">
        <v>759558</v>
      </c>
    </row>
    <row r="143" spans="1:27" ht="15.75" customHeight="1" x14ac:dyDescent="0.3">
      <c r="A143" s="45">
        <v>44170</v>
      </c>
      <c r="B143" s="48">
        <v>13189</v>
      </c>
      <c r="C143" s="32"/>
      <c r="D143" s="32"/>
      <c r="E143" s="19">
        <v>1</v>
      </c>
      <c r="F143" s="19">
        <v>13188</v>
      </c>
      <c r="G143" s="49">
        <v>464652</v>
      </c>
      <c r="H143" s="32"/>
      <c r="I143" s="19">
        <v>36311</v>
      </c>
      <c r="J143" s="32"/>
      <c r="K143" s="19">
        <v>428341</v>
      </c>
      <c r="L143" s="49">
        <v>3454</v>
      </c>
      <c r="M143" s="32"/>
      <c r="N143" s="19">
        <v>46</v>
      </c>
      <c r="O143" s="32"/>
      <c r="P143" s="19">
        <v>3408</v>
      </c>
      <c r="Q143" s="49">
        <v>5293</v>
      </c>
      <c r="R143" s="19">
        <v>50</v>
      </c>
      <c r="S143" s="32"/>
      <c r="T143" s="19">
        <v>4640</v>
      </c>
      <c r="U143" s="19">
        <v>603</v>
      </c>
      <c r="V143" s="49">
        <v>277276</v>
      </c>
      <c r="W143" s="19">
        <v>1223</v>
      </c>
      <c r="X143" s="19">
        <v>20929</v>
      </c>
      <c r="Y143" s="19">
        <v>2311</v>
      </c>
      <c r="Z143" s="19">
        <v>252813</v>
      </c>
      <c r="AA143" s="50">
        <v>763864</v>
      </c>
    </row>
    <row r="144" spans="1:27" ht="13.2" x14ac:dyDescent="0.25">
      <c r="A144" s="45">
        <v>44171</v>
      </c>
      <c r="B144" s="46">
        <v>13277</v>
      </c>
      <c r="E144" s="4">
        <v>1</v>
      </c>
      <c r="F144" s="4">
        <v>13276</v>
      </c>
      <c r="G144" s="46">
        <v>475888</v>
      </c>
      <c r="I144" s="4">
        <v>44978</v>
      </c>
      <c r="K144" s="4">
        <v>430910</v>
      </c>
      <c r="L144" s="46">
        <v>3465</v>
      </c>
      <c r="N144" s="4">
        <v>49</v>
      </c>
      <c r="P144" s="4">
        <v>3416</v>
      </c>
      <c r="Q144" s="46">
        <v>5298</v>
      </c>
      <c r="R144" s="4">
        <v>51</v>
      </c>
      <c r="T144" s="4">
        <v>4640</v>
      </c>
      <c r="U144" s="4">
        <v>607</v>
      </c>
      <c r="V144" s="46">
        <v>283820</v>
      </c>
      <c r="W144" s="4">
        <v>1469</v>
      </c>
      <c r="X144" s="4">
        <v>24827</v>
      </c>
      <c r="Y144" s="4">
        <v>2311</v>
      </c>
      <c r="Z144" s="4">
        <v>255213</v>
      </c>
      <c r="AA144" s="47">
        <v>781748</v>
      </c>
    </row>
    <row r="145" spans="1:27" ht="13.2" x14ac:dyDescent="0.25">
      <c r="A145" s="45">
        <v>44172</v>
      </c>
      <c r="B145" s="46">
        <v>13381</v>
      </c>
      <c r="E145" s="4">
        <v>1</v>
      </c>
      <c r="F145" s="4">
        <v>13380</v>
      </c>
      <c r="G145" s="46">
        <v>480248</v>
      </c>
      <c r="I145" s="4">
        <v>42342</v>
      </c>
      <c r="K145" s="4">
        <v>437906</v>
      </c>
      <c r="L145" s="46">
        <v>3466</v>
      </c>
      <c r="N145" s="4">
        <v>43</v>
      </c>
      <c r="P145" s="4">
        <v>3423</v>
      </c>
      <c r="Q145" s="46">
        <v>5302</v>
      </c>
      <c r="R145" s="4">
        <v>50</v>
      </c>
      <c r="T145" s="4">
        <v>4640</v>
      </c>
      <c r="U145" s="4">
        <v>612</v>
      </c>
      <c r="V145" s="46">
        <v>285701</v>
      </c>
      <c r="W145" s="4">
        <v>1515</v>
      </c>
      <c r="X145" s="4">
        <v>23064</v>
      </c>
      <c r="Y145" s="4">
        <v>2311</v>
      </c>
      <c r="Z145" s="4">
        <v>258811</v>
      </c>
      <c r="AA145" s="47">
        <v>788098</v>
      </c>
    </row>
    <row r="146" spans="1:27" ht="13.2" x14ac:dyDescent="0.25">
      <c r="A146" s="45">
        <v>44173</v>
      </c>
      <c r="B146" s="46">
        <v>13385</v>
      </c>
      <c r="E146" s="4">
        <v>1</v>
      </c>
      <c r="F146" s="4">
        <v>13384</v>
      </c>
      <c r="G146" s="46">
        <v>483143</v>
      </c>
      <c r="I146" s="4">
        <v>40129</v>
      </c>
      <c r="K146" s="4">
        <v>443014</v>
      </c>
      <c r="L146" s="46">
        <v>3483</v>
      </c>
      <c r="N146" s="4">
        <v>45</v>
      </c>
      <c r="P146" s="4">
        <v>3438</v>
      </c>
      <c r="Q146" s="46">
        <v>5304</v>
      </c>
      <c r="R146" s="4">
        <v>45</v>
      </c>
      <c r="T146" s="4">
        <v>4640</v>
      </c>
      <c r="U146" s="4">
        <v>619</v>
      </c>
      <c r="V146" s="46">
        <v>286988</v>
      </c>
      <c r="W146" s="4">
        <v>1403</v>
      </c>
      <c r="X146" s="4">
        <v>21175</v>
      </c>
      <c r="Y146" s="4">
        <v>2311</v>
      </c>
      <c r="Z146" s="4">
        <v>262099</v>
      </c>
      <c r="AA146" s="47">
        <v>792303</v>
      </c>
    </row>
    <row r="147" spans="1:27" ht="15.75" customHeight="1" x14ac:dyDescent="0.3">
      <c r="A147" s="45">
        <v>44174</v>
      </c>
      <c r="B147" s="48">
        <v>13487</v>
      </c>
      <c r="C147" s="32"/>
      <c r="D147" s="32"/>
      <c r="E147" s="19">
        <v>1</v>
      </c>
      <c r="F147" s="19">
        <v>13486</v>
      </c>
      <c r="G147" s="49">
        <v>488081</v>
      </c>
      <c r="H147" s="32"/>
      <c r="I147" s="19">
        <v>38001</v>
      </c>
      <c r="J147" s="32"/>
      <c r="K147" s="19">
        <v>450080</v>
      </c>
      <c r="L147" s="49">
        <v>3468</v>
      </c>
      <c r="M147" s="32"/>
      <c r="N147" s="19">
        <v>21</v>
      </c>
      <c r="O147" s="32"/>
      <c r="P147" s="19">
        <v>3447</v>
      </c>
      <c r="Q147" s="49">
        <v>5318</v>
      </c>
      <c r="R147" s="19">
        <v>19</v>
      </c>
      <c r="S147" s="32"/>
      <c r="T147" s="19">
        <v>4649</v>
      </c>
      <c r="U147" s="19">
        <v>650</v>
      </c>
      <c r="V147" s="49">
        <v>289439</v>
      </c>
      <c r="W147" s="19">
        <v>1206</v>
      </c>
      <c r="X147" s="19">
        <v>19374</v>
      </c>
      <c r="Y147" s="19">
        <v>2311</v>
      </c>
      <c r="Z147" s="19">
        <v>266548</v>
      </c>
      <c r="AA147" s="50">
        <v>799793</v>
      </c>
    </row>
    <row r="148" spans="1:27" ht="13.2" x14ac:dyDescent="0.25">
      <c r="A148" s="45">
        <v>44175</v>
      </c>
      <c r="B148" s="46">
        <v>13530</v>
      </c>
      <c r="E148" s="4">
        <v>1</v>
      </c>
      <c r="F148" s="4">
        <v>13529</v>
      </c>
      <c r="G148" s="46">
        <v>489757</v>
      </c>
      <c r="I148" s="4">
        <v>35167</v>
      </c>
      <c r="K148" s="4">
        <v>454590</v>
      </c>
      <c r="L148" s="46">
        <v>3481</v>
      </c>
      <c r="N148" s="4">
        <v>17</v>
      </c>
      <c r="P148" s="4">
        <v>3464</v>
      </c>
      <c r="Q148" s="46">
        <v>5313</v>
      </c>
      <c r="R148" s="4">
        <v>18</v>
      </c>
      <c r="T148" s="4">
        <v>4640</v>
      </c>
      <c r="U148" s="4">
        <v>655</v>
      </c>
      <c r="V148" s="46">
        <v>291337</v>
      </c>
      <c r="W148" s="4">
        <v>1053</v>
      </c>
      <c r="X148" s="4">
        <v>18680</v>
      </c>
      <c r="Y148" s="4">
        <v>2311</v>
      </c>
      <c r="Z148" s="4">
        <v>269293</v>
      </c>
      <c r="AA148" s="47">
        <v>803418</v>
      </c>
    </row>
    <row r="149" spans="1:27" ht="15.75" customHeight="1" x14ac:dyDescent="0.3">
      <c r="A149" s="51">
        <v>44176</v>
      </c>
      <c r="B149" s="48">
        <v>13621</v>
      </c>
      <c r="C149" s="32"/>
      <c r="D149" s="32"/>
      <c r="E149" s="19">
        <v>1</v>
      </c>
      <c r="F149" s="19">
        <v>13620</v>
      </c>
      <c r="G149" s="49">
        <v>494108</v>
      </c>
      <c r="H149" s="32"/>
      <c r="I149" s="19">
        <v>33724</v>
      </c>
      <c r="J149" s="32"/>
      <c r="K149" s="19">
        <v>460384</v>
      </c>
      <c r="L149" s="49">
        <v>3483</v>
      </c>
      <c r="M149" s="32"/>
      <c r="N149" s="19">
        <v>19</v>
      </c>
      <c r="O149" s="32"/>
      <c r="P149" s="19">
        <v>3464</v>
      </c>
      <c r="Q149" s="49">
        <v>5314</v>
      </c>
      <c r="R149" s="19">
        <v>19</v>
      </c>
      <c r="S149" s="32"/>
      <c r="T149" s="19">
        <v>4640</v>
      </c>
      <c r="U149" s="19">
        <v>655</v>
      </c>
      <c r="V149" s="49">
        <v>293204</v>
      </c>
      <c r="W149" s="19">
        <v>997</v>
      </c>
      <c r="X149" s="19">
        <v>17777</v>
      </c>
      <c r="Y149" s="19">
        <v>2311</v>
      </c>
      <c r="Z149" s="19">
        <v>272119</v>
      </c>
      <c r="AA149" s="50">
        <v>809730</v>
      </c>
    </row>
    <row r="150" spans="1:27" ht="13.2" x14ac:dyDescent="0.25">
      <c r="A150" s="45">
        <v>44177</v>
      </c>
      <c r="B150" s="46">
        <v>13734</v>
      </c>
      <c r="E150" s="4">
        <v>1</v>
      </c>
      <c r="F150" s="4">
        <v>13733</v>
      </c>
      <c r="G150" s="46">
        <v>496049</v>
      </c>
      <c r="I150" s="4">
        <v>33372</v>
      </c>
      <c r="K150" s="4">
        <v>462677</v>
      </c>
      <c r="L150" s="46">
        <v>3505</v>
      </c>
      <c r="N150" s="4">
        <v>19</v>
      </c>
      <c r="P150" s="4">
        <v>3486</v>
      </c>
      <c r="Q150" s="46">
        <v>5334</v>
      </c>
      <c r="R150" s="4">
        <v>38</v>
      </c>
      <c r="T150" s="4">
        <v>4640</v>
      </c>
      <c r="U150" s="4">
        <v>656</v>
      </c>
      <c r="V150" s="46">
        <v>294602</v>
      </c>
      <c r="W150" s="4">
        <v>919</v>
      </c>
      <c r="X150" s="4">
        <v>17873</v>
      </c>
      <c r="Y150" s="4">
        <v>2311</v>
      </c>
      <c r="Z150" s="4">
        <v>273499</v>
      </c>
      <c r="AA150" s="47">
        <v>813224</v>
      </c>
    </row>
    <row r="151" spans="1:27" ht="15.75" customHeight="1" x14ac:dyDescent="0.3">
      <c r="A151" s="51">
        <v>44178</v>
      </c>
      <c r="B151" s="48">
        <v>13871</v>
      </c>
      <c r="C151" s="32"/>
      <c r="D151" s="32"/>
      <c r="E151" s="19">
        <v>1</v>
      </c>
      <c r="F151" s="19">
        <v>13870</v>
      </c>
      <c r="G151" s="49">
        <v>497943</v>
      </c>
      <c r="H151" s="32"/>
      <c r="I151" s="19">
        <v>34190</v>
      </c>
      <c r="J151" s="32"/>
      <c r="K151" s="19">
        <v>463753</v>
      </c>
      <c r="L151" s="49">
        <v>3521</v>
      </c>
      <c r="M151" s="32"/>
      <c r="N151" s="19">
        <v>24</v>
      </c>
      <c r="O151" s="32"/>
      <c r="P151" s="19">
        <v>3497</v>
      </c>
      <c r="Q151" s="49">
        <v>5336</v>
      </c>
      <c r="R151" s="19">
        <v>39</v>
      </c>
      <c r="S151" s="32"/>
      <c r="T151" s="19">
        <v>4640</v>
      </c>
      <c r="U151" s="19">
        <v>657</v>
      </c>
      <c r="V151" s="49">
        <v>296265</v>
      </c>
      <c r="W151" s="19">
        <v>902</v>
      </c>
      <c r="X151" s="19">
        <v>18513</v>
      </c>
      <c r="Y151" s="19">
        <v>2311</v>
      </c>
      <c r="Z151" s="19">
        <v>274539</v>
      </c>
      <c r="AA151" s="50">
        <v>816936</v>
      </c>
    </row>
    <row r="152" spans="1:27" ht="13.2" x14ac:dyDescent="0.25">
      <c r="A152" s="45">
        <v>44179</v>
      </c>
      <c r="B152" s="46">
        <v>14081</v>
      </c>
      <c r="E152" s="4">
        <v>1</v>
      </c>
      <c r="F152" s="4">
        <v>14080</v>
      </c>
      <c r="G152" s="46">
        <v>501458</v>
      </c>
      <c r="I152" s="4">
        <v>32337</v>
      </c>
      <c r="K152" s="4">
        <v>469121</v>
      </c>
      <c r="L152" s="46">
        <v>3527</v>
      </c>
      <c r="N152" s="4">
        <v>28</v>
      </c>
      <c r="P152" s="4">
        <v>3499</v>
      </c>
      <c r="Q152" s="46">
        <v>5809</v>
      </c>
      <c r="R152" s="4">
        <v>37</v>
      </c>
      <c r="T152" s="4">
        <v>5109</v>
      </c>
      <c r="U152" s="4">
        <v>663</v>
      </c>
      <c r="V152" s="46">
        <v>298338</v>
      </c>
      <c r="W152" s="4">
        <v>891</v>
      </c>
      <c r="X152" s="4">
        <v>17164</v>
      </c>
      <c r="Y152" s="4">
        <v>2311</v>
      </c>
      <c r="Z152" s="4">
        <v>277972</v>
      </c>
      <c r="AA152" s="47">
        <v>823213</v>
      </c>
    </row>
    <row r="153" spans="1:27" ht="13.2" x14ac:dyDescent="0.25">
      <c r="A153" s="45">
        <v>44180</v>
      </c>
      <c r="B153" s="46">
        <v>14130</v>
      </c>
      <c r="E153" s="4">
        <v>1</v>
      </c>
      <c r="F153" s="4">
        <v>14129</v>
      </c>
      <c r="G153" s="46">
        <v>504695</v>
      </c>
      <c r="I153" s="4">
        <v>30182</v>
      </c>
      <c r="K153" s="4">
        <v>474513</v>
      </c>
      <c r="L153" s="46">
        <v>3529</v>
      </c>
      <c r="N153" s="4">
        <v>23</v>
      </c>
      <c r="P153" s="4">
        <v>3506</v>
      </c>
      <c r="Q153" s="46">
        <v>5813</v>
      </c>
      <c r="R153" s="4">
        <v>37</v>
      </c>
      <c r="T153" s="4">
        <v>5109</v>
      </c>
      <c r="U153" s="4">
        <v>667</v>
      </c>
      <c r="V153" s="46">
        <v>299705</v>
      </c>
      <c r="W153" s="4">
        <v>993</v>
      </c>
      <c r="X153" s="4">
        <v>15244</v>
      </c>
      <c r="Y153" s="4">
        <v>2311</v>
      </c>
      <c r="Z153" s="4">
        <v>281157</v>
      </c>
      <c r="AA153" s="47">
        <v>827872</v>
      </c>
    </row>
    <row r="154" spans="1:27" ht="13.2" x14ac:dyDescent="0.25">
      <c r="A154" s="45">
        <v>44181</v>
      </c>
      <c r="B154" s="46">
        <v>14189</v>
      </c>
      <c r="E154" s="4">
        <v>1</v>
      </c>
      <c r="F154" s="4">
        <v>14188</v>
      </c>
      <c r="G154" s="46">
        <v>510306</v>
      </c>
      <c r="I154" s="4">
        <v>29550</v>
      </c>
      <c r="K154" s="4">
        <v>480756</v>
      </c>
      <c r="L154" s="46">
        <v>3529</v>
      </c>
      <c r="N154" s="4">
        <v>22</v>
      </c>
      <c r="P154" s="4">
        <v>3507</v>
      </c>
      <c r="Q154" s="46">
        <v>5814</v>
      </c>
      <c r="R154" s="4">
        <v>36</v>
      </c>
      <c r="T154" s="4">
        <v>5109</v>
      </c>
      <c r="U154" s="4">
        <v>669</v>
      </c>
      <c r="V154" s="46">
        <v>302401</v>
      </c>
      <c r="W154" s="4">
        <v>1110</v>
      </c>
      <c r="X154" s="4">
        <v>14636</v>
      </c>
      <c r="Y154" s="4">
        <v>2311</v>
      </c>
      <c r="Z154" s="4">
        <v>284344</v>
      </c>
      <c r="AA154" s="47">
        <v>836239</v>
      </c>
    </row>
    <row r="155" spans="1:27" ht="13.2" x14ac:dyDescent="0.25">
      <c r="A155" s="51">
        <v>44182</v>
      </c>
      <c r="B155" s="46">
        <v>14231</v>
      </c>
      <c r="E155" s="4">
        <v>1</v>
      </c>
      <c r="F155" s="4">
        <v>14230</v>
      </c>
      <c r="G155" s="46">
        <v>516263</v>
      </c>
      <c r="I155" s="4">
        <v>29438</v>
      </c>
      <c r="K155" s="4">
        <v>486825</v>
      </c>
      <c r="L155" s="46">
        <v>3531</v>
      </c>
      <c r="N155" s="4">
        <v>23</v>
      </c>
      <c r="P155" s="4">
        <v>3508</v>
      </c>
      <c r="Q155" s="46">
        <v>6041</v>
      </c>
      <c r="R155" s="4">
        <v>39</v>
      </c>
      <c r="T155" s="4">
        <v>5332</v>
      </c>
      <c r="U155" s="4">
        <v>670</v>
      </c>
      <c r="V155" s="46">
        <v>306024</v>
      </c>
      <c r="W155" s="4">
        <v>1251</v>
      </c>
      <c r="X155" s="4">
        <v>15117</v>
      </c>
      <c r="Y155" s="4">
        <v>2311</v>
      </c>
      <c r="Z155" s="4">
        <v>287345</v>
      </c>
      <c r="AA155" s="47">
        <v>846090</v>
      </c>
    </row>
    <row r="156" spans="1:27" ht="13.2" x14ac:dyDescent="0.25">
      <c r="A156" s="51">
        <v>44183</v>
      </c>
      <c r="B156" s="46">
        <v>14252</v>
      </c>
      <c r="E156" s="4">
        <v>1</v>
      </c>
      <c r="F156" s="4">
        <v>14251</v>
      </c>
      <c r="G156" s="46">
        <v>522934</v>
      </c>
      <c r="I156" s="4">
        <v>30159</v>
      </c>
      <c r="K156" s="4">
        <v>492775</v>
      </c>
      <c r="L156" s="46">
        <v>3538</v>
      </c>
      <c r="N156" s="4">
        <v>23</v>
      </c>
      <c r="P156" s="4">
        <v>3515</v>
      </c>
      <c r="Q156" s="46">
        <v>6045</v>
      </c>
      <c r="R156" s="4">
        <v>37</v>
      </c>
      <c r="T156" s="4">
        <v>5332</v>
      </c>
      <c r="U156" s="4">
        <v>676</v>
      </c>
      <c r="V156" s="46">
        <v>309437</v>
      </c>
      <c r="W156" s="4">
        <v>1276</v>
      </c>
      <c r="X156" s="4">
        <v>15751</v>
      </c>
      <c r="Y156" s="4">
        <v>2311</v>
      </c>
      <c r="Z156" s="4">
        <v>290099</v>
      </c>
      <c r="AA156" s="47">
        <v>856206</v>
      </c>
    </row>
    <row r="157" spans="1:27" ht="13.2" x14ac:dyDescent="0.25">
      <c r="A157" s="45">
        <v>44184</v>
      </c>
      <c r="B157" s="46">
        <v>14388</v>
      </c>
      <c r="E157" s="4">
        <v>1</v>
      </c>
      <c r="F157" s="4">
        <v>14387</v>
      </c>
      <c r="G157" s="46">
        <v>527685</v>
      </c>
      <c r="I157" s="4">
        <v>31876</v>
      </c>
      <c r="K157" s="4">
        <v>495809</v>
      </c>
      <c r="L157" s="46">
        <v>3553</v>
      </c>
      <c r="N157" s="4">
        <v>27</v>
      </c>
      <c r="P157" s="4">
        <v>3526</v>
      </c>
      <c r="Q157" s="46">
        <v>6049</v>
      </c>
      <c r="R157" s="4">
        <v>41</v>
      </c>
      <c r="T157" s="4">
        <v>5332</v>
      </c>
      <c r="U157" s="4">
        <v>676</v>
      </c>
      <c r="V157" s="46">
        <v>312519</v>
      </c>
      <c r="W157" s="4">
        <v>1321</v>
      </c>
      <c r="X157" s="4">
        <v>17727</v>
      </c>
      <c r="Y157" s="4">
        <v>2311</v>
      </c>
      <c r="Z157" s="4">
        <v>291160</v>
      </c>
      <c r="AA157" s="47">
        <v>864194</v>
      </c>
    </row>
    <row r="158" spans="1:27" ht="13.2" x14ac:dyDescent="0.25">
      <c r="A158" s="45">
        <v>44185</v>
      </c>
      <c r="B158" s="46">
        <v>14506</v>
      </c>
      <c r="E158" s="4">
        <v>1</v>
      </c>
      <c r="F158" s="4">
        <v>14505</v>
      </c>
      <c r="G158" s="46">
        <v>533131</v>
      </c>
      <c r="I158" s="4">
        <v>35407</v>
      </c>
      <c r="K158" s="4">
        <v>497724</v>
      </c>
      <c r="L158" s="46">
        <v>3556</v>
      </c>
      <c r="N158" s="4">
        <v>30</v>
      </c>
      <c r="P158" s="4">
        <v>3526</v>
      </c>
      <c r="Q158" s="46">
        <v>6051</v>
      </c>
      <c r="R158" s="4">
        <v>42</v>
      </c>
      <c r="T158" s="4">
        <v>5332</v>
      </c>
      <c r="U158" s="4">
        <v>677</v>
      </c>
      <c r="V158" s="46">
        <v>315903</v>
      </c>
      <c r="W158" s="4">
        <v>1334</v>
      </c>
      <c r="X158" s="4">
        <v>20467</v>
      </c>
      <c r="Y158" s="4">
        <v>2311</v>
      </c>
      <c r="Z158" s="4">
        <v>291791</v>
      </c>
      <c r="AA158" s="47">
        <v>873147</v>
      </c>
    </row>
    <row r="159" spans="1:27" ht="13.2" x14ac:dyDescent="0.25">
      <c r="A159" s="45">
        <v>44186</v>
      </c>
      <c r="B159" s="46">
        <v>14652</v>
      </c>
      <c r="E159" s="4">
        <v>1</v>
      </c>
      <c r="F159" s="4">
        <v>14651</v>
      </c>
      <c r="G159" s="46">
        <v>537156</v>
      </c>
      <c r="I159" s="4">
        <v>39432</v>
      </c>
      <c r="K159" s="4">
        <v>497724</v>
      </c>
      <c r="L159" s="46">
        <v>3558</v>
      </c>
      <c r="N159" s="4">
        <v>32</v>
      </c>
      <c r="P159" s="4">
        <v>3526</v>
      </c>
      <c r="Q159" s="46">
        <v>6054</v>
      </c>
      <c r="R159" s="4">
        <v>45</v>
      </c>
      <c r="T159" s="4">
        <v>5332</v>
      </c>
      <c r="U159" s="4">
        <v>677</v>
      </c>
      <c r="V159" s="46">
        <v>317697</v>
      </c>
      <c r="W159" s="4">
        <v>1350</v>
      </c>
      <c r="X159" s="4">
        <v>21711</v>
      </c>
      <c r="Y159" s="4">
        <v>2311</v>
      </c>
      <c r="Z159" s="4">
        <v>292325</v>
      </c>
      <c r="AA159" s="47">
        <v>879117</v>
      </c>
    </row>
    <row r="160" spans="1:27" ht="13.2" x14ac:dyDescent="0.25">
      <c r="A160" s="45">
        <v>44187</v>
      </c>
      <c r="B160" s="46">
        <v>14681</v>
      </c>
      <c r="E160" s="4">
        <v>1</v>
      </c>
      <c r="F160" s="4">
        <v>14680</v>
      </c>
      <c r="G160" s="46">
        <v>540466</v>
      </c>
      <c r="I160" s="4">
        <v>34408</v>
      </c>
      <c r="K160" s="4">
        <v>506058</v>
      </c>
      <c r="L160" s="46">
        <v>3558</v>
      </c>
      <c r="N160" s="4">
        <v>25</v>
      </c>
      <c r="P160" s="4">
        <v>3533</v>
      </c>
      <c r="Q160" s="46">
        <v>6054</v>
      </c>
      <c r="R160" s="4">
        <v>38</v>
      </c>
      <c r="T160" s="4">
        <v>5332</v>
      </c>
      <c r="U160" s="4">
        <v>684</v>
      </c>
      <c r="V160" s="46">
        <v>319317</v>
      </c>
      <c r="W160" s="4">
        <v>1349</v>
      </c>
      <c r="X160" s="4">
        <v>18663</v>
      </c>
      <c r="Y160" s="4">
        <v>2311</v>
      </c>
      <c r="Z160" s="4">
        <v>296994</v>
      </c>
      <c r="AA160" s="47">
        <v>884076</v>
      </c>
    </row>
    <row r="161" spans="1:27" ht="13.2" x14ac:dyDescent="0.25">
      <c r="A161" s="45">
        <v>44188</v>
      </c>
      <c r="B161" s="46">
        <v>14856</v>
      </c>
      <c r="E161" s="4">
        <v>1</v>
      </c>
      <c r="F161" s="4">
        <v>14855</v>
      </c>
      <c r="G161" s="46">
        <v>542373</v>
      </c>
      <c r="I161" s="4">
        <v>35374</v>
      </c>
      <c r="K161" s="4">
        <v>506999</v>
      </c>
      <c r="L161" s="46">
        <v>3565</v>
      </c>
      <c r="N161" s="4">
        <v>30</v>
      </c>
      <c r="P161" s="4">
        <v>3535</v>
      </c>
      <c r="Q161" s="46">
        <v>6064</v>
      </c>
      <c r="R161" s="4">
        <v>44</v>
      </c>
      <c r="T161" s="4">
        <v>5332</v>
      </c>
      <c r="U161" s="4">
        <v>688</v>
      </c>
      <c r="V161" s="46">
        <v>320898</v>
      </c>
      <c r="W161" s="4">
        <v>1442</v>
      </c>
      <c r="X161" s="4">
        <v>19419</v>
      </c>
      <c r="Y161" s="4">
        <v>2311</v>
      </c>
      <c r="Z161" s="4">
        <v>297726</v>
      </c>
      <c r="AA161" s="47">
        <v>887756</v>
      </c>
    </row>
    <row r="162" spans="1:27" ht="13.2" x14ac:dyDescent="0.25">
      <c r="A162" s="45">
        <v>44189</v>
      </c>
      <c r="B162" s="46">
        <v>14943</v>
      </c>
      <c r="E162" s="4">
        <v>1</v>
      </c>
      <c r="F162" s="4">
        <v>14942</v>
      </c>
      <c r="G162" s="46">
        <v>544030</v>
      </c>
      <c r="I162" s="4">
        <v>32453</v>
      </c>
      <c r="K162" s="4">
        <v>511577</v>
      </c>
      <c r="L162" s="46">
        <v>3566</v>
      </c>
      <c r="N162" s="4">
        <v>30</v>
      </c>
      <c r="P162" s="4">
        <v>3536</v>
      </c>
      <c r="Q162" s="46">
        <v>6077</v>
      </c>
      <c r="R162" s="4">
        <v>38</v>
      </c>
      <c r="T162" s="4">
        <v>5332</v>
      </c>
      <c r="U162" s="4">
        <v>707</v>
      </c>
      <c r="V162" s="46">
        <v>322266</v>
      </c>
      <c r="W162" s="4">
        <v>1324</v>
      </c>
      <c r="X162" s="4">
        <v>18230</v>
      </c>
      <c r="Y162" s="4">
        <v>2311</v>
      </c>
      <c r="Z162" s="4">
        <v>300401</v>
      </c>
      <c r="AA162" s="47">
        <v>890822</v>
      </c>
    </row>
    <row r="163" spans="1:27" ht="13.2" x14ac:dyDescent="0.25">
      <c r="A163" s="45">
        <v>44190</v>
      </c>
      <c r="B163" s="46">
        <v>14946</v>
      </c>
      <c r="E163" s="4">
        <v>1</v>
      </c>
      <c r="F163" s="4">
        <v>14945</v>
      </c>
      <c r="G163" s="46">
        <v>550198</v>
      </c>
      <c r="I163" s="4">
        <v>32693</v>
      </c>
      <c r="K163" s="4">
        <v>517505</v>
      </c>
      <c r="L163" s="46">
        <v>3571</v>
      </c>
      <c r="N163" s="4">
        <v>30</v>
      </c>
      <c r="P163" s="4">
        <v>3541</v>
      </c>
      <c r="Q163" s="46">
        <v>6093</v>
      </c>
      <c r="R163" s="4">
        <v>38</v>
      </c>
      <c r="T163" s="4">
        <v>5333</v>
      </c>
      <c r="U163" s="4">
        <v>722</v>
      </c>
      <c r="V163" s="46">
        <v>325709</v>
      </c>
      <c r="W163" s="4">
        <v>1003</v>
      </c>
      <c r="X163" s="4">
        <v>19001</v>
      </c>
      <c r="Y163" s="4">
        <v>2311</v>
      </c>
      <c r="Z163" s="4">
        <v>303394</v>
      </c>
      <c r="AA163" s="52">
        <f>B163+G163+L163+Q163+V163</f>
        <v>900517</v>
      </c>
    </row>
    <row r="164" spans="1:27" ht="13.2" x14ac:dyDescent="0.25">
      <c r="A164" s="45">
        <v>44191</v>
      </c>
      <c r="B164" s="46">
        <v>15002</v>
      </c>
      <c r="E164" s="4">
        <v>1</v>
      </c>
      <c r="F164" s="4">
        <v>15001</v>
      </c>
      <c r="G164" s="46">
        <v>555803</v>
      </c>
      <c r="I164" s="4">
        <v>34927</v>
      </c>
      <c r="K164" s="4">
        <v>520876</v>
      </c>
      <c r="L164" s="46">
        <v>3574</v>
      </c>
      <c r="N164" s="4">
        <v>33</v>
      </c>
      <c r="P164" s="4">
        <v>3541</v>
      </c>
      <c r="Q164" s="46">
        <v>6104</v>
      </c>
      <c r="R164" s="4">
        <v>39</v>
      </c>
      <c r="T164" s="4">
        <v>5333</v>
      </c>
      <c r="U164" s="4">
        <v>732</v>
      </c>
      <c r="V164" s="46">
        <v>328991</v>
      </c>
      <c r="W164" s="4">
        <v>717</v>
      </c>
      <c r="X164" s="4">
        <v>20999</v>
      </c>
      <c r="Y164" s="4">
        <v>2311</v>
      </c>
      <c r="Z164" s="4">
        <v>304964</v>
      </c>
      <c r="AA164" s="47">
        <v>909474</v>
      </c>
    </row>
    <row r="165" spans="1:27" ht="13.2" x14ac:dyDescent="0.25">
      <c r="A165" s="45">
        <v>44192</v>
      </c>
      <c r="B165" s="46">
        <v>15021</v>
      </c>
      <c r="E165" s="4">
        <v>1</v>
      </c>
      <c r="F165" s="4">
        <v>15020</v>
      </c>
      <c r="G165" s="46">
        <v>559477</v>
      </c>
      <c r="I165" s="4">
        <v>37111</v>
      </c>
      <c r="K165" s="4">
        <v>522366</v>
      </c>
      <c r="L165" s="46">
        <v>3577</v>
      </c>
      <c r="N165" s="4">
        <v>36</v>
      </c>
      <c r="P165" s="4">
        <v>3541</v>
      </c>
      <c r="Q165" s="46">
        <v>6109</v>
      </c>
      <c r="R165" s="4">
        <v>37</v>
      </c>
      <c r="T165" s="4">
        <v>5333</v>
      </c>
      <c r="U165" s="4">
        <v>739</v>
      </c>
      <c r="V165" s="46">
        <v>330758</v>
      </c>
      <c r="W165" s="4">
        <v>635</v>
      </c>
      <c r="X165" s="4">
        <v>20333</v>
      </c>
      <c r="Y165" s="4">
        <v>2311</v>
      </c>
      <c r="Z165" s="4">
        <v>307479</v>
      </c>
      <c r="AA165" s="47">
        <v>914942</v>
      </c>
    </row>
    <row r="166" spans="1:27" ht="13.2" x14ac:dyDescent="0.25">
      <c r="A166" s="45">
        <v>44193</v>
      </c>
      <c r="B166" s="46">
        <v>15186</v>
      </c>
      <c r="E166" s="4">
        <v>1</v>
      </c>
      <c r="F166" s="4">
        <v>15185</v>
      </c>
      <c r="G166" s="46">
        <v>561956</v>
      </c>
      <c r="I166" s="4">
        <v>32883</v>
      </c>
      <c r="K166" s="4">
        <v>529073</v>
      </c>
      <c r="L166" s="46">
        <v>3583</v>
      </c>
      <c r="N166" s="4">
        <v>35</v>
      </c>
      <c r="P166" s="4">
        <v>3548</v>
      </c>
      <c r="Q166" s="46">
        <v>6116</v>
      </c>
      <c r="R166" s="4">
        <v>40</v>
      </c>
      <c r="T166" s="4">
        <v>5333</v>
      </c>
      <c r="U166" s="4">
        <v>743</v>
      </c>
      <c r="V166" s="46">
        <v>332280</v>
      </c>
      <c r="W166" s="4">
        <v>740</v>
      </c>
      <c r="X166" s="4">
        <v>18704</v>
      </c>
      <c r="Y166" s="4">
        <v>2311</v>
      </c>
      <c r="Z166" s="4">
        <v>310525</v>
      </c>
      <c r="AA166" s="47">
        <v>919121</v>
      </c>
    </row>
    <row r="167" spans="1:27" ht="13.2" x14ac:dyDescent="0.25">
      <c r="A167" s="45">
        <v>44194</v>
      </c>
      <c r="B167" s="46">
        <v>15199</v>
      </c>
      <c r="E167" s="4">
        <v>1</v>
      </c>
      <c r="F167" s="4">
        <v>15198</v>
      </c>
      <c r="G167" s="46">
        <v>565132</v>
      </c>
      <c r="I167" s="4">
        <v>31403</v>
      </c>
      <c r="K167" s="4">
        <v>533729</v>
      </c>
      <c r="L167" s="46">
        <v>3583</v>
      </c>
      <c r="N167" s="4">
        <v>34</v>
      </c>
      <c r="P167" s="4">
        <v>3549</v>
      </c>
      <c r="Q167" s="46">
        <v>6122</v>
      </c>
      <c r="R167" s="4">
        <v>36</v>
      </c>
      <c r="T167" s="4">
        <v>5333</v>
      </c>
      <c r="U167" s="4">
        <v>753</v>
      </c>
      <c r="V167" s="46">
        <v>333547</v>
      </c>
      <c r="W167" s="4">
        <v>1040</v>
      </c>
      <c r="X167" s="4">
        <v>16967</v>
      </c>
      <c r="Y167" s="4">
        <v>2311</v>
      </c>
      <c r="Z167" s="4">
        <v>313229</v>
      </c>
      <c r="AA167" s="47">
        <v>923583</v>
      </c>
    </row>
    <row r="168" spans="1:27" ht="13.2" x14ac:dyDescent="0.25">
      <c r="A168" s="45">
        <v>44195</v>
      </c>
      <c r="B168" s="46">
        <v>15286</v>
      </c>
      <c r="E168" s="4">
        <v>1</v>
      </c>
      <c r="F168" s="4">
        <v>15285</v>
      </c>
      <c r="G168" s="46">
        <v>570443</v>
      </c>
      <c r="I168" s="4">
        <v>31810</v>
      </c>
      <c r="K168" s="4">
        <v>538633</v>
      </c>
      <c r="L168" s="46">
        <v>3586</v>
      </c>
      <c r="N168" s="4">
        <v>29</v>
      </c>
      <c r="P168" s="4">
        <v>3557</v>
      </c>
      <c r="Q168" s="46">
        <v>6141</v>
      </c>
      <c r="R168" s="4">
        <v>44</v>
      </c>
      <c r="T168" s="4">
        <v>5333</v>
      </c>
      <c r="U168" s="4">
        <v>764</v>
      </c>
      <c r="V168" s="46">
        <v>336838</v>
      </c>
      <c r="W168" s="4">
        <v>1211</v>
      </c>
      <c r="X168" s="4">
        <v>16595</v>
      </c>
      <c r="Y168" s="4">
        <v>2311</v>
      </c>
      <c r="Z168" s="4">
        <v>316721</v>
      </c>
      <c r="AA168" s="47">
        <v>932294</v>
      </c>
    </row>
    <row r="169" spans="1:27" ht="13.2" x14ac:dyDescent="0.25">
      <c r="A169" s="45">
        <v>44196</v>
      </c>
      <c r="B169" s="46">
        <v>15428</v>
      </c>
      <c r="E169" s="4">
        <v>1</v>
      </c>
      <c r="F169" s="4">
        <v>15427</v>
      </c>
      <c r="G169" s="46">
        <v>572388</v>
      </c>
      <c r="I169" s="4">
        <v>30195</v>
      </c>
      <c r="K169" s="4">
        <v>542193</v>
      </c>
      <c r="L169" s="46">
        <v>3590</v>
      </c>
      <c r="N169" s="4">
        <v>30</v>
      </c>
      <c r="P169" s="4">
        <v>3560</v>
      </c>
      <c r="Q169" s="46">
        <v>6169</v>
      </c>
      <c r="R169" s="4">
        <v>48</v>
      </c>
      <c r="T169" s="4">
        <v>5333</v>
      </c>
      <c r="U169" s="4">
        <v>788</v>
      </c>
      <c r="V169" s="46">
        <v>338740</v>
      </c>
      <c r="W169" s="4">
        <v>1202</v>
      </c>
      <c r="X169" s="4">
        <v>16358</v>
      </c>
      <c r="Y169" s="4">
        <v>2311</v>
      </c>
      <c r="Z169" s="4">
        <v>318869</v>
      </c>
      <c r="AA169" s="47">
        <v>936315</v>
      </c>
    </row>
    <row r="170" spans="1:27" ht="13.2" x14ac:dyDescent="0.25">
      <c r="A170" s="45">
        <v>44197</v>
      </c>
      <c r="B170" s="46">
        <v>15498</v>
      </c>
      <c r="E170" s="4">
        <v>1</v>
      </c>
      <c r="F170" s="4">
        <v>15497</v>
      </c>
      <c r="G170" s="46">
        <v>578649</v>
      </c>
      <c r="I170" s="4">
        <v>32408</v>
      </c>
      <c r="K170" s="4">
        <v>546241</v>
      </c>
      <c r="L170" s="46">
        <v>3598</v>
      </c>
      <c r="N170" s="4">
        <v>31</v>
      </c>
      <c r="P170" s="4">
        <v>3567</v>
      </c>
      <c r="Q170" s="46">
        <v>6185</v>
      </c>
      <c r="R170" s="4">
        <v>48</v>
      </c>
      <c r="T170" s="4">
        <v>5333</v>
      </c>
      <c r="U170" s="4">
        <v>804</v>
      </c>
      <c r="V170" s="46">
        <v>342460</v>
      </c>
      <c r="W170" s="4">
        <v>1220</v>
      </c>
      <c r="X170" s="4">
        <v>17844</v>
      </c>
      <c r="Y170" s="4">
        <v>2311</v>
      </c>
      <c r="Z170" s="4">
        <v>321085</v>
      </c>
      <c r="AA170" s="47">
        <v>946390</v>
      </c>
    </row>
    <row r="171" spans="1:27" ht="13.2" x14ac:dyDescent="0.25">
      <c r="A171" s="45">
        <v>44198</v>
      </c>
      <c r="B171" s="46">
        <v>15526</v>
      </c>
      <c r="E171" s="4">
        <v>1</v>
      </c>
      <c r="F171" s="4">
        <v>15525</v>
      </c>
      <c r="G171" s="46">
        <v>582349</v>
      </c>
      <c r="I171" s="4">
        <v>33931</v>
      </c>
      <c r="K171" s="4">
        <v>548418</v>
      </c>
      <c r="L171" s="46">
        <v>3600</v>
      </c>
      <c r="N171" s="4">
        <v>32</v>
      </c>
      <c r="P171" s="4">
        <v>3568</v>
      </c>
      <c r="Q171" s="46">
        <v>6194</v>
      </c>
      <c r="R171" s="4">
        <v>51</v>
      </c>
      <c r="T171" s="4">
        <v>5333</v>
      </c>
      <c r="U171" s="4">
        <v>810</v>
      </c>
      <c r="V171" s="46">
        <v>345087</v>
      </c>
      <c r="W171" s="4">
        <v>1267</v>
      </c>
      <c r="X171" s="4">
        <v>19535</v>
      </c>
      <c r="Y171" s="4">
        <v>2311</v>
      </c>
      <c r="Z171" s="4">
        <v>321974</v>
      </c>
      <c r="AA171" s="47">
        <v>952756</v>
      </c>
    </row>
    <row r="172" spans="1:27" ht="13.2" x14ac:dyDescent="0.25">
      <c r="A172" s="45">
        <v>44199</v>
      </c>
      <c r="B172" s="46">
        <v>15580</v>
      </c>
      <c r="E172" s="4">
        <v>1</v>
      </c>
      <c r="F172" s="4">
        <v>15579</v>
      </c>
      <c r="G172" s="46">
        <v>584419</v>
      </c>
      <c r="I172" s="4">
        <v>35270</v>
      </c>
      <c r="K172" s="4">
        <v>549149</v>
      </c>
      <c r="L172" s="46">
        <v>3604</v>
      </c>
      <c r="N172" s="4">
        <v>32</v>
      </c>
      <c r="P172" s="4">
        <v>3572</v>
      </c>
      <c r="Q172" s="46">
        <v>6210</v>
      </c>
      <c r="R172" s="4">
        <v>55</v>
      </c>
      <c r="T172" s="4">
        <v>5333</v>
      </c>
      <c r="U172" s="4">
        <v>823</v>
      </c>
      <c r="V172" s="46">
        <v>346196</v>
      </c>
      <c r="W172" s="4">
        <v>1224</v>
      </c>
      <c r="X172" s="4">
        <v>20153</v>
      </c>
      <c r="Y172" s="4">
        <v>2311</v>
      </c>
      <c r="Z172" s="4">
        <v>322508</v>
      </c>
      <c r="AA172" s="47">
        <v>956009</v>
      </c>
    </row>
    <row r="173" spans="1:27" ht="13.2" x14ac:dyDescent="0.25">
      <c r="A173" s="45">
        <v>44200</v>
      </c>
      <c r="B173" s="46">
        <v>15651</v>
      </c>
      <c r="E173" s="4">
        <v>1</v>
      </c>
      <c r="F173" s="4">
        <v>15650</v>
      </c>
      <c r="G173" s="46">
        <v>585444</v>
      </c>
      <c r="I173" s="4">
        <v>32375</v>
      </c>
      <c r="K173" s="4">
        <v>553069</v>
      </c>
      <c r="L173" s="46">
        <v>3607</v>
      </c>
      <c r="N173" s="4">
        <v>28</v>
      </c>
      <c r="P173" s="4">
        <v>3579</v>
      </c>
      <c r="Q173" s="46">
        <v>6214</v>
      </c>
      <c r="R173" s="4">
        <v>53</v>
      </c>
      <c r="T173" s="4">
        <v>5333</v>
      </c>
      <c r="U173" s="4">
        <v>828</v>
      </c>
      <c r="V173" s="46">
        <v>346679</v>
      </c>
      <c r="W173" s="4">
        <v>1176</v>
      </c>
      <c r="X173" s="4">
        <v>18054</v>
      </c>
      <c r="Y173" s="4">
        <v>2311</v>
      </c>
      <c r="Z173" s="4">
        <v>325138</v>
      </c>
      <c r="AA173" s="47">
        <v>957595</v>
      </c>
    </row>
    <row r="174" spans="1:27" ht="13.2" x14ac:dyDescent="0.25">
      <c r="A174" s="45">
        <v>44201</v>
      </c>
      <c r="B174" s="46">
        <v>15651</v>
      </c>
      <c r="E174" s="4">
        <v>1</v>
      </c>
      <c r="F174" s="4">
        <v>15650</v>
      </c>
      <c r="G174" s="46">
        <v>588626</v>
      </c>
      <c r="I174" s="4">
        <v>30688</v>
      </c>
      <c r="K174" s="4">
        <v>557938</v>
      </c>
      <c r="L174" s="46">
        <v>3608</v>
      </c>
      <c r="N174" s="4">
        <v>24</v>
      </c>
      <c r="P174" s="4">
        <v>3584</v>
      </c>
      <c r="Q174" s="46">
        <v>6214</v>
      </c>
      <c r="R174" s="4">
        <v>51</v>
      </c>
      <c r="T174" s="4">
        <v>5333</v>
      </c>
      <c r="U174" s="4">
        <v>830</v>
      </c>
      <c r="V174" s="46">
        <v>348165</v>
      </c>
      <c r="W174" s="4">
        <v>1082</v>
      </c>
      <c r="X174" s="4">
        <v>16966</v>
      </c>
      <c r="Y174" s="4">
        <v>2311</v>
      </c>
      <c r="Z174" s="4">
        <v>327806</v>
      </c>
      <c r="AA174" s="47">
        <v>962264</v>
      </c>
    </row>
    <row r="175" spans="1:27" ht="13.2" x14ac:dyDescent="0.25">
      <c r="A175" s="45">
        <v>44202</v>
      </c>
      <c r="B175" s="46">
        <v>15704</v>
      </c>
      <c r="E175" s="4">
        <v>1</v>
      </c>
      <c r="F175" s="4">
        <v>15703</v>
      </c>
      <c r="G175" s="46">
        <v>591171</v>
      </c>
      <c r="I175" s="4">
        <v>28155</v>
      </c>
      <c r="K175" s="4">
        <v>563016</v>
      </c>
      <c r="L175" s="46">
        <v>3619</v>
      </c>
      <c r="N175" s="4">
        <v>25</v>
      </c>
      <c r="P175" s="4">
        <v>3594</v>
      </c>
      <c r="Q175" s="46">
        <v>6229</v>
      </c>
      <c r="R175" s="4">
        <v>53</v>
      </c>
      <c r="T175" s="4">
        <v>5333</v>
      </c>
      <c r="U175" s="4">
        <v>843</v>
      </c>
      <c r="V175" s="46">
        <v>349743</v>
      </c>
      <c r="W175" s="4">
        <v>899</v>
      </c>
      <c r="X175" s="4">
        <v>16233</v>
      </c>
      <c r="Y175" s="4">
        <v>2311</v>
      </c>
      <c r="Z175" s="4">
        <v>330300</v>
      </c>
      <c r="AA175" s="47">
        <v>966466</v>
      </c>
    </row>
    <row r="176" spans="1:27" ht="13.2" x14ac:dyDescent="0.25">
      <c r="A176" s="45">
        <v>44203</v>
      </c>
      <c r="B176" s="46">
        <v>15706</v>
      </c>
      <c r="E176" s="4">
        <v>1</v>
      </c>
      <c r="F176" s="4">
        <v>15705</v>
      </c>
      <c r="G176" s="46">
        <v>593604</v>
      </c>
      <c r="I176" s="4">
        <v>27635</v>
      </c>
      <c r="K176" s="4">
        <v>565969</v>
      </c>
      <c r="L176" s="46">
        <v>3633</v>
      </c>
      <c r="N176" s="4">
        <v>30</v>
      </c>
      <c r="P176" s="4">
        <v>3603</v>
      </c>
      <c r="Q176" s="46">
        <v>6252</v>
      </c>
      <c r="R176" s="4">
        <v>56</v>
      </c>
      <c r="T176" s="4">
        <v>5333</v>
      </c>
      <c r="U176" s="4">
        <v>863</v>
      </c>
      <c r="V176" s="46">
        <v>351166</v>
      </c>
      <c r="W176" s="4">
        <v>758</v>
      </c>
      <c r="X176" s="4">
        <v>16009</v>
      </c>
      <c r="Y176" s="4">
        <v>2311</v>
      </c>
      <c r="Z176" s="4">
        <v>332088</v>
      </c>
      <c r="AA176" s="52">
        <f>V176+Q176+L176+G176+B176</f>
        <v>970361</v>
      </c>
    </row>
    <row r="177" spans="1:27" ht="13.2" x14ac:dyDescent="0.25">
      <c r="A177" s="45">
        <v>44204</v>
      </c>
      <c r="B177" s="46">
        <v>15722</v>
      </c>
      <c r="E177" s="4">
        <v>1</v>
      </c>
      <c r="F177" s="4">
        <v>15721</v>
      </c>
      <c r="G177" s="46">
        <v>595805</v>
      </c>
      <c r="I177" s="4">
        <v>28557</v>
      </c>
      <c r="K177" s="4">
        <v>567248</v>
      </c>
      <c r="L177" s="46">
        <v>3651</v>
      </c>
      <c r="N177" s="4">
        <v>35</v>
      </c>
      <c r="P177" s="4">
        <v>3616</v>
      </c>
      <c r="Q177" s="46">
        <v>6318</v>
      </c>
      <c r="R177" s="4">
        <v>69</v>
      </c>
      <c r="T177" s="4">
        <v>5333</v>
      </c>
      <c r="U177" s="4">
        <v>916</v>
      </c>
      <c r="V177" s="46">
        <v>352651</v>
      </c>
      <c r="W177" s="4">
        <v>688</v>
      </c>
      <c r="X177" s="4">
        <v>16727</v>
      </c>
      <c r="Y177" s="4">
        <v>2311</v>
      </c>
      <c r="Z177" s="4">
        <v>332925</v>
      </c>
      <c r="AA177" s="47">
        <v>974147</v>
      </c>
    </row>
    <row r="178" spans="1:27" ht="13.2" x14ac:dyDescent="0.25">
      <c r="A178" s="45">
        <v>44205</v>
      </c>
      <c r="B178" s="46">
        <v>15741</v>
      </c>
      <c r="E178" s="4">
        <v>1</v>
      </c>
      <c r="F178" s="4">
        <v>15740</v>
      </c>
      <c r="G178" s="46">
        <v>597337</v>
      </c>
      <c r="I178" s="4">
        <v>27496</v>
      </c>
      <c r="K178" s="4">
        <v>569841</v>
      </c>
      <c r="L178" s="46">
        <v>3663</v>
      </c>
      <c r="N178" s="4">
        <v>38</v>
      </c>
      <c r="P178" s="4">
        <v>3625</v>
      </c>
      <c r="Q178" s="46">
        <v>6354</v>
      </c>
      <c r="R178" s="4">
        <v>101</v>
      </c>
      <c r="T178" s="4">
        <v>5333</v>
      </c>
      <c r="U178" s="4">
        <v>920</v>
      </c>
      <c r="V178" s="46">
        <v>353971</v>
      </c>
      <c r="W178" s="4">
        <v>1749</v>
      </c>
      <c r="X178" s="4">
        <v>15688</v>
      </c>
      <c r="Y178" s="4">
        <v>2311</v>
      </c>
      <c r="Z178" s="4">
        <v>334223</v>
      </c>
      <c r="AA178" s="47">
        <v>977066</v>
      </c>
    </row>
    <row r="179" spans="1:27" ht="13.2" x14ac:dyDescent="0.25">
      <c r="A179" s="45">
        <v>44206</v>
      </c>
      <c r="B179" s="46">
        <v>15750</v>
      </c>
      <c r="E179" s="4">
        <v>1</v>
      </c>
      <c r="F179" s="4">
        <v>15749</v>
      </c>
      <c r="G179" s="46">
        <v>599404</v>
      </c>
      <c r="I179" s="4">
        <v>28027</v>
      </c>
      <c r="K179" s="4">
        <v>571377</v>
      </c>
      <c r="L179" s="46">
        <v>3676</v>
      </c>
      <c r="N179" s="4">
        <v>42</v>
      </c>
      <c r="P179" s="4">
        <v>3634</v>
      </c>
      <c r="Q179" s="46">
        <v>6362</v>
      </c>
      <c r="R179" s="4">
        <v>63</v>
      </c>
      <c r="T179" s="4">
        <v>5333</v>
      </c>
      <c r="U179" s="4">
        <v>966</v>
      </c>
      <c r="V179" s="46">
        <v>355197</v>
      </c>
      <c r="W179" s="4">
        <v>1696</v>
      </c>
      <c r="X179" s="4">
        <v>14293</v>
      </c>
      <c r="Y179" s="4">
        <v>2311</v>
      </c>
      <c r="Z179" s="4">
        <v>336897</v>
      </c>
      <c r="AA179" s="47">
        <v>980389</v>
      </c>
    </row>
    <row r="180" spans="1:27" ht="13.2" x14ac:dyDescent="0.25">
      <c r="A180" s="45">
        <v>44207</v>
      </c>
      <c r="B180" s="46">
        <v>15840</v>
      </c>
      <c r="E180" s="4">
        <v>1</v>
      </c>
      <c r="F180" s="4">
        <v>15839</v>
      </c>
      <c r="G180" s="46">
        <v>602881</v>
      </c>
      <c r="I180" s="4">
        <v>3477</v>
      </c>
      <c r="K180" s="4">
        <v>599404</v>
      </c>
      <c r="L180" s="46">
        <v>3688</v>
      </c>
      <c r="N180" s="4">
        <v>12</v>
      </c>
      <c r="P180" s="4">
        <v>3676</v>
      </c>
      <c r="Q180" s="46">
        <v>6368</v>
      </c>
      <c r="R180" s="4">
        <v>6</v>
      </c>
      <c r="T180" s="4">
        <v>5333</v>
      </c>
      <c r="U180" s="4">
        <v>1029</v>
      </c>
      <c r="V180" s="46">
        <v>357486</v>
      </c>
      <c r="W180" s="4">
        <v>37</v>
      </c>
      <c r="X180" s="4">
        <v>2252</v>
      </c>
      <c r="Y180" s="4">
        <v>2311</v>
      </c>
      <c r="Z180" s="4">
        <v>352886</v>
      </c>
      <c r="AA180" s="47">
        <v>986263</v>
      </c>
    </row>
    <row r="181" spans="1:27" ht="13.2" x14ac:dyDescent="0.25">
      <c r="A181" s="45">
        <v>44208</v>
      </c>
      <c r="B181" s="46">
        <v>15489</v>
      </c>
      <c r="E181" s="4">
        <v>1</v>
      </c>
      <c r="F181" s="4">
        <v>15488</v>
      </c>
      <c r="G181" s="46">
        <v>603216</v>
      </c>
      <c r="I181" s="4">
        <v>3037</v>
      </c>
      <c r="K181" s="4">
        <v>600179</v>
      </c>
      <c r="L181" s="46">
        <v>3691</v>
      </c>
      <c r="N181" s="4">
        <v>6</v>
      </c>
      <c r="P181" s="4">
        <v>3685</v>
      </c>
      <c r="Q181" s="46">
        <v>6395</v>
      </c>
      <c r="R181" s="4">
        <v>5</v>
      </c>
      <c r="T181" s="4">
        <v>5333</v>
      </c>
      <c r="U181" s="4">
        <v>1057</v>
      </c>
      <c r="V181" s="46">
        <v>519522</v>
      </c>
      <c r="W181" s="4">
        <v>33</v>
      </c>
      <c r="X181" s="4">
        <v>5665</v>
      </c>
      <c r="Y181" s="4">
        <v>2311</v>
      </c>
      <c r="Z181" s="4">
        <v>511513</v>
      </c>
      <c r="AA181" s="52">
        <f>SUM(V181,Q181,L181,G181,B181)</f>
        <v>1148313</v>
      </c>
    </row>
    <row r="182" spans="1:27" ht="13.2" x14ac:dyDescent="0.25">
      <c r="A182" s="45">
        <v>44209</v>
      </c>
      <c r="B182" s="46">
        <v>15929</v>
      </c>
      <c r="E182" s="4">
        <v>1</v>
      </c>
      <c r="F182" s="4">
        <v>15928</v>
      </c>
      <c r="G182" s="46">
        <v>611485</v>
      </c>
      <c r="I182" s="4">
        <v>9742</v>
      </c>
      <c r="K182" s="4">
        <v>601743</v>
      </c>
      <c r="L182" s="46">
        <v>3705</v>
      </c>
      <c r="N182" s="4">
        <v>8</v>
      </c>
      <c r="P182" s="4">
        <v>3697</v>
      </c>
      <c r="Q182" s="46">
        <v>6408</v>
      </c>
      <c r="R182" s="4">
        <v>8</v>
      </c>
      <c r="T182" s="4">
        <v>5333</v>
      </c>
      <c r="U182" s="4">
        <v>1067</v>
      </c>
      <c r="V182" s="46">
        <v>525155</v>
      </c>
      <c r="W182" s="4">
        <v>61</v>
      </c>
      <c r="X182" s="4">
        <v>10262</v>
      </c>
      <c r="Y182" s="4">
        <v>2311</v>
      </c>
      <c r="Z182" s="4">
        <v>512521</v>
      </c>
      <c r="AA182" s="47">
        <v>1162682</v>
      </c>
    </row>
    <row r="183" spans="1:27" ht="13.2" x14ac:dyDescent="0.25">
      <c r="A183" s="45">
        <v>44210</v>
      </c>
      <c r="B183" s="46">
        <v>16038</v>
      </c>
      <c r="E183" s="4">
        <v>1</v>
      </c>
      <c r="F183" s="4">
        <v>16037</v>
      </c>
      <c r="G183" s="46">
        <v>613834</v>
      </c>
      <c r="I183" s="4">
        <v>11957</v>
      </c>
      <c r="K183" s="4">
        <v>601877</v>
      </c>
      <c r="L183" s="46">
        <v>3719</v>
      </c>
      <c r="N183" s="4">
        <v>20</v>
      </c>
      <c r="P183" s="4">
        <v>3699</v>
      </c>
      <c r="Q183" s="46">
        <v>6439</v>
      </c>
      <c r="R183" s="4">
        <v>10</v>
      </c>
      <c r="T183" s="4">
        <v>5333</v>
      </c>
      <c r="U183" s="4">
        <v>1096</v>
      </c>
      <c r="V183" s="46">
        <v>527982</v>
      </c>
      <c r="W183" s="4">
        <v>139</v>
      </c>
      <c r="X183" s="4">
        <v>11849</v>
      </c>
      <c r="Y183" s="4">
        <v>2311</v>
      </c>
      <c r="Z183" s="4">
        <v>513683</v>
      </c>
      <c r="AA183" s="52">
        <f>B183+G183+L183+Q183+V183</f>
        <v>1168012</v>
      </c>
    </row>
    <row r="184" spans="1:27" ht="13.2" x14ac:dyDescent="0.25">
      <c r="A184" s="45">
        <v>44211</v>
      </c>
      <c r="B184" s="46">
        <v>16069</v>
      </c>
      <c r="E184" s="4">
        <v>1</v>
      </c>
      <c r="F184" s="4">
        <v>16068</v>
      </c>
      <c r="G184" s="46">
        <v>615648</v>
      </c>
      <c r="I184" s="4">
        <v>13521</v>
      </c>
      <c r="K184" s="4">
        <v>602127</v>
      </c>
      <c r="L184" s="46">
        <v>3737</v>
      </c>
      <c r="N184" s="4">
        <v>37</v>
      </c>
      <c r="P184" s="4">
        <v>3700</v>
      </c>
      <c r="Q184" s="46">
        <v>6499</v>
      </c>
      <c r="R184" s="4">
        <v>12</v>
      </c>
      <c r="T184" s="4">
        <v>5333</v>
      </c>
      <c r="U184" s="4">
        <v>1108</v>
      </c>
      <c r="V184" s="46">
        <v>530417</v>
      </c>
      <c r="W184" s="4">
        <v>177</v>
      </c>
      <c r="X184" s="4">
        <v>13638</v>
      </c>
      <c r="Y184" s="4">
        <v>2311</v>
      </c>
      <c r="Z184" s="4">
        <v>514291</v>
      </c>
      <c r="AA184" s="52"/>
    </row>
    <row r="185" spans="1:27" ht="13.2" x14ac:dyDescent="0.25">
      <c r="A185" s="45">
        <v>44212</v>
      </c>
      <c r="B185" s="46">
        <v>16153</v>
      </c>
      <c r="E185" s="4">
        <v>1</v>
      </c>
      <c r="F185" s="4">
        <v>16152</v>
      </c>
      <c r="G185" s="46">
        <v>622851</v>
      </c>
      <c r="I185" s="4">
        <v>18735</v>
      </c>
      <c r="K185" s="4">
        <v>604116</v>
      </c>
      <c r="L185" s="46">
        <v>3758</v>
      </c>
      <c r="N185" s="4">
        <v>18</v>
      </c>
      <c r="P185" s="4">
        <v>3740</v>
      </c>
      <c r="Q185" s="46">
        <v>6521</v>
      </c>
      <c r="R185" s="4">
        <v>13</v>
      </c>
      <c r="T185" s="4">
        <v>5333</v>
      </c>
      <c r="U185" s="4">
        <v>1175</v>
      </c>
      <c r="V185" s="46">
        <v>536128</v>
      </c>
      <c r="W185" s="4">
        <v>194</v>
      </c>
      <c r="X185" s="4">
        <v>17108</v>
      </c>
      <c r="Y185" s="4">
        <v>2311</v>
      </c>
      <c r="Z185" s="4">
        <v>516515</v>
      </c>
      <c r="AA185" s="53">
        <v>1185411</v>
      </c>
    </row>
    <row r="186" spans="1:27" ht="13.2" x14ac:dyDescent="0.25">
      <c r="A186" s="45">
        <v>44213</v>
      </c>
      <c r="B186" s="46">
        <v>16208</v>
      </c>
      <c r="E186" s="4">
        <v>1</v>
      </c>
      <c r="F186" s="4">
        <v>16207</v>
      </c>
      <c r="G186" s="46">
        <v>630849</v>
      </c>
      <c r="I186" s="4">
        <v>25283</v>
      </c>
      <c r="K186" s="4">
        <v>605566</v>
      </c>
      <c r="L186" s="46">
        <v>3776</v>
      </c>
      <c r="N186" s="4">
        <v>23</v>
      </c>
      <c r="P186" s="4">
        <v>3753</v>
      </c>
      <c r="Q186" s="46">
        <v>6548</v>
      </c>
      <c r="R186" s="4">
        <v>15</v>
      </c>
      <c r="T186" s="4">
        <v>5333</v>
      </c>
      <c r="U186" s="4">
        <v>1200</v>
      </c>
      <c r="V186" s="46">
        <v>541875</v>
      </c>
      <c r="W186" s="4">
        <v>238</v>
      </c>
      <c r="X186" s="4">
        <v>21802</v>
      </c>
      <c r="Y186" s="4">
        <v>2311</v>
      </c>
      <c r="Z186" s="4">
        <v>517524</v>
      </c>
      <c r="AA186" s="47">
        <v>1199256</v>
      </c>
    </row>
    <row r="187" spans="1:27" ht="13.2" x14ac:dyDescent="0.25">
      <c r="A187" s="54">
        <v>44214</v>
      </c>
      <c r="B187" s="46">
        <v>16258</v>
      </c>
      <c r="E187" s="4">
        <v>1</v>
      </c>
      <c r="F187" s="4">
        <v>16257</v>
      </c>
      <c r="G187" s="46">
        <v>631104</v>
      </c>
      <c r="I187" s="4">
        <v>24788</v>
      </c>
      <c r="K187" s="4">
        <v>606316</v>
      </c>
      <c r="L187" s="46">
        <v>3792</v>
      </c>
      <c r="N187" s="4">
        <v>23</v>
      </c>
      <c r="P187" s="4">
        <v>3769</v>
      </c>
      <c r="Q187" s="46">
        <v>6554</v>
      </c>
      <c r="R187" s="4">
        <v>16</v>
      </c>
      <c r="T187" s="4">
        <v>5333</v>
      </c>
      <c r="U187" s="4">
        <v>1205</v>
      </c>
      <c r="V187" s="46">
        <v>542724</v>
      </c>
      <c r="W187" s="4">
        <v>262</v>
      </c>
      <c r="X187" s="4">
        <v>21411</v>
      </c>
      <c r="Y187" s="4">
        <v>2311</v>
      </c>
      <c r="Z187" s="4">
        <v>518740</v>
      </c>
      <c r="AA187" s="47">
        <v>1200432</v>
      </c>
    </row>
    <row r="188" spans="1:27" ht="13.2" x14ac:dyDescent="0.25">
      <c r="A188" s="45">
        <v>44215</v>
      </c>
      <c r="B188" s="46">
        <v>16313</v>
      </c>
      <c r="D188" s="4">
        <v>2</v>
      </c>
      <c r="E188" s="4">
        <v>1</v>
      </c>
      <c r="F188" s="4">
        <v>16310</v>
      </c>
      <c r="G188" s="46">
        <v>634594</v>
      </c>
      <c r="H188" s="4">
        <v>1</v>
      </c>
      <c r="I188" s="4">
        <v>27277</v>
      </c>
      <c r="K188" s="4">
        <v>607316</v>
      </c>
      <c r="L188" s="46">
        <v>3792</v>
      </c>
      <c r="N188" s="4">
        <v>21</v>
      </c>
      <c r="P188" s="4">
        <v>3771</v>
      </c>
      <c r="Q188" s="46">
        <v>6566</v>
      </c>
      <c r="R188" s="4">
        <v>16</v>
      </c>
      <c r="S188" s="4">
        <v>11</v>
      </c>
      <c r="T188" s="4">
        <v>5333</v>
      </c>
      <c r="U188" s="4">
        <v>1206</v>
      </c>
      <c r="V188" s="46">
        <v>545376</v>
      </c>
      <c r="W188" s="4">
        <v>252</v>
      </c>
      <c r="X188" s="4">
        <v>22828</v>
      </c>
      <c r="Y188" s="4">
        <v>2311</v>
      </c>
      <c r="Z188" s="4">
        <v>519985</v>
      </c>
      <c r="AA188" s="47">
        <v>1206641</v>
      </c>
    </row>
    <row r="189" spans="1:27" ht="13.2" x14ac:dyDescent="0.25">
      <c r="A189" s="45">
        <v>44216</v>
      </c>
      <c r="B189" s="46">
        <v>16316</v>
      </c>
      <c r="D189" s="4">
        <v>4</v>
      </c>
      <c r="E189" s="4">
        <v>1</v>
      </c>
      <c r="F189" s="4">
        <v>16311</v>
      </c>
      <c r="G189" s="46">
        <v>636432</v>
      </c>
      <c r="H189" s="4">
        <v>2</v>
      </c>
      <c r="I189" s="4">
        <v>27454</v>
      </c>
      <c r="K189" s="4">
        <v>608976</v>
      </c>
      <c r="L189" s="46">
        <v>3801</v>
      </c>
      <c r="M189" s="4">
        <v>1</v>
      </c>
      <c r="N189" s="4">
        <v>24</v>
      </c>
      <c r="P189" s="4">
        <v>3776</v>
      </c>
      <c r="Q189" s="46">
        <v>6578</v>
      </c>
      <c r="R189" s="4">
        <v>20</v>
      </c>
      <c r="S189" s="4">
        <v>15</v>
      </c>
      <c r="T189" s="4">
        <v>5333</v>
      </c>
      <c r="U189" s="4">
        <v>1210</v>
      </c>
      <c r="V189" s="46">
        <v>547648</v>
      </c>
      <c r="W189" s="4">
        <v>317</v>
      </c>
      <c r="X189" s="4">
        <v>23256</v>
      </c>
      <c r="Y189" s="4">
        <v>2311</v>
      </c>
      <c r="Z189" s="4">
        <v>521764</v>
      </c>
      <c r="AA189" s="47">
        <v>1210775</v>
      </c>
    </row>
    <row r="190" spans="1:27" ht="13.2" x14ac:dyDescent="0.25">
      <c r="A190" s="45">
        <v>44217</v>
      </c>
      <c r="B190" s="46">
        <v>16404</v>
      </c>
      <c r="E190" s="4">
        <v>1</v>
      </c>
      <c r="F190" s="4">
        <v>16403</v>
      </c>
      <c r="G190" s="46">
        <v>638439</v>
      </c>
      <c r="I190" s="4">
        <v>27455</v>
      </c>
      <c r="K190" s="4">
        <v>610984</v>
      </c>
      <c r="L190" s="46">
        <v>3827</v>
      </c>
      <c r="N190" s="4">
        <v>25</v>
      </c>
      <c r="P190" s="4">
        <v>3802</v>
      </c>
      <c r="Q190" s="46">
        <v>6599</v>
      </c>
      <c r="R190" s="4">
        <v>23</v>
      </c>
      <c r="T190" s="4">
        <v>5333</v>
      </c>
      <c r="U190" s="4">
        <v>1243</v>
      </c>
      <c r="V190" s="46">
        <v>550483</v>
      </c>
      <c r="W190" s="4">
        <v>379</v>
      </c>
      <c r="X190" s="4">
        <v>23475</v>
      </c>
      <c r="Y190" s="4">
        <v>2311</v>
      </c>
      <c r="Z190" s="4">
        <v>524318</v>
      </c>
      <c r="AA190" s="47">
        <v>1215752</v>
      </c>
    </row>
    <row r="191" spans="1:27" ht="13.2" x14ac:dyDescent="0.25">
      <c r="A191" s="45">
        <v>44218</v>
      </c>
      <c r="B191" s="46">
        <v>16479</v>
      </c>
      <c r="E191" s="4">
        <v>1</v>
      </c>
      <c r="F191" s="4">
        <v>16478</v>
      </c>
      <c r="G191" s="46">
        <v>640185</v>
      </c>
      <c r="I191" s="4">
        <v>28967</v>
      </c>
      <c r="K191" s="4">
        <v>611218</v>
      </c>
      <c r="L191" s="46">
        <v>3836</v>
      </c>
      <c r="N191" s="4">
        <v>27</v>
      </c>
      <c r="P191" s="4">
        <v>3809</v>
      </c>
      <c r="Q191" s="46">
        <v>6627</v>
      </c>
      <c r="R191" s="4">
        <v>70</v>
      </c>
      <c r="T191" s="4">
        <v>5333</v>
      </c>
      <c r="U191" s="4">
        <v>1224</v>
      </c>
      <c r="V191" s="46">
        <v>553545</v>
      </c>
      <c r="W191" s="4">
        <v>450</v>
      </c>
      <c r="X191" s="4">
        <v>25987</v>
      </c>
      <c r="Y191" s="4">
        <v>2311</v>
      </c>
      <c r="Z191" s="4">
        <v>524797</v>
      </c>
      <c r="AA191" s="47">
        <v>1220672</v>
      </c>
    </row>
    <row r="192" spans="1:27" ht="13.2" x14ac:dyDescent="0.25">
      <c r="A192" s="45">
        <v>44219</v>
      </c>
      <c r="B192" s="46">
        <v>16498</v>
      </c>
      <c r="E192" s="4">
        <v>1</v>
      </c>
      <c r="F192" s="4">
        <v>16497</v>
      </c>
      <c r="G192" s="46">
        <v>641595</v>
      </c>
      <c r="I192" s="4">
        <v>25808</v>
      </c>
      <c r="K192" s="4">
        <v>615787</v>
      </c>
      <c r="L192" s="46">
        <v>3845</v>
      </c>
      <c r="N192" s="4">
        <v>27</v>
      </c>
      <c r="P192" s="4">
        <v>3818</v>
      </c>
      <c r="Q192" s="46">
        <v>6645</v>
      </c>
      <c r="R192" s="4">
        <v>80</v>
      </c>
      <c r="T192" s="4">
        <v>5333</v>
      </c>
      <c r="U192" s="4">
        <v>1232</v>
      </c>
      <c r="V192" s="46">
        <v>555467</v>
      </c>
      <c r="W192" s="4">
        <v>412</v>
      </c>
      <c r="X192" s="4">
        <v>23154</v>
      </c>
      <c r="Y192" s="4">
        <v>2311</v>
      </c>
      <c r="Z192" s="4">
        <v>529590</v>
      </c>
      <c r="AA192" s="47">
        <v>1224050</v>
      </c>
    </row>
    <row r="193" spans="1:27" ht="13.2" x14ac:dyDescent="0.25">
      <c r="A193" s="45">
        <v>44220</v>
      </c>
      <c r="B193" s="46">
        <v>16588</v>
      </c>
      <c r="E193" s="4">
        <v>1</v>
      </c>
      <c r="F193" s="4">
        <v>16587</v>
      </c>
      <c r="G193" s="46">
        <v>646819</v>
      </c>
      <c r="I193" s="4">
        <v>29521</v>
      </c>
      <c r="K193" s="4">
        <v>617298</v>
      </c>
      <c r="L193" s="46">
        <v>3869</v>
      </c>
      <c r="N193" s="4">
        <v>40</v>
      </c>
      <c r="P193" s="4">
        <v>3829</v>
      </c>
      <c r="Q193" s="46">
        <v>6673</v>
      </c>
      <c r="R193" s="4">
        <v>99</v>
      </c>
      <c r="T193" s="4">
        <v>5333</v>
      </c>
      <c r="U193" s="4">
        <v>1241</v>
      </c>
      <c r="V193" s="46">
        <v>564496</v>
      </c>
      <c r="W193" s="4">
        <v>453</v>
      </c>
      <c r="X193" s="4">
        <v>28632</v>
      </c>
      <c r="Y193" s="4">
        <v>2311</v>
      </c>
      <c r="Z193" s="4">
        <v>533100</v>
      </c>
      <c r="AA193" s="47">
        <v>1238445</v>
      </c>
    </row>
    <row r="194" spans="1:27" ht="13.2" x14ac:dyDescent="0.25">
      <c r="A194" s="45">
        <v>44221</v>
      </c>
      <c r="B194" s="46">
        <v>16588</v>
      </c>
      <c r="E194" s="4">
        <v>1</v>
      </c>
      <c r="F194" s="4">
        <v>16587</v>
      </c>
      <c r="G194" s="46">
        <v>647125</v>
      </c>
      <c r="I194" s="4">
        <v>25693</v>
      </c>
      <c r="K194" s="4">
        <v>621432</v>
      </c>
      <c r="L194" s="46">
        <v>3869</v>
      </c>
      <c r="N194" s="4">
        <v>38</v>
      </c>
      <c r="P194" s="4">
        <v>3831</v>
      </c>
      <c r="Q194" s="46">
        <v>6677</v>
      </c>
      <c r="R194" s="4">
        <v>102</v>
      </c>
      <c r="T194" s="4">
        <v>5333</v>
      </c>
      <c r="U194" s="4">
        <v>1242</v>
      </c>
      <c r="V194" s="46">
        <v>564855</v>
      </c>
      <c r="W194" s="4">
        <v>418</v>
      </c>
      <c r="X194" s="4">
        <v>25727</v>
      </c>
      <c r="Y194" s="4">
        <v>2311</v>
      </c>
      <c r="Z194" s="4">
        <v>536399</v>
      </c>
      <c r="AA194" s="47">
        <v>1239114</v>
      </c>
    </row>
    <row r="195" spans="1:27" ht="13.2" x14ac:dyDescent="0.25">
      <c r="A195" s="45">
        <v>44222</v>
      </c>
      <c r="B195" s="46">
        <v>16589</v>
      </c>
      <c r="E195" s="4">
        <v>1</v>
      </c>
      <c r="F195" s="4">
        <v>16588</v>
      </c>
      <c r="G195" s="46">
        <v>652852</v>
      </c>
      <c r="I195" s="4">
        <v>26124</v>
      </c>
      <c r="K195" s="4">
        <v>626728</v>
      </c>
      <c r="L195" s="46">
        <v>3872</v>
      </c>
      <c r="N195" s="4">
        <v>36</v>
      </c>
      <c r="P195" s="4">
        <v>3836</v>
      </c>
      <c r="Q195" s="46">
        <v>6681</v>
      </c>
      <c r="R195" s="4">
        <v>83</v>
      </c>
      <c r="T195" s="4">
        <v>5333</v>
      </c>
      <c r="U195" s="4">
        <v>1265</v>
      </c>
      <c r="V195" s="46">
        <v>567566</v>
      </c>
      <c r="W195" s="4">
        <v>371</v>
      </c>
      <c r="X195" s="4">
        <v>24660</v>
      </c>
      <c r="Y195" s="4">
        <v>2311</v>
      </c>
      <c r="Z195" s="4">
        <v>540224</v>
      </c>
      <c r="AA195" s="47">
        <v>1247560</v>
      </c>
    </row>
    <row r="196" spans="1:27" ht="13.2" x14ac:dyDescent="0.25">
      <c r="A196" s="45">
        <v>44223</v>
      </c>
      <c r="B196" s="46">
        <v>16646</v>
      </c>
      <c r="E196" s="4">
        <v>1</v>
      </c>
      <c r="F196" s="4">
        <v>16645</v>
      </c>
      <c r="G196" s="46">
        <v>659174</v>
      </c>
      <c r="I196" s="4">
        <v>25909</v>
      </c>
      <c r="K196" s="4">
        <v>633265</v>
      </c>
      <c r="L196" s="46">
        <v>3896</v>
      </c>
      <c r="N196" s="4">
        <v>32</v>
      </c>
      <c r="P196" s="4">
        <v>3864</v>
      </c>
      <c r="Q196" s="46">
        <v>6707</v>
      </c>
      <c r="R196" s="4">
        <v>103</v>
      </c>
      <c r="T196" s="4">
        <v>5333</v>
      </c>
      <c r="U196" s="4">
        <v>1271</v>
      </c>
      <c r="V196" s="46">
        <v>572681</v>
      </c>
      <c r="W196" s="4">
        <v>395</v>
      </c>
      <c r="X196" s="4">
        <v>25126</v>
      </c>
      <c r="Y196" s="4">
        <v>2311</v>
      </c>
      <c r="Z196" s="4">
        <v>544849</v>
      </c>
      <c r="AA196" s="47">
        <v>1259104</v>
      </c>
    </row>
    <row r="197" spans="1:27" ht="13.2" x14ac:dyDescent="0.25">
      <c r="A197" s="45">
        <v>44224</v>
      </c>
      <c r="B197" s="46">
        <v>16694</v>
      </c>
      <c r="E197" s="4">
        <v>1</v>
      </c>
      <c r="F197" s="4">
        <v>16693</v>
      </c>
      <c r="G197" s="46">
        <v>661365</v>
      </c>
      <c r="I197" s="4">
        <v>22303</v>
      </c>
      <c r="K197" s="4">
        <v>639062</v>
      </c>
      <c r="L197" s="46">
        <v>3912</v>
      </c>
      <c r="N197" s="4">
        <v>22</v>
      </c>
      <c r="P197" s="4">
        <v>3890</v>
      </c>
      <c r="Q197" s="46">
        <v>6724</v>
      </c>
      <c r="R197" s="4">
        <v>104</v>
      </c>
      <c r="T197" s="4">
        <v>5333</v>
      </c>
      <c r="U197" s="4">
        <v>1287</v>
      </c>
      <c r="V197" s="46">
        <v>578738</v>
      </c>
      <c r="W197" s="4">
        <v>357</v>
      </c>
      <c r="X197" s="4">
        <v>23972</v>
      </c>
      <c r="Y197" s="4">
        <v>2311</v>
      </c>
      <c r="Z197" s="4">
        <v>552098</v>
      </c>
      <c r="AA197" s="47">
        <v>1267433</v>
      </c>
    </row>
    <row r="198" spans="1:27" ht="13.2" x14ac:dyDescent="0.25">
      <c r="A198" s="45">
        <v>44225</v>
      </c>
      <c r="B198" s="46">
        <v>16735</v>
      </c>
      <c r="E198" s="4">
        <v>1</v>
      </c>
      <c r="F198" s="4">
        <v>16734</v>
      </c>
      <c r="G198" s="46">
        <v>677646</v>
      </c>
      <c r="I198" s="4">
        <v>16509</v>
      </c>
      <c r="K198" s="4">
        <v>661137</v>
      </c>
      <c r="L198" s="46">
        <v>3932</v>
      </c>
      <c r="N198" s="4">
        <v>18</v>
      </c>
      <c r="P198" s="4">
        <v>3914</v>
      </c>
      <c r="Q198" s="46">
        <v>6737</v>
      </c>
      <c r="R198" s="4">
        <v>92</v>
      </c>
      <c r="T198" s="4">
        <v>5333</v>
      </c>
      <c r="U198" s="4">
        <v>1312</v>
      </c>
      <c r="V198" s="46">
        <v>587777</v>
      </c>
      <c r="W198" s="4">
        <v>292</v>
      </c>
      <c r="X198" s="4">
        <v>17877</v>
      </c>
      <c r="Y198" s="4">
        <v>2311</v>
      </c>
      <c r="Z198" s="4">
        <v>567297</v>
      </c>
      <c r="AA198" s="47">
        <v>1292827</v>
      </c>
    </row>
    <row r="199" spans="1:27" ht="13.2" x14ac:dyDescent="0.25">
      <c r="A199" s="45">
        <v>44226</v>
      </c>
      <c r="B199" s="46">
        <v>16740</v>
      </c>
      <c r="E199" s="4">
        <v>1</v>
      </c>
      <c r="F199" s="4">
        <v>16739</v>
      </c>
      <c r="G199" s="46">
        <v>687547</v>
      </c>
      <c r="I199" s="4">
        <v>15608</v>
      </c>
      <c r="K199" s="4">
        <v>671939</v>
      </c>
      <c r="L199" s="46">
        <v>3976</v>
      </c>
      <c r="N199" s="4">
        <v>18</v>
      </c>
      <c r="P199" s="4">
        <v>3958</v>
      </c>
      <c r="Q199" s="46">
        <v>6762</v>
      </c>
      <c r="R199" s="4">
        <v>79</v>
      </c>
      <c r="T199" s="4">
        <v>5333</v>
      </c>
      <c r="U199" s="4">
        <v>1350</v>
      </c>
      <c r="V199" s="46">
        <v>593699</v>
      </c>
      <c r="W199" s="4">
        <v>245</v>
      </c>
      <c r="X199" s="4">
        <v>16800</v>
      </c>
      <c r="Y199" s="4">
        <v>2311</v>
      </c>
      <c r="Z199" s="4">
        <v>574343</v>
      </c>
      <c r="AA199" s="47">
        <v>1308724</v>
      </c>
    </row>
    <row r="200" spans="1:27" ht="13.2" x14ac:dyDescent="0.25">
      <c r="A200" s="45">
        <v>44227</v>
      </c>
      <c r="B200" s="46">
        <v>16789</v>
      </c>
      <c r="E200" s="4">
        <v>1</v>
      </c>
      <c r="F200" s="4">
        <v>16788</v>
      </c>
      <c r="G200" s="46">
        <v>696559</v>
      </c>
      <c r="I200" s="4">
        <v>21391</v>
      </c>
      <c r="K200" s="4">
        <v>675168</v>
      </c>
      <c r="L200" s="46">
        <v>3998</v>
      </c>
      <c r="N200" s="4">
        <v>18</v>
      </c>
      <c r="P200" s="4">
        <v>3980</v>
      </c>
      <c r="Q200" s="46">
        <v>6777</v>
      </c>
      <c r="R200" s="4">
        <v>85</v>
      </c>
      <c r="T200" s="4">
        <v>5333</v>
      </c>
      <c r="U200" s="4">
        <v>1359</v>
      </c>
      <c r="V200" s="46">
        <v>599684</v>
      </c>
      <c r="W200" s="4">
        <v>255</v>
      </c>
      <c r="X200" s="4">
        <v>20446</v>
      </c>
      <c r="Y200" s="4">
        <v>2311</v>
      </c>
      <c r="Z200" s="4">
        <v>576672</v>
      </c>
      <c r="AA200" s="47">
        <v>1323807</v>
      </c>
    </row>
    <row r="201" spans="1:27" ht="13.2" x14ac:dyDescent="0.25">
      <c r="A201" s="45">
        <v>44228</v>
      </c>
      <c r="B201" s="46">
        <v>16840</v>
      </c>
      <c r="E201" s="4">
        <v>1</v>
      </c>
      <c r="F201" s="4">
        <v>16839</v>
      </c>
      <c r="G201" s="46">
        <v>703657</v>
      </c>
      <c r="I201" s="4">
        <v>23615</v>
      </c>
      <c r="K201" s="4">
        <v>680042</v>
      </c>
      <c r="L201" s="46">
        <v>4032</v>
      </c>
      <c r="N201" s="4">
        <v>14</v>
      </c>
      <c r="P201" s="4">
        <v>4018</v>
      </c>
      <c r="Q201" s="46">
        <v>6786</v>
      </c>
      <c r="R201" s="4">
        <v>78</v>
      </c>
      <c r="T201" s="4">
        <v>5333</v>
      </c>
      <c r="U201" s="4">
        <v>1375</v>
      </c>
      <c r="V201" s="46">
        <v>603199</v>
      </c>
      <c r="W201" s="4">
        <v>238</v>
      </c>
      <c r="X201" s="4">
        <v>19928</v>
      </c>
      <c r="Y201" s="4">
        <v>2311</v>
      </c>
      <c r="Z201" s="4">
        <v>580722</v>
      </c>
      <c r="AA201" s="47">
        <v>1334514</v>
      </c>
    </row>
    <row r="202" spans="1:27" ht="13.2" x14ac:dyDescent="0.25">
      <c r="A202" s="45">
        <v>44229</v>
      </c>
      <c r="B202" s="46">
        <v>16841</v>
      </c>
      <c r="E202" s="4">
        <v>1</v>
      </c>
      <c r="F202" s="4">
        <v>16840</v>
      </c>
      <c r="G202" s="46">
        <v>707801</v>
      </c>
      <c r="I202" s="4">
        <v>26705</v>
      </c>
      <c r="K202" s="4">
        <v>681096</v>
      </c>
      <c r="L202" s="46">
        <v>4032</v>
      </c>
      <c r="N202" s="4">
        <v>14</v>
      </c>
      <c r="P202" s="4">
        <v>4018</v>
      </c>
      <c r="Q202" s="46">
        <v>6802</v>
      </c>
      <c r="R202" s="4">
        <v>94</v>
      </c>
      <c r="T202" s="4">
        <v>5333</v>
      </c>
      <c r="U202" s="4">
        <v>1375</v>
      </c>
      <c r="V202" s="46">
        <v>605168</v>
      </c>
      <c r="W202" s="4">
        <v>247</v>
      </c>
      <c r="X202" s="4">
        <v>21411</v>
      </c>
      <c r="Y202" s="4">
        <v>2311</v>
      </c>
      <c r="Z202" s="4">
        <v>581199</v>
      </c>
      <c r="AA202" s="47">
        <v>1340644</v>
      </c>
    </row>
    <row r="203" spans="1:27" ht="13.2" x14ac:dyDescent="0.25">
      <c r="A203" s="45">
        <v>44230</v>
      </c>
      <c r="B203" s="46">
        <v>16892</v>
      </c>
      <c r="E203" s="4">
        <v>1</v>
      </c>
      <c r="F203" s="4">
        <v>16891</v>
      </c>
      <c r="G203" s="46">
        <v>710128</v>
      </c>
      <c r="I203" s="4">
        <v>25162</v>
      </c>
      <c r="K203" s="4">
        <v>684966</v>
      </c>
      <c r="L203" s="46">
        <v>4036</v>
      </c>
      <c r="N203" s="4">
        <v>13</v>
      </c>
      <c r="P203" s="4">
        <v>4023</v>
      </c>
      <c r="Q203" s="46">
        <v>6818</v>
      </c>
      <c r="R203" s="4">
        <v>95</v>
      </c>
      <c r="T203" s="4">
        <v>5333</v>
      </c>
      <c r="U203" s="4">
        <v>1390</v>
      </c>
      <c r="V203" s="46">
        <v>607178</v>
      </c>
      <c r="W203" s="4">
        <v>261</v>
      </c>
      <c r="X203" s="4">
        <v>19139</v>
      </c>
      <c r="Y203" s="4">
        <v>2311</v>
      </c>
      <c r="Z203" s="4">
        <v>585467</v>
      </c>
      <c r="AA203" s="47">
        <v>1345052</v>
      </c>
    </row>
    <row r="204" spans="1:27" ht="13.2" x14ac:dyDescent="0.25">
      <c r="A204" s="45">
        <v>44231</v>
      </c>
      <c r="B204" s="46">
        <v>17014</v>
      </c>
      <c r="E204" s="4">
        <v>1</v>
      </c>
      <c r="F204" s="4">
        <v>17013</v>
      </c>
      <c r="G204" s="46">
        <v>725175</v>
      </c>
      <c r="I204" s="4">
        <v>31716</v>
      </c>
      <c r="K204" s="4">
        <v>693459</v>
      </c>
      <c r="L204" s="46">
        <v>4056</v>
      </c>
      <c r="N204" s="4">
        <v>6</v>
      </c>
      <c r="P204" s="4">
        <v>4050</v>
      </c>
      <c r="Q204" s="46">
        <v>6844</v>
      </c>
      <c r="R204" s="4">
        <v>93</v>
      </c>
      <c r="T204" s="4">
        <v>5333</v>
      </c>
      <c r="U204" s="4">
        <v>1418</v>
      </c>
      <c r="V204" s="46">
        <v>615688</v>
      </c>
      <c r="W204" s="4">
        <v>272</v>
      </c>
      <c r="X204" s="4">
        <v>22619</v>
      </c>
      <c r="Y204" s="4">
        <v>2311</v>
      </c>
      <c r="Z204" s="4">
        <v>590486</v>
      </c>
      <c r="AA204" s="47">
        <v>1368777</v>
      </c>
    </row>
    <row r="205" spans="1:27" ht="13.2" x14ac:dyDescent="0.25">
      <c r="A205" s="45">
        <v>44232</v>
      </c>
      <c r="B205" s="46">
        <v>17015</v>
      </c>
      <c r="E205" s="4">
        <v>1</v>
      </c>
      <c r="F205" s="4">
        <v>17014</v>
      </c>
      <c r="G205" s="46">
        <v>732637</v>
      </c>
      <c r="I205" s="4">
        <v>27690</v>
      </c>
      <c r="K205" s="4">
        <v>704947</v>
      </c>
      <c r="L205" s="46">
        <v>4062</v>
      </c>
      <c r="N205" s="4">
        <v>4</v>
      </c>
      <c r="P205" s="4">
        <v>4058</v>
      </c>
      <c r="Q205" s="46">
        <v>6878</v>
      </c>
      <c r="R205" s="4">
        <v>75</v>
      </c>
      <c r="T205" s="4">
        <v>5333</v>
      </c>
      <c r="U205" s="4">
        <v>1470</v>
      </c>
      <c r="V205" s="46">
        <v>620627</v>
      </c>
      <c r="W205" s="4">
        <v>248</v>
      </c>
      <c r="X205" s="4">
        <v>19548</v>
      </c>
      <c r="Y205" s="4">
        <v>2311</v>
      </c>
      <c r="Z205" s="4">
        <v>598520</v>
      </c>
      <c r="AA205" s="47">
        <v>1381219</v>
      </c>
    </row>
    <row r="206" spans="1:27" ht="13.2" x14ac:dyDescent="0.25">
      <c r="A206" s="45">
        <v>44233</v>
      </c>
      <c r="B206" s="46">
        <v>17077</v>
      </c>
      <c r="E206" s="4">
        <v>1</v>
      </c>
      <c r="F206" s="4">
        <v>17076</v>
      </c>
      <c r="G206" s="46">
        <v>734059</v>
      </c>
      <c r="I206" s="4">
        <v>28958</v>
      </c>
      <c r="K206" s="4">
        <v>705101</v>
      </c>
      <c r="L206" s="46">
        <v>4067</v>
      </c>
      <c r="N206" s="4">
        <v>7</v>
      </c>
      <c r="P206" s="4">
        <v>4060</v>
      </c>
      <c r="Q206" s="46">
        <v>6890</v>
      </c>
      <c r="R206" s="4">
        <v>84</v>
      </c>
      <c r="T206" s="4">
        <v>5333</v>
      </c>
      <c r="U206" s="4">
        <v>1473</v>
      </c>
      <c r="V206" s="46">
        <v>622686</v>
      </c>
      <c r="W206" s="4">
        <v>324</v>
      </c>
      <c r="X206" s="4">
        <v>21207</v>
      </c>
      <c r="Y206" s="4">
        <v>2311</v>
      </c>
      <c r="Z206" s="4">
        <v>598844</v>
      </c>
      <c r="AA206" s="47">
        <v>1384779</v>
      </c>
    </row>
    <row r="207" spans="1:27" ht="13.2" x14ac:dyDescent="0.25">
      <c r="A207" s="45">
        <v>44234</v>
      </c>
      <c r="B207" s="46">
        <v>17132</v>
      </c>
      <c r="E207" s="4">
        <v>1</v>
      </c>
      <c r="F207" s="4">
        <v>17131</v>
      </c>
      <c r="G207" s="46">
        <v>749947</v>
      </c>
      <c r="I207" s="4">
        <v>34706</v>
      </c>
      <c r="K207" s="4">
        <v>715241</v>
      </c>
      <c r="L207" s="46">
        <v>4077</v>
      </c>
      <c r="N207" s="4">
        <v>7</v>
      </c>
      <c r="P207" s="4">
        <v>4070</v>
      </c>
      <c r="Q207" s="46">
        <v>6943</v>
      </c>
      <c r="R207" s="4">
        <v>75</v>
      </c>
      <c r="T207" s="4">
        <v>5333</v>
      </c>
      <c r="U207" s="4">
        <v>1535</v>
      </c>
      <c r="V207" s="46">
        <v>631934</v>
      </c>
      <c r="W207" s="4">
        <v>301</v>
      </c>
      <c r="X207" s="4">
        <v>23323</v>
      </c>
      <c r="Y207" s="4">
        <v>2311</v>
      </c>
      <c r="Z207" s="4">
        <v>605999</v>
      </c>
      <c r="AA207" s="47">
        <v>1410033</v>
      </c>
    </row>
    <row r="208" spans="1:27" ht="13.2" x14ac:dyDescent="0.25">
      <c r="A208" s="45">
        <v>44235</v>
      </c>
      <c r="B208" s="46">
        <v>17132</v>
      </c>
      <c r="E208" s="4">
        <v>1</v>
      </c>
      <c r="F208" s="4">
        <v>17131</v>
      </c>
      <c r="G208" s="46">
        <v>755591</v>
      </c>
      <c r="I208" s="4">
        <v>35516</v>
      </c>
      <c r="K208" s="4">
        <v>720075</v>
      </c>
      <c r="L208" s="46">
        <v>4077</v>
      </c>
      <c r="N208" s="4">
        <v>6</v>
      </c>
      <c r="P208" s="4">
        <v>4071</v>
      </c>
      <c r="Q208" s="46">
        <v>6943</v>
      </c>
      <c r="R208" s="4">
        <v>59</v>
      </c>
      <c r="T208" s="4">
        <v>5333</v>
      </c>
      <c r="U208" s="4">
        <v>1551</v>
      </c>
      <c r="V208" s="46">
        <v>634751</v>
      </c>
      <c r="W208" s="4">
        <v>262</v>
      </c>
      <c r="X208" s="4">
        <v>22964</v>
      </c>
      <c r="Y208" s="4">
        <v>2311</v>
      </c>
      <c r="Z208" s="4">
        <v>609214</v>
      </c>
      <c r="AA208" s="47">
        <v>1418494</v>
      </c>
    </row>
    <row r="209" spans="1:27" ht="13.2" x14ac:dyDescent="0.25">
      <c r="A209" s="45">
        <v>44236</v>
      </c>
      <c r="B209" s="46">
        <v>17181</v>
      </c>
      <c r="E209" s="4">
        <v>1</v>
      </c>
      <c r="F209" s="4">
        <v>17180</v>
      </c>
      <c r="G209" s="46">
        <v>758670</v>
      </c>
      <c r="I209" s="4">
        <v>35782</v>
      </c>
      <c r="K209" s="4">
        <v>722888</v>
      </c>
      <c r="L209" s="46">
        <v>4098</v>
      </c>
      <c r="N209" s="4">
        <v>6</v>
      </c>
      <c r="P209" s="4">
        <v>4092</v>
      </c>
      <c r="Q209" s="46">
        <v>6990</v>
      </c>
      <c r="R209" s="4">
        <v>72</v>
      </c>
      <c r="T209" s="4">
        <v>5333</v>
      </c>
      <c r="U209" s="4">
        <v>1558</v>
      </c>
      <c r="V209" s="46">
        <v>637597</v>
      </c>
      <c r="W209" s="4">
        <v>254</v>
      </c>
      <c r="X209" s="4">
        <v>23564</v>
      </c>
      <c r="Y209" s="4">
        <v>2311</v>
      </c>
      <c r="Z209" s="4">
        <v>611468</v>
      </c>
      <c r="AA209" s="47">
        <v>1424536</v>
      </c>
    </row>
    <row r="210" spans="1:27" ht="13.2" x14ac:dyDescent="0.25">
      <c r="A210" s="45">
        <v>44237</v>
      </c>
      <c r="B210" s="46">
        <v>17184</v>
      </c>
      <c r="E210" s="4">
        <v>1</v>
      </c>
      <c r="F210" s="4">
        <v>17183</v>
      </c>
      <c r="G210" s="46">
        <v>759606</v>
      </c>
      <c r="I210" s="4">
        <v>33485</v>
      </c>
      <c r="K210" s="4">
        <v>726121</v>
      </c>
      <c r="L210" s="46">
        <v>4106</v>
      </c>
      <c r="N210" s="4">
        <v>9</v>
      </c>
      <c r="P210" s="4">
        <v>4097</v>
      </c>
      <c r="Q210" s="46">
        <v>7026</v>
      </c>
      <c r="R210" s="4">
        <v>92</v>
      </c>
      <c r="T210" s="4">
        <v>5333</v>
      </c>
      <c r="U210" s="4">
        <v>1601</v>
      </c>
      <c r="V210" s="46">
        <v>638802</v>
      </c>
      <c r="W210" s="4">
        <v>275</v>
      </c>
      <c r="X210" s="4">
        <v>22594</v>
      </c>
      <c r="Y210" s="4">
        <v>2311</v>
      </c>
      <c r="Z210" s="4">
        <v>613622</v>
      </c>
      <c r="AA210" s="47">
        <v>1426724</v>
      </c>
    </row>
    <row r="211" spans="1:27" ht="13.2" x14ac:dyDescent="0.25">
      <c r="A211" s="45">
        <v>44238</v>
      </c>
      <c r="B211" s="46">
        <v>17303</v>
      </c>
      <c r="E211" s="4">
        <v>1</v>
      </c>
      <c r="F211" s="4">
        <v>17302</v>
      </c>
      <c r="G211" s="46">
        <v>763234</v>
      </c>
      <c r="I211" s="4">
        <v>31005</v>
      </c>
      <c r="K211" s="4">
        <v>732229</v>
      </c>
      <c r="L211" s="46">
        <v>4142</v>
      </c>
      <c r="N211" s="4">
        <v>15</v>
      </c>
      <c r="P211" s="4">
        <v>4127</v>
      </c>
      <c r="Q211" s="46">
        <v>7101</v>
      </c>
      <c r="R211" s="4">
        <v>82</v>
      </c>
      <c r="T211" s="4">
        <v>5333</v>
      </c>
      <c r="U211" s="4">
        <v>1686</v>
      </c>
      <c r="V211" s="46">
        <v>641295</v>
      </c>
      <c r="W211" s="4">
        <v>309</v>
      </c>
      <c r="X211" s="4">
        <v>21800</v>
      </c>
      <c r="Y211" s="4">
        <v>2311</v>
      </c>
      <c r="Z211" s="4">
        <v>616875</v>
      </c>
      <c r="AA211" s="47">
        <v>1433075</v>
      </c>
    </row>
    <row r="212" spans="1:27" ht="13.2" x14ac:dyDescent="0.25">
      <c r="A212" s="45">
        <v>44239</v>
      </c>
      <c r="B212" s="46">
        <v>17395</v>
      </c>
      <c r="E212" s="4">
        <v>1</v>
      </c>
      <c r="F212" s="4">
        <v>17394</v>
      </c>
      <c r="G212" s="46">
        <v>780436</v>
      </c>
      <c r="I212" s="4">
        <v>33193</v>
      </c>
      <c r="K212" s="4">
        <v>747243</v>
      </c>
      <c r="L212" s="46">
        <v>4161</v>
      </c>
      <c r="N212" s="4">
        <v>14</v>
      </c>
      <c r="P212" s="4">
        <v>4147</v>
      </c>
      <c r="Q212" s="46">
        <v>7157</v>
      </c>
      <c r="R212" s="4">
        <v>96</v>
      </c>
      <c r="T212" s="4">
        <v>5333</v>
      </c>
      <c r="U212" s="4">
        <v>1728</v>
      </c>
      <c r="V212" s="46">
        <v>650431</v>
      </c>
      <c r="W212" s="4">
        <v>295</v>
      </c>
      <c r="X212" s="4">
        <v>24917</v>
      </c>
      <c r="Y212" s="4">
        <v>2311</v>
      </c>
      <c r="Z212" s="4">
        <v>622908</v>
      </c>
      <c r="AA212" s="47">
        <v>1459580</v>
      </c>
    </row>
    <row r="213" spans="1:27" ht="13.2" x14ac:dyDescent="0.25">
      <c r="A213" s="45">
        <v>44240</v>
      </c>
      <c r="B213" s="46">
        <v>17404</v>
      </c>
      <c r="E213" s="4">
        <v>1</v>
      </c>
      <c r="F213" s="4">
        <v>17403</v>
      </c>
      <c r="G213" s="46">
        <v>795979</v>
      </c>
      <c r="I213" s="4">
        <v>44171</v>
      </c>
      <c r="K213" s="4">
        <v>751808</v>
      </c>
      <c r="L213" s="46">
        <v>4183</v>
      </c>
      <c r="N213" s="4">
        <v>16</v>
      </c>
      <c r="P213" s="4">
        <v>4167</v>
      </c>
      <c r="Q213" s="46">
        <v>7199</v>
      </c>
      <c r="R213" s="4">
        <v>112</v>
      </c>
      <c r="T213" s="4">
        <v>5333</v>
      </c>
      <c r="U213" s="4">
        <v>1754</v>
      </c>
      <c r="V213" s="46">
        <v>659577</v>
      </c>
      <c r="W213" s="4">
        <v>325</v>
      </c>
      <c r="X213" s="4">
        <v>31765</v>
      </c>
      <c r="Y213" s="4">
        <v>2311</v>
      </c>
      <c r="Z213" s="4">
        <v>625176</v>
      </c>
      <c r="AA213" s="47">
        <v>1484342</v>
      </c>
    </row>
    <row r="214" spans="1:27" ht="13.2" x14ac:dyDescent="0.25">
      <c r="A214" s="45">
        <v>44241</v>
      </c>
      <c r="B214" s="46">
        <v>17406</v>
      </c>
      <c r="E214" s="4">
        <v>1</v>
      </c>
      <c r="F214" s="4">
        <v>17405</v>
      </c>
      <c r="G214" s="46">
        <v>803017</v>
      </c>
      <c r="I214" s="4">
        <v>48810</v>
      </c>
      <c r="K214" s="4">
        <v>754207</v>
      </c>
      <c r="L214" s="46">
        <v>4185</v>
      </c>
      <c r="N214" s="4">
        <v>16</v>
      </c>
      <c r="P214" s="4">
        <v>4169</v>
      </c>
      <c r="Q214" s="46">
        <v>7200</v>
      </c>
      <c r="R214" s="4">
        <v>112</v>
      </c>
      <c r="T214" s="4">
        <v>5333</v>
      </c>
      <c r="U214" s="4">
        <v>1755</v>
      </c>
      <c r="V214" s="46">
        <v>663417</v>
      </c>
      <c r="W214" s="4">
        <v>322</v>
      </c>
      <c r="X214" s="4">
        <v>34482</v>
      </c>
      <c r="Y214" s="4">
        <v>2311</v>
      </c>
      <c r="Z214" s="4">
        <v>626302</v>
      </c>
      <c r="AA214" s="47">
        <v>1495225</v>
      </c>
    </row>
    <row r="215" spans="1:27" ht="13.2" x14ac:dyDescent="0.25">
      <c r="A215" s="45">
        <v>44242</v>
      </c>
      <c r="B215" s="46">
        <v>17423</v>
      </c>
      <c r="E215" s="4">
        <v>1</v>
      </c>
      <c r="F215" s="4">
        <v>17422</v>
      </c>
      <c r="G215" s="46">
        <v>807116</v>
      </c>
      <c r="I215" s="4">
        <v>46155</v>
      </c>
      <c r="K215" s="4">
        <v>760961</v>
      </c>
      <c r="L215" s="46">
        <v>4203</v>
      </c>
      <c r="N215" s="4">
        <v>16</v>
      </c>
      <c r="P215" s="4">
        <v>4187</v>
      </c>
      <c r="Q215" s="46">
        <v>7208</v>
      </c>
      <c r="R215" s="4">
        <v>101</v>
      </c>
      <c r="T215" s="4">
        <v>5333</v>
      </c>
      <c r="U215" s="4">
        <v>1774</v>
      </c>
      <c r="V215" s="46">
        <v>666550</v>
      </c>
      <c r="W215" s="4">
        <v>285</v>
      </c>
      <c r="X215" s="4">
        <v>32956</v>
      </c>
      <c r="Y215" s="4">
        <v>2311</v>
      </c>
      <c r="Z215" s="4">
        <v>630998</v>
      </c>
      <c r="AA215" s="47">
        <v>1502500</v>
      </c>
    </row>
    <row r="216" spans="1:27" ht="13.2" x14ac:dyDescent="0.25">
      <c r="A216" s="45">
        <v>44243</v>
      </c>
      <c r="B216" s="46">
        <v>17423</v>
      </c>
      <c r="E216" s="4">
        <v>1</v>
      </c>
      <c r="F216" s="4">
        <v>17422</v>
      </c>
      <c r="G216" s="46">
        <v>810884</v>
      </c>
      <c r="I216" s="4">
        <v>41789</v>
      </c>
      <c r="K216" s="4">
        <v>769095</v>
      </c>
      <c r="L216" s="46">
        <v>4221</v>
      </c>
      <c r="N216" s="4">
        <v>13</v>
      </c>
      <c r="P216" s="4">
        <v>4208</v>
      </c>
      <c r="Q216" s="46">
        <v>7211</v>
      </c>
      <c r="R216" s="4">
        <v>97</v>
      </c>
      <c r="T216" s="4">
        <v>5333</v>
      </c>
      <c r="U216" s="4">
        <v>1781</v>
      </c>
      <c r="V216" s="46">
        <v>669133</v>
      </c>
      <c r="W216" s="4">
        <v>269</v>
      </c>
      <c r="X216" s="4">
        <v>29871</v>
      </c>
      <c r="Y216" s="4">
        <v>2311</v>
      </c>
      <c r="Z216" s="4">
        <v>636682</v>
      </c>
      <c r="AA216" s="47">
        <v>1508872</v>
      </c>
    </row>
    <row r="217" spans="1:27" ht="13.2" x14ac:dyDescent="0.25">
      <c r="A217" s="45">
        <v>44244</v>
      </c>
      <c r="B217" s="46">
        <v>17424</v>
      </c>
      <c r="E217" s="4">
        <v>1</v>
      </c>
      <c r="F217" s="4">
        <v>17423</v>
      </c>
      <c r="G217" s="46">
        <v>815975</v>
      </c>
      <c r="I217" s="4">
        <v>39454</v>
      </c>
      <c r="K217" s="4">
        <v>776521</v>
      </c>
      <c r="L217" s="46">
        <v>4235</v>
      </c>
      <c r="N217" s="4">
        <v>9</v>
      </c>
      <c r="P217" s="4">
        <v>4226</v>
      </c>
      <c r="Q217" s="46">
        <v>7256</v>
      </c>
      <c r="R217" s="4">
        <v>93</v>
      </c>
      <c r="T217" s="4">
        <v>5333</v>
      </c>
      <c r="U217" s="4">
        <v>1830</v>
      </c>
      <c r="V217" s="46">
        <v>672830</v>
      </c>
      <c r="W217" s="4">
        <v>266</v>
      </c>
      <c r="X217" s="4">
        <v>28436</v>
      </c>
      <c r="Y217" s="4">
        <v>2311</v>
      </c>
      <c r="Z217" s="4">
        <v>641817</v>
      </c>
      <c r="AA217" s="47">
        <v>1517720</v>
      </c>
    </row>
    <row r="218" spans="1:27" ht="13.2" x14ac:dyDescent="0.25">
      <c r="A218" s="45">
        <v>44245</v>
      </c>
      <c r="B218" s="46">
        <v>17424</v>
      </c>
      <c r="E218" s="4">
        <v>1</v>
      </c>
      <c r="F218" s="4">
        <v>17423</v>
      </c>
      <c r="G218" s="46">
        <v>818296</v>
      </c>
      <c r="I218" s="4">
        <v>34898</v>
      </c>
      <c r="K218" s="4">
        <v>783398</v>
      </c>
      <c r="L218" s="46">
        <v>4259</v>
      </c>
      <c r="N218" s="4">
        <v>9</v>
      </c>
      <c r="P218" s="4">
        <v>4250</v>
      </c>
      <c r="Q218" s="46">
        <v>7289</v>
      </c>
      <c r="R218" s="4">
        <v>99</v>
      </c>
      <c r="T218" s="4">
        <v>5333</v>
      </c>
      <c r="U218" s="4">
        <v>1857</v>
      </c>
      <c r="V218" s="46">
        <v>675949</v>
      </c>
      <c r="W218" s="4">
        <v>293</v>
      </c>
      <c r="X218" s="4">
        <v>26560</v>
      </c>
      <c r="Y218" s="4">
        <v>2311</v>
      </c>
      <c r="Z218" s="4">
        <v>646785</v>
      </c>
      <c r="AA218" s="47">
        <v>1523217</v>
      </c>
    </row>
    <row r="219" spans="1:27" ht="13.2" x14ac:dyDescent="0.25">
      <c r="A219" s="45">
        <v>44246</v>
      </c>
      <c r="B219" s="46">
        <v>17424</v>
      </c>
      <c r="E219" s="4">
        <v>1</v>
      </c>
      <c r="F219" s="4">
        <v>17423</v>
      </c>
      <c r="G219" s="46">
        <v>822499</v>
      </c>
      <c r="I219" s="4">
        <v>31026</v>
      </c>
      <c r="K219" s="4">
        <v>791473</v>
      </c>
      <c r="L219" s="46">
        <v>4283</v>
      </c>
      <c r="N219" s="4">
        <v>9</v>
      </c>
      <c r="P219" s="4">
        <v>4274</v>
      </c>
      <c r="Q219" s="46">
        <v>7326</v>
      </c>
      <c r="R219" s="4">
        <v>102</v>
      </c>
      <c r="T219" s="4">
        <v>5333</v>
      </c>
      <c r="U219" s="4">
        <v>1891</v>
      </c>
      <c r="V219" s="46">
        <v>679414</v>
      </c>
      <c r="W219" s="4">
        <v>299</v>
      </c>
      <c r="X219" s="4">
        <v>24728</v>
      </c>
      <c r="Y219" s="4">
        <v>2311</v>
      </c>
      <c r="Z219" s="4">
        <v>652076</v>
      </c>
      <c r="AA219" s="47">
        <v>1530946</v>
      </c>
    </row>
    <row r="220" spans="1:27" ht="13.2" x14ac:dyDescent="0.25">
      <c r="A220" s="45">
        <v>44247</v>
      </c>
      <c r="B220" s="46">
        <v>17424</v>
      </c>
      <c r="E220" s="4">
        <v>1</v>
      </c>
      <c r="F220" s="4">
        <v>17423</v>
      </c>
      <c r="G220" s="46">
        <v>823882</v>
      </c>
      <c r="I220" s="4">
        <v>27460</v>
      </c>
      <c r="K220" s="4">
        <v>796422</v>
      </c>
      <c r="L220" s="46">
        <v>4312</v>
      </c>
      <c r="N220" s="4">
        <v>9</v>
      </c>
      <c r="P220" s="4">
        <v>4303</v>
      </c>
      <c r="Q220" s="46">
        <v>7346</v>
      </c>
      <c r="R220" s="4">
        <v>107</v>
      </c>
      <c r="T220" s="4">
        <v>5333</v>
      </c>
      <c r="U220" s="4">
        <v>1906</v>
      </c>
      <c r="V220" s="46">
        <v>682091</v>
      </c>
      <c r="W220" s="4">
        <v>293</v>
      </c>
      <c r="X220" s="4">
        <v>22479</v>
      </c>
      <c r="Y220" s="4">
        <v>2311</v>
      </c>
      <c r="Z220" s="4">
        <v>657008</v>
      </c>
      <c r="AA220" s="47">
        <v>1535055</v>
      </c>
    </row>
    <row r="221" spans="1:27" ht="13.2" x14ac:dyDescent="0.25">
      <c r="A221" s="45">
        <v>44248</v>
      </c>
      <c r="B221" s="46">
        <v>17424</v>
      </c>
      <c r="E221" s="4">
        <v>1</v>
      </c>
      <c r="F221" s="4">
        <v>17423</v>
      </c>
      <c r="G221" s="46">
        <v>838656</v>
      </c>
      <c r="I221" s="4">
        <v>35838</v>
      </c>
      <c r="K221" s="4">
        <v>802818</v>
      </c>
      <c r="L221" s="46">
        <v>4320</v>
      </c>
      <c r="N221" s="4">
        <v>9</v>
      </c>
      <c r="P221" s="4">
        <v>4311</v>
      </c>
      <c r="Q221" s="46">
        <v>7359</v>
      </c>
      <c r="R221" s="4">
        <v>105</v>
      </c>
      <c r="T221" s="4">
        <v>5333</v>
      </c>
      <c r="U221" s="4">
        <v>1921</v>
      </c>
      <c r="V221" s="46">
        <v>690193</v>
      </c>
      <c r="W221" s="4">
        <v>288</v>
      </c>
      <c r="X221" s="4">
        <v>26677</v>
      </c>
      <c r="Y221" s="4">
        <v>2311</v>
      </c>
      <c r="Z221" s="4">
        <v>660917</v>
      </c>
      <c r="AA221" s="47">
        <v>1557952</v>
      </c>
    </row>
    <row r="222" spans="1:27" ht="13.2" x14ac:dyDescent="0.25">
      <c r="A222" s="45">
        <v>44249</v>
      </c>
      <c r="B222" s="46">
        <v>17424</v>
      </c>
      <c r="E222" s="4">
        <v>1</v>
      </c>
      <c r="F222" s="4">
        <v>17423</v>
      </c>
      <c r="G222" s="46">
        <v>844335</v>
      </c>
      <c r="I222" s="4">
        <v>32968</v>
      </c>
      <c r="K222" s="4">
        <v>811367</v>
      </c>
      <c r="L222" s="46">
        <v>4342</v>
      </c>
      <c r="N222" s="4">
        <v>8</v>
      </c>
      <c r="P222" s="4">
        <v>4334</v>
      </c>
      <c r="Q222" s="46">
        <v>7373</v>
      </c>
      <c r="R222" s="4">
        <v>98</v>
      </c>
      <c r="T222" s="4">
        <v>5333</v>
      </c>
      <c r="U222" s="4">
        <v>1942</v>
      </c>
      <c r="V222" s="46">
        <v>693445</v>
      </c>
      <c r="W222" s="4">
        <v>267</v>
      </c>
      <c r="X222" s="4">
        <v>25160</v>
      </c>
      <c r="Y222" s="4">
        <v>2311</v>
      </c>
      <c r="Z222" s="4">
        <v>665707</v>
      </c>
      <c r="AA222" s="47">
        <v>1566919</v>
      </c>
    </row>
    <row r="223" spans="1:27" ht="13.2" x14ac:dyDescent="0.25">
      <c r="A223" s="45">
        <v>44250</v>
      </c>
      <c r="B223" s="46">
        <v>17424</v>
      </c>
      <c r="E223" s="4">
        <v>1</v>
      </c>
      <c r="F223" s="4">
        <v>17423</v>
      </c>
      <c r="G223" s="46">
        <v>847546</v>
      </c>
      <c r="I223" s="4">
        <v>30697</v>
      </c>
      <c r="K223" s="4">
        <v>816849</v>
      </c>
      <c r="L223" s="46">
        <v>4342</v>
      </c>
      <c r="N223" s="4">
        <v>3</v>
      </c>
      <c r="P223" s="4">
        <v>4339</v>
      </c>
      <c r="Q223" s="46">
        <v>7375</v>
      </c>
      <c r="R223" s="4">
        <v>87</v>
      </c>
      <c r="T223" s="4">
        <v>5333</v>
      </c>
      <c r="U223" s="4">
        <v>1955</v>
      </c>
      <c r="V223" s="46">
        <v>695717</v>
      </c>
      <c r="W223" s="4">
        <v>244</v>
      </c>
      <c r="X223" s="4">
        <v>23316</v>
      </c>
      <c r="Y223" s="4">
        <v>2311</v>
      </c>
      <c r="Z223" s="4">
        <v>669846</v>
      </c>
      <c r="AA223" s="47">
        <v>1572404</v>
      </c>
    </row>
    <row r="224" spans="1:27" ht="13.2" x14ac:dyDescent="0.25">
      <c r="A224" s="45">
        <v>44251</v>
      </c>
      <c r="B224" s="46">
        <v>17427</v>
      </c>
      <c r="E224" s="4">
        <v>1</v>
      </c>
      <c r="F224" s="4">
        <v>17426</v>
      </c>
      <c r="G224" s="46">
        <v>853526</v>
      </c>
      <c r="I224" s="4">
        <v>30058</v>
      </c>
      <c r="K224" s="4">
        <v>823468</v>
      </c>
      <c r="L224" s="46">
        <v>4367</v>
      </c>
      <c r="N224" s="4">
        <v>3</v>
      </c>
      <c r="P224" s="4">
        <v>4364</v>
      </c>
      <c r="Q224" s="46">
        <v>7392</v>
      </c>
      <c r="R224" s="4">
        <v>80</v>
      </c>
      <c r="T224" s="4">
        <v>5333</v>
      </c>
      <c r="U224" s="4">
        <v>1979</v>
      </c>
      <c r="V224" s="46">
        <v>700314</v>
      </c>
      <c r="W224" s="4">
        <v>219</v>
      </c>
      <c r="X224" s="4">
        <v>23354</v>
      </c>
      <c r="Y224" s="4">
        <v>2311</v>
      </c>
      <c r="Z224" s="4">
        <v>674430</v>
      </c>
      <c r="AA224" s="47">
        <v>1583026</v>
      </c>
    </row>
    <row r="225" spans="1:27" ht="13.2" x14ac:dyDescent="0.25">
      <c r="A225" s="45">
        <v>44252</v>
      </c>
      <c r="B225" s="46">
        <v>17431</v>
      </c>
      <c r="E225" s="4">
        <v>1</v>
      </c>
      <c r="F225" s="4">
        <v>17430</v>
      </c>
      <c r="G225" s="46">
        <v>855359</v>
      </c>
      <c r="I225" s="4">
        <v>27501</v>
      </c>
      <c r="K225" s="4">
        <v>827858</v>
      </c>
      <c r="L225" s="46">
        <v>4378</v>
      </c>
      <c r="N225" s="4">
        <v>2</v>
      </c>
      <c r="P225" s="4">
        <v>4376</v>
      </c>
      <c r="Q225" s="46">
        <v>7415</v>
      </c>
      <c r="R225" s="4">
        <v>80</v>
      </c>
      <c r="T225" s="4">
        <v>5333</v>
      </c>
      <c r="U225" s="4">
        <v>2002</v>
      </c>
      <c r="V225" s="46">
        <v>702398</v>
      </c>
      <c r="W225" s="4">
        <v>202</v>
      </c>
      <c r="X225" s="4">
        <v>21526</v>
      </c>
      <c r="Y225" s="4">
        <v>2311</v>
      </c>
      <c r="Z225" s="4">
        <v>678359</v>
      </c>
      <c r="AA225" s="47">
        <v>1586981</v>
      </c>
    </row>
    <row r="226" spans="1:27" ht="13.2" x14ac:dyDescent="0.25">
      <c r="A226" s="45">
        <v>44253</v>
      </c>
      <c r="B226" s="46">
        <v>17451</v>
      </c>
      <c r="E226" s="4">
        <v>1</v>
      </c>
      <c r="F226" s="4">
        <v>17450</v>
      </c>
      <c r="G226" s="46">
        <v>870125</v>
      </c>
      <c r="I226" s="4">
        <v>36176</v>
      </c>
      <c r="K226" s="4">
        <v>833949</v>
      </c>
      <c r="L226" s="46">
        <v>4416</v>
      </c>
      <c r="N226" s="4">
        <v>2</v>
      </c>
      <c r="P226" s="4">
        <v>4414</v>
      </c>
      <c r="Q226" s="46">
        <v>7440</v>
      </c>
      <c r="R226" s="4">
        <v>87</v>
      </c>
      <c r="T226" s="4">
        <v>5333</v>
      </c>
      <c r="U226" s="4">
        <v>2020</v>
      </c>
      <c r="V226" s="46">
        <v>711023</v>
      </c>
      <c r="W226" s="4">
        <v>201</v>
      </c>
      <c r="X226" s="4">
        <v>26375</v>
      </c>
      <c r="Y226" s="4">
        <v>2311</v>
      </c>
      <c r="Z226" s="4">
        <v>682136</v>
      </c>
      <c r="AA226" s="47">
        <v>1610455</v>
      </c>
    </row>
    <row r="227" spans="1:27" ht="13.2" x14ac:dyDescent="0.25">
      <c r="A227" s="45">
        <v>44254</v>
      </c>
      <c r="B227" s="46">
        <v>17454</v>
      </c>
      <c r="E227" s="4">
        <v>1</v>
      </c>
      <c r="F227" s="4">
        <v>17453</v>
      </c>
      <c r="G227" s="46">
        <v>878966</v>
      </c>
      <c r="I227" s="4">
        <v>40016</v>
      </c>
      <c r="K227" s="4">
        <v>838950</v>
      </c>
      <c r="L227" s="46">
        <v>4439</v>
      </c>
      <c r="N227" s="4">
        <v>3</v>
      </c>
      <c r="P227" s="4">
        <v>4436</v>
      </c>
      <c r="Q227" s="46">
        <v>7464</v>
      </c>
      <c r="R227" s="4">
        <v>95</v>
      </c>
      <c r="T227" s="4">
        <v>5333</v>
      </c>
      <c r="U227" s="4">
        <v>2036</v>
      </c>
      <c r="V227" s="46">
        <v>714770</v>
      </c>
      <c r="W227" s="4">
        <v>216</v>
      </c>
      <c r="X227" s="4">
        <v>27044</v>
      </c>
      <c r="Y227" s="4">
        <v>2311</v>
      </c>
      <c r="Z227" s="4">
        <v>685199</v>
      </c>
      <c r="AA227" s="47">
        <v>1623093</v>
      </c>
    </row>
    <row r="228" spans="1:27" ht="13.2" x14ac:dyDescent="0.25">
      <c r="A228" s="45">
        <v>44255</v>
      </c>
      <c r="B228" s="46">
        <v>17463</v>
      </c>
      <c r="E228" s="4">
        <v>1</v>
      </c>
      <c r="F228" s="4">
        <v>17462</v>
      </c>
      <c r="G228" s="46">
        <v>886591</v>
      </c>
      <c r="I228" s="4">
        <v>44028</v>
      </c>
      <c r="K228" s="4">
        <v>842563</v>
      </c>
      <c r="L228" s="46">
        <v>4452</v>
      </c>
      <c r="N228" s="4">
        <v>3</v>
      </c>
      <c r="P228" s="4">
        <v>4449</v>
      </c>
      <c r="Q228" s="46">
        <v>7476</v>
      </c>
      <c r="R228" s="4">
        <v>95</v>
      </c>
      <c r="T228" s="4">
        <v>5333</v>
      </c>
      <c r="U228" s="4">
        <v>2048</v>
      </c>
      <c r="V228" s="46">
        <v>717950</v>
      </c>
      <c r="W228" s="4">
        <v>197</v>
      </c>
      <c r="X228" s="4">
        <v>28717</v>
      </c>
      <c r="Y228" s="4">
        <v>2311</v>
      </c>
      <c r="Z228" s="4">
        <v>686725</v>
      </c>
      <c r="AA228" s="47">
        <v>1633932</v>
      </c>
    </row>
    <row r="229" spans="1:27" ht="13.2" x14ac:dyDescent="0.25">
      <c r="A229" s="45">
        <v>44256</v>
      </c>
      <c r="B229" s="46">
        <v>17465</v>
      </c>
      <c r="E229" s="4">
        <v>1</v>
      </c>
      <c r="F229" s="4">
        <v>17464</v>
      </c>
      <c r="G229" s="46">
        <v>892380</v>
      </c>
      <c r="I229" s="4">
        <v>43016</v>
      </c>
      <c r="K229" s="4">
        <v>849364</v>
      </c>
      <c r="L229" s="46">
        <v>4486</v>
      </c>
      <c r="N229" s="4">
        <v>3</v>
      </c>
      <c r="P229" s="4">
        <v>4483</v>
      </c>
      <c r="Q229" s="46">
        <v>7489</v>
      </c>
      <c r="R229" s="4">
        <v>86</v>
      </c>
      <c r="T229" s="4">
        <v>5333</v>
      </c>
      <c r="U229" s="4">
        <v>2070</v>
      </c>
      <c r="V229" s="46">
        <v>719998</v>
      </c>
      <c r="W229" s="4">
        <v>175</v>
      </c>
      <c r="X229" s="4">
        <v>27536</v>
      </c>
      <c r="Y229" s="4">
        <v>2311</v>
      </c>
      <c r="Z229" s="4">
        <v>689976</v>
      </c>
      <c r="AA229" s="47">
        <v>1641818</v>
      </c>
    </row>
    <row r="230" spans="1:27" ht="13.2" x14ac:dyDescent="0.25">
      <c r="A230" s="45">
        <v>44257</v>
      </c>
      <c r="B230" s="46">
        <v>17469</v>
      </c>
      <c r="E230" s="4">
        <v>1</v>
      </c>
      <c r="F230" s="4">
        <v>17468</v>
      </c>
      <c r="G230" s="46">
        <v>893201</v>
      </c>
      <c r="I230" s="4">
        <v>39762</v>
      </c>
      <c r="K230" s="4">
        <v>853439</v>
      </c>
      <c r="L230" s="46">
        <v>4486</v>
      </c>
      <c r="N230" s="4">
        <v>2</v>
      </c>
      <c r="P230" s="4">
        <v>4484</v>
      </c>
      <c r="Q230" s="46">
        <v>7492</v>
      </c>
      <c r="R230" s="4">
        <v>74</v>
      </c>
      <c r="T230" s="4">
        <v>5333</v>
      </c>
      <c r="U230" s="4">
        <v>2085</v>
      </c>
      <c r="V230" s="46">
        <v>721613</v>
      </c>
      <c r="W230" s="4">
        <v>165</v>
      </c>
      <c r="X230" s="4">
        <v>25068</v>
      </c>
      <c r="Y230" s="4">
        <v>2311</v>
      </c>
      <c r="Z230" s="4">
        <v>694069</v>
      </c>
      <c r="AA230" s="47">
        <v>1644261</v>
      </c>
    </row>
    <row r="231" spans="1:27" ht="13.2" x14ac:dyDescent="0.25">
      <c r="A231" s="45">
        <v>44258</v>
      </c>
      <c r="B231" s="46">
        <v>17469</v>
      </c>
      <c r="E231" s="4">
        <v>1</v>
      </c>
      <c r="F231" s="4">
        <v>17468</v>
      </c>
      <c r="G231" s="46">
        <v>895034</v>
      </c>
      <c r="I231" s="4">
        <v>36067</v>
      </c>
      <c r="K231" s="4">
        <v>858967</v>
      </c>
      <c r="L231" s="46">
        <v>4505</v>
      </c>
      <c r="N231" s="4">
        <v>2</v>
      </c>
      <c r="P231" s="4">
        <v>4503</v>
      </c>
      <c r="Q231" s="46">
        <v>7505</v>
      </c>
      <c r="R231" s="4">
        <v>72</v>
      </c>
      <c r="T231" s="4">
        <v>5333</v>
      </c>
      <c r="U231" s="4">
        <v>2100</v>
      </c>
      <c r="V231" s="46">
        <v>723389</v>
      </c>
      <c r="W231" s="4">
        <v>160</v>
      </c>
      <c r="X231" s="4">
        <v>22614</v>
      </c>
      <c r="Y231" s="4">
        <v>2311</v>
      </c>
      <c r="Z231" s="4">
        <v>698304</v>
      </c>
      <c r="AA231" s="47">
        <v>1647902</v>
      </c>
    </row>
    <row r="232" spans="1:27" ht="13.2" x14ac:dyDescent="0.25">
      <c r="A232" s="45">
        <v>44259</v>
      </c>
      <c r="B232" s="46">
        <v>17476</v>
      </c>
      <c r="E232" s="4">
        <v>1</v>
      </c>
      <c r="F232" s="4">
        <v>17475</v>
      </c>
      <c r="G232" s="46">
        <v>903633</v>
      </c>
      <c r="I232" s="4">
        <v>36710</v>
      </c>
      <c r="K232" s="4">
        <v>866923</v>
      </c>
      <c r="L232" s="46">
        <v>4546</v>
      </c>
      <c r="N232" s="4">
        <v>1</v>
      </c>
      <c r="P232" s="4">
        <v>4545</v>
      </c>
      <c r="Q232" s="46">
        <v>7537</v>
      </c>
      <c r="R232" s="4">
        <v>75</v>
      </c>
      <c r="T232" s="4">
        <v>5333</v>
      </c>
      <c r="U232" s="4">
        <v>2129</v>
      </c>
      <c r="V232" s="46">
        <v>727084</v>
      </c>
      <c r="W232" s="4">
        <v>172</v>
      </c>
      <c r="X232" s="4">
        <v>21702</v>
      </c>
      <c r="Y232" s="4">
        <v>2311</v>
      </c>
      <c r="Z232" s="4">
        <v>702899</v>
      </c>
      <c r="AA232" s="47">
        <v>1660276</v>
      </c>
    </row>
    <row r="233" spans="1:27" ht="13.2" x14ac:dyDescent="0.25">
      <c r="A233" s="45">
        <v>44260</v>
      </c>
      <c r="B233" s="46">
        <v>17476</v>
      </c>
      <c r="E233" s="4">
        <v>1</v>
      </c>
      <c r="F233" s="4">
        <v>17475</v>
      </c>
      <c r="G233" s="46">
        <v>917412</v>
      </c>
      <c r="I233" s="4">
        <v>40960</v>
      </c>
      <c r="K233" s="4">
        <v>876452</v>
      </c>
      <c r="L233" s="46">
        <v>4578</v>
      </c>
      <c r="N233" s="4">
        <v>7</v>
      </c>
      <c r="P233" s="4">
        <v>4571</v>
      </c>
      <c r="Q233" s="46">
        <v>7553</v>
      </c>
      <c r="R233" s="4">
        <v>74</v>
      </c>
      <c r="T233" s="4">
        <v>5333</v>
      </c>
      <c r="U233" s="4">
        <v>2146</v>
      </c>
      <c r="V233" s="46">
        <v>732002</v>
      </c>
      <c r="W233" s="4">
        <v>165</v>
      </c>
      <c r="X233" s="4">
        <v>21808</v>
      </c>
      <c r="Y233" s="4">
        <v>2311</v>
      </c>
      <c r="Z233" s="4">
        <v>707718</v>
      </c>
      <c r="AA233" s="47">
        <v>1679021</v>
      </c>
    </row>
    <row r="234" spans="1:27" ht="13.2" x14ac:dyDescent="0.25">
      <c r="A234" s="45">
        <v>44261</v>
      </c>
      <c r="B234" s="46">
        <v>17476</v>
      </c>
      <c r="E234" s="4">
        <v>1</v>
      </c>
      <c r="F234" s="4">
        <v>17475</v>
      </c>
      <c r="G234" s="46">
        <v>927216</v>
      </c>
      <c r="I234" s="4">
        <v>45316</v>
      </c>
      <c r="K234" s="4">
        <v>881900</v>
      </c>
      <c r="L234" s="46">
        <v>4641</v>
      </c>
      <c r="N234" s="4">
        <v>11</v>
      </c>
      <c r="P234" s="4">
        <v>4630</v>
      </c>
      <c r="Q234" s="46">
        <v>7575</v>
      </c>
      <c r="R234" s="4">
        <v>76</v>
      </c>
      <c r="T234" s="4">
        <v>5333</v>
      </c>
      <c r="U234" s="4">
        <v>2166</v>
      </c>
      <c r="V234" s="46">
        <v>736043</v>
      </c>
      <c r="W234" s="4">
        <v>165</v>
      </c>
      <c r="X234" s="4">
        <v>22876</v>
      </c>
      <c r="Y234" s="4">
        <v>2311</v>
      </c>
      <c r="Z234" s="4">
        <v>710691</v>
      </c>
      <c r="AA234" s="47">
        <v>1692951</v>
      </c>
    </row>
    <row r="235" spans="1:27" ht="13.2" x14ac:dyDescent="0.25">
      <c r="A235" s="45">
        <v>44262</v>
      </c>
      <c r="B235" s="46">
        <v>17479</v>
      </c>
      <c r="E235" s="4">
        <v>1</v>
      </c>
      <c r="F235" s="4">
        <v>17478</v>
      </c>
      <c r="G235" s="46">
        <v>935157</v>
      </c>
      <c r="I235" s="4">
        <v>42752</v>
      </c>
      <c r="K235" s="4">
        <v>892405</v>
      </c>
      <c r="L235" s="46">
        <v>4695</v>
      </c>
      <c r="N235" s="4">
        <v>12</v>
      </c>
      <c r="P235" s="4">
        <v>4683</v>
      </c>
      <c r="Q235" s="46">
        <v>7596</v>
      </c>
      <c r="R235" s="4">
        <v>68</v>
      </c>
      <c r="T235" s="4">
        <v>5333</v>
      </c>
      <c r="U235" s="4">
        <v>2195</v>
      </c>
      <c r="V235" s="46">
        <v>739274</v>
      </c>
      <c r="W235" s="4">
        <v>170</v>
      </c>
      <c r="X235" s="4">
        <v>20169</v>
      </c>
      <c r="Y235" s="4">
        <v>2311</v>
      </c>
      <c r="Z235" s="4">
        <v>716624</v>
      </c>
      <c r="AA235" s="47">
        <v>1704201</v>
      </c>
    </row>
    <row r="236" spans="1:27" ht="13.2" x14ac:dyDescent="0.25">
      <c r="A236" s="45">
        <v>44263</v>
      </c>
      <c r="B236" s="46">
        <v>17481</v>
      </c>
      <c r="E236" s="4">
        <v>1</v>
      </c>
      <c r="F236" s="4">
        <v>17480</v>
      </c>
      <c r="G236" s="46">
        <v>943553</v>
      </c>
      <c r="I236" s="4">
        <v>49087</v>
      </c>
      <c r="K236" s="4">
        <v>894466</v>
      </c>
      <c r="L236" s="46">
        <v>4743</v>
      </c>
      <c r="N236" s="4">
        <v>12</v>
      </c>
      <c r="P236" s="4">
        <v>4731</v>
      </c>
      <c r="Q236" s="46">
        <v>7611</v>
      </c>
      <c r="R236" s="4">
        <v>76</v>
      </c>
      <c r="T236" s="4">
        <v>5333</v>
      </c>
      <c r="U236" s="4">
        <v>2202</v>
      </c>
      <c r="V236" s="46">
        <v>741605</v>
      </c>
      <c r="W236" s="4">
        <v>208</v>
      </c>
      <c r="X236" s="4">
        <v>21991</v>
      </c>
      <c r="Y236" s="4">
        <v>2311</v>
      </c>
      <c r="Z236" s="4">
        <v>717095</v>
      </c>
      <c r="AA236" s="47">
        <v>1714993</v>
      </c>
    </row>
    <row r="237" spans="1:27" ht="13.2" x14ac:dyDescent="0.25">
      <c r="A237" s="45">
        <v>44264</v>
      </c>
      <c r="B237" s="46">
        <v>17481</v>
      </c>
      <c r="E237" s="4">
        <v>1</v>
      </c>
      <c r="F237" s="4">
        <v>17480</v>
      </c>
      <c r="G237" s="46">
        <v>945905</v>
      </c>
      <c r="I237" s="4">
        <v>45606</v>
      </c>
      <c r="K237" s="4">
        <v>900299</v>
      </c>
      <c r="L237" s="46">
        <v>4743</v>
      </c>
      <c r="N237" s="4">
        <v>12</v>
      </c>
      <c r="P237" s="4">
        <v>4731</v>
      </c>
      <c r="Q237" s="46">
        <v>7613</v>
      </c>
      <c r="R237" s="4">
        <v>60</v>
      </c>
      <c r="T237" s="4">
        <v>5333</v>
      </c>
      <c r="U237" s="4">
        <v>2220</v>
      </c>
      <c r="V237" s="46">
        <v>742400</v>
      </c>
      <c r="W237" s="4">
        <v>192</v>
      </c>
      <c r="X237" s="4">
        <v>19539</v>
      </c>
      <c r="Y237" s="4">
        <v>2311</v>
      </c>
      <c r="Z237" s="4">
        <v>720358</v>
      </c>
      <c r="AA237" s="47">
        <v>1718142</v>
      </c>
    </row>
    <row r="238" spans="1:27" ht="13.2" x14ac:dyDescent="0.25">
      <c r="A238" s="45">
        <v>44265</v>
      </c>
      <c r="B238" s="46">
        <v>17485</v>
      </c>
      <c r="E238" s="4">
        <v>1</v>
      </c>
      <c r="F238" s="4">
        <v>17484</v>
      </c>
      <c r="G238" s="46">
        <v>947565</v>
      </c>
      <c r="I238" s="4">
        <v>41371</v>
      </c>
      <c r="K238" s="4">
        <v>906194</v>
      </c>
      <c r="L238" s="46">
        <v>4757</v>
      </c>
      <c r="N238" s="4">
        <v>12</v>
      </c>
      <c r="P238" s="4">
        <v>4745</v>
      </c>
      <c r="Q238" s="46">
        <v>7628</v>
      </c>
      <c r="R238" s="4">
        <v>55</v>
      </c>
      <c r="T238" s="4">
        <v>5333</v>
      </c>
      <c r="U238" s="4">
        <v>2240</v>
      </c>
      <c r="V238" s="46">
        <v>743890</v>
      </c>
      <c r="W238" s="4">
        <v>191</v>
      </c>
      <c r="X238" s="4">
        <v>17864</v>
      </c>
      <c r="Y238" s="4">
        <v>2311</v>
      </c>
      <c r="Z238" s="4">
        <v>723524</v>
      </c>
      <c r="AA238" s="47">
        <v>1721325</v>
      </c>
    </row>
    <row r="239" spans="1:27" ht="13.2" x14ac:dyDescent="0.25">
      <c r="A239" s="45">
        <v>44266</v>
      </c>
      <c r="B239" s="46">
        <v>17487</v>
      </c>
      <c r="E239" s="4">
        <v>1</v>
      </c>
      <c r="F239" s="4">
        <v>17486</v>
      </c>
      <c r="G239" s="46">
        <v>960815</v>
      </c>
      <c r="I239" s="4">
        <v>44639</v>
      </c>
      <c r="K239" s="4">
        <v>916176</v>
      </c>
      <c r="L239" s="46">
        <v>4776</v>
      </c>
      <c r="N239" s="4">
        <v>14</v>
      </c>
      <c r="P239" s="4">
        <v>4762</v>
      </c>
      <c r="Q239" s="46">
        <v>7645</v>
      </c>
      <c r="R239" s="4">
        <v>55</v>
      </c>
      <c r="T239" s="4">
        <v>5333</v>
      </c>
      <c r="U239" s="4">
        <v>2257</v>
      </c>
      <c r="V239" s="46">
        <v>748586</v>
      </c>
      <c r="W239" s="4">
        <v>206</v>
      </c>
      <c r="X239" s="4">
        <v>19379</v>
      </c>
      <c r="Y239" s="4">
        <v>2311</v>
      </c>
      <c r="Z239" s="4">
        <v>726690</v>
      </c>
      <c r="AA239" s="47">
        <v>1739309</v>
      </c>
    </row>
    <row r="240" spans="1:27" ht="13.2" x14ac:dyDescent="0.25">
      <c r="A240" s="45">
        <v>44267</v>
      </c>
      <c r="B240" s="46">
        <v>17504</v>
      </c>
      <c r="E240" s="4">
        <v>1</v>
      </c>
      <c r="F240" s="4">
        <v>17503</v>
      </c>
      <c r="G240" s="46">
        <v>962666</v>
      </c>
      <c r="I240" s="4">
        <v>40560</v>
      </c>
      <c r="K240" s="4">
        <v>922106</v>
      </c>
      <c r="L240" s="46">
        <v>4803</v>
      </c>
      <c r="N240" s="4">
        <v>19</v>
      </c>
      <c r="P240" s="4">
        <v>4784</v>
      </c>
      <c r="Q240" s="46">
        <v>7695</v>
      </c>
      <c r="R240" s="4">
        <v>72</v>
      </c>
      <c r="T240" s="4">
        <v>5333</v>
      </c>
      <c r="U240" s="4">
        <v>2290</v>
      </c>
      <c r="V240" s="46">
        <v>750353</v>
      </c>
      <c r="W240" s="4">
        <v>208</v>
      </c>
      <c r="X240" s="4">
        <v>17904</v>
      </c>
      <c r="Y240" s="4">
        <v>2311</v>
      </c>
      <c r="Z240" s="4">
        <v>729930</v>
      </c>
      <c r="AA240" s="47">
        <v>1743021</v>
      </c>
    </row>
    <row r="241" spans="1:27" ht="13.2" x14ac:dyDescent="0.25">
      <c r="A241" s="45">
        <v>44268</v>
      </c>
      <c r="B241" s="46">
        <v>17504</v>
      </c>
      <c r="E241" s="4">
        <v>1</v>
      </c>
      <c r="F241" s="4">
        <v>17503</v>
      </c>
      <c r="G241" s="46">
        <v>972395</v>
      </c>
      <c r="I241" s="4">
        <v>44581</v>
      </c>
      <c r="K241" s="4">
        <v>927814</v>
      </c>
      <c r="L241" s="46">
        <v>4803</v>
      </c>
      <c r="N241" s="4">
        <v>19</v>
      </c>
      <c r="P241" s="4">
        <v>4784</v>
      </c>
      <c r="Q241" s="46">
        <v>7698</v>
      </c>
      <c r="R241" s="4">
        <v>69</v>
      </c>
      <c r="T241" s="4">
        <v>5333</v>
      </c>
      <c r="U241" s="4">
        <v>2296</v>
      </c>
      <c r="V241" s="46">
        <v>753779</v>
      </c>
      <c r="W241" s="4">
        <v>195</v>
      </c>
      <c r="X241" s="4">
        <v>19258</v>
      </c>
      <c r="Y241" s="4">
        <v>2311</v>
      </c>
      <c r="Z241" s="4">
        <v>732015</v>
      </c>
      <c r="AA241" s="47">
        <v>1756179</v>
      </c>
    </row>
    <row r="242" spans="1:27" ht="13.2" x14ac:dyDescent="0.25">
      <c r="A242" s="45">
        <v>44269</v>
      </c>
      <c r="B242" s="46">
        <v>17504</v>
      </c>
      <c r="E242" s="4">
        <v>1</v>
      </c>
      <c r="F242" s="4">
        <v>17503</v>
      </c>
      <c r="G242" s="46">
        <v>979360</v>
      </c>
      <c r="I242" s="4">
        <v>47868</v>
      </c>
      <c r="K242" s="4">
        <v>931492</v>
      </c>
      <c r="L242" s="46">
        <v>4852</v>
      </c>
      <c r="N242" s="4">
        <v>20</v>
      </c>
      <c r="P242" s="4">
        <v>4832</v>
      </c>
      <c r="Q242" s="46">
        <v>7720</v>
      </c>
      <c r="R242" s="4">
        <v>84</v>
      </c>
      <c r="T242" s="4">
        <v>5333</v>
      </c>
      <c r="U242" s="4">
        <v>2303</v>
      </c>
      <c r="V242" s="46">
        <v>756544</v>
      </c>
      <c r="W242" s="4">
        <v>219</v>
      </c>
      <c r="X242" s="4">
        <v>20805</v>
      </c>
      <c r="Y242" s="4">
        <v>2311</v>
      </c>
      <c r="Z242" s="4">
        <v>733209</v>
      </c>
      <c r="AA242" s="47">
        <v>1765980</v>
      </c>
    </row>
    <row r="243" spans="1:27" ht="13.2" x14ac:dyDescent="0.25">
      <c r="A243" s="45">
        <v>44270</v>
      </c>
      <c r="B243" s="46">
        <v>17504</v>
      </c>
      <c r="E243" s="4">
        <v>1</v>
      </c>
      <c r="F243" s="4">
        <v>17503</v>
      </c>
      <c r="G243" s="46">
        <v>979825</v>
      </c>
      <c r="I243" s="4">
        <v>41020</v>
      </c>
      <c r="K243" s="4">
        <v>938805</v>
      </c>
      <c r="L243" s="46">
        <v>4880</v>
      </c>
      <c r="N243" s="4">
        <v>16</v>
      </c>
      <c r="P243" s="4">
        <v>4864</v>
      </c>
      <c r="Q243" s="46">
        <v>7740</v>
      </c>
      <c r="R243" s="4">
        <v>84</v>
      </c>
      <c r="T243" s="4">
        <v>5333</v>
      </c>
      <c r="U243" s="4">
        <v>2323</v>
      </c>
      <c r="V243" s="46">
        <v>757385</v>
      </c>
      <c r="W243" s="4">
        <v>254</v>
      </c>
      <c r="X243" s="4">
        <v>18240</v>
      </c>
      <c r="Y243" s="4">
        <v>2311</v>
      </c>
      <c r="Z243" s="4">
        <v>736580</v>
      </c>
      <c r="AA243" s="47">
        <v>1767334</v>
      </c>
    </row>
    <row r="244" spans="1:27" ht="13.2" x14ac:dyDescent="0.25">
      <c r="A244" s="45">
        <v>44271</v>
      </c>
      <c r="B244" s="46">
        <v>17504</v>
      </c>
      <c r="E244" s="4">
        <v>1</v>
      </c>
      <c r="F244" s="4">
        <v>17503</v>
      </c>
      <c r="G244" s="46">
        <v>987745</v>
      </c>
      <c r="I244" s="4">
        <v>41419</v>
      </c>
      <c r="K244" s="4">
        <v>946326</v>
      </c>
      <c r="L244" s="46">
        <v>4887</v>
      </c>
      <c r="N244" s="4">
        <v>16</v>
      </c>
      <c r="P244" s="4">
        <v>4871</v>
      </c>
      <c r="Q244" s="46">
        <v>7796</v>
      </c>
      <c r="R244" s="4">
        <v>75</v>
      </c>
      <c r="T244" s="4">
        <v>5384</v>
      </c>
      <c r="U244" s="4">
        <v>2337</v>
      </c>
      <c r="V244" s="46">
        <v>759394</v>
      </c>
      <c r="W244" s="4">
        <v>238</v>
      </c>
      <c r="X244" s="4">
        <v>17365</v>
      </c>
      <c r="Y244" s="4">
        <v>2311</v>
      </c>
      <c r="Z244" s="4">
        <v>739480</v>
      </c>
      <c r="AA244" s="47">
        <v>1777326</v>
      </c>
    </row>
    <row r="245" spans="1:27" ht="13.2" x14ac:dyDescent="0.25">
      <c r="A245" s="45">
        <v>44272</v>
      </c>
      <c r="B245" s="46">
        <v>17507</v>
      </c>
      <c r="E245" s="4">
        <v>1</v>
      </c>
      <c r="F245" s="4">
        <v>17506</v>
      </c>
      <c r="G245" s="46">
        <v>995035</v>
      </c>
      <c r="I245" s="4">
        <v>39830</v>
      </c>
      <c r="K245" s="4">
        <v>955205</v>
      </c>
      <c r="L245" s="46">
        <v>4943</v>
      </c>
      <c r="N245" s="4">
        <v>8</v>
      </c>
      <c r="P245" s="4">
        <v>4935</v>
      </c>
      <c r="Q245" s="46">
        <v>7829</v>
      </c>
      <c r="R245" s="4">
        <v>70</v>
      </c>
      <c r="T245" s="4">
        <v>5403</v>
      </c>
      <c r="U245" s="4">
        <v>2356</v>
      </c>
      <c r="V245" s="46">
        <v>762619</v>
      </c>
      <c r="W245" s="4">
        <v>230</v>
      </c>
      <c r="X245" s="4">
        <v>17072</v>
      </c>
      <c r="Y245" s="4">
        <v>2311</v>
      </c>
      <c r="Z245" s="4">
        <v>743006</v>
      </c>
      <c r="AA245" s="47">
        <v>1787933</v>
      </c>
    </row>
    <row r="246" spans="1:27" ht="13.2" x14ac:dyDescent="0.25">
      <c r="A246" s="45">
        <v>44273</v>
      </c>
      <c r="B246" s="46">
        <v>17512</v>
      </c>
      <c r="E246" s="4">
        <v>1</v>
      </c>
      <c r="F246" s="4">
        <v>17511</v>
      </c>
      <c r="G246" s="46">
        <v>1002426</v>
      </c>
      <c r="I246" s="4">
        <v>39394</v>
      </c>
      <c r="K246" s="4">
        <v>963032</v>
      </c>
      <c r="L246" s="46">
        <v>5012</v>
      </c>
      <c r="N246" s="4">
        <v>8</v>
      </c>
      <c r="P246" s="4">
        <v>5004</v>
      </c>
      <c r="Q246" s="46">
        <v>7888</v>
      </c>
      <c r="R246" s="4">
        <v>83</v>
      </c>
      <c r="T246" s="4">
        <v>5436</v>
      </c>
      <c r="U246" s="4">
        <v>2369</v>
      </c>
      <c r="V246" s="46">
        <v>766140</v>
      </c>
      <c r="W246" s="4">
        <v>241</v>
      </c>
      <c r="X246" s="4">
        <v>17178</v>
      </c>
      <c r="Y246" s="4">
        <v>2311</v>
      </c>
      <c r="Z246" s="4">
        <v>746410</v>
      </c>
      <c r="AA246" s="47">
        <v>1798978</v>
      </c>
    </row>
    <row r="247" spans="1:27" ht="13.2" x14ac:dyDescent="0.25">
      <c r="A247" s="45">
        <v>44274</v>
      </c>
      <c r="B247" s="46">
        <v>17527</v>
      </c>
      <c r="E247" s="4">
        <v>1</v>
      </c>
      <c r="F247" s="4">
        <v>17526</v>
      </c>
      <c r="G247" s="46">
        <v>1003713</v>
      </c>
      <c r="I247" s="4">
        <v>34021</v>
      </c>
      <c r="K247" s="4">
        <v>969692</v>
      </c>
      <c r="L247" s="46">
        <v>5058</v>
      </c>
      <c r="N247" s="4">
        <v>7</v>
      </c>
      <c r="P247" s="4">
        <v>5051</v>
      </c>
      <c r="Q247" s="46">
        <v>7903</v>
      </c>
      <c r="R247" s="4">
        <v>84</v>
      </c>
      <c r="T247" s="4">
        <v>5436</v>
      </c>
      <c r="U247" s="4">
        <v>2383</v>
      </c>
      <c r="V247" s="46">
        <v>768009</v>
      </c>
      <c r="W247" s="4">
        <v>200</v>
      </c>
      <c r="X247" s="4">
        <v>16389</v>
      </c>
      <c r="Y247" s="4">
        <v>2311</v>
      </c>
      <c r="Z247" s="4">
        <v>749109</v>
      </c>
      <c r="AA247" s="47">
        <v>1802210</v>
      </c>
    </row>
    <row r="248" spans="1:27" ht="13.2" x14ac:dyDescent="0.25">
      <c r="A248" s="45">
        <v>44275</v>
      </c>
      <c r="B248" s="46">
        <v>17527</v>
      </c>
      <c r="E248" s="4">
        <v>1</v>
      </c>
      <c r="F248" s="4">
        <v>17526</v>
      </c>
      <c r="G248" s="46">
        <v>1017886</v>
      </c>
      <c r="I248" s="4">
        <v>40476</v>
      </c>
      <c r="K248" s="4">
        <v>977410</v>
      </c>
      <c r="L248" s="46">
        <v>5097</v>
      </c>
      <c r="N248" s="4">
        <v>7</v>
      </c>
      <c r="P248" s="4">
        <v>5090</v>
      </c>
      <c r="Q248" s="46">
        <v>7917</v>
      </c>
      <c r="R248" s="4">
        <v>81</v>
      </c>
      <c r="T248" s="4">
        <v>5436</v>
      </c>
      <c r="U248" s="4">
        <v>2400</v>
      </c>
      <c r="V248" s="46">
        <v>772766</v>
      </c>
      <c r="W248" s="4">
        <v>205</v>
      </c>
      <c r="X248" s="4">
        <v>18291</v>
      </c>
      <c r="Y248" s="4">
        <v>2311</v>
      </c>
      <c r="Z248" s="4">
        <v>751959</v>
      </c>
      <c r="AA248" s="47">
        <v>1821193</v>
      </c>
    </row>
    <row r="249" spans="1:27" ht="13.2" x14ac:dyDescent="0.25">
      <c r="A249" s="45">
        <v>44276</v>
      </c>
      <c r="B249" s="46">
        <v>17527</v>
      </c>
      <c r="E249" s="4">
        <v>1</v>
      </c>
      <c r="F249" s="4">
        <f t="shared" ref="F249:F348" si="0">B249-E249</f>
        <v>17526</v>
      </c>
      <c r="G249" s="46">
        <v>1019291</v>
      </c>
      <c r="I249" s="4">
        <v>759</v>
      </c>
      <c r="K249" s="55">
        <f t="shared" ref="K249:K348" si="1">G249-I249</f>
        <v>1018532</v>
      </c>
      <c r="L249" s="46">
        <v>5117</v>
      </c>
      <c r="N249" s="4">
        <v>1</v>
      </c>
      <c r="P249" s="55">
        <f t="shared" ref="P249:P348" si="2">L249-N249</f>
        <v>5116</v>
      </c>
      <c r="Q249" s="46">
        <v>7930</v>
      </c>
      <c r="R249" s="4">
        <v>3</v>
      </c>
      <c r="T249" s="4">
        <v>5436</v>
      </c>
      <c r="U249" s="55">
        <f t="shared" ref="U249:U348" si="3">Q249-R249-T249</f>
        <v>2491</v>
      </c>
      <c r="V249" s="46">
        <v>774152</v>
      </c>
      <c r="W249" s="4">
        <v>22</v>
      </c>
      <c r="X249" s="4">
        <v>724</v>
      </c>
      <c r="Y249" s="4">
        <v>2311</v>
      </c>
      <c r="Z249" s="55">
        <f t="shared" ref="Z249:Z348" si="4">V249-W249-X249-Y249</f>
        <v>771095</v>
      </c>
      <c r="AA249" s="52">
        <f t="shared" ref="AA249:AA348" si="5">B249+G249+L249+Q249+V249</f>
        <v>1824017</v>
      </c>
    </row>
    <row r="250" spans="1:27" ht="13.2" x14ac:dyDescent="0.25">
      <c r="A250" s="45">
        <v>44277</v>
      </c>
      <c r="B250" s="46">
        <v>17527</v>
      </c>
      <c r="E250" s="4">
        <v>1</v>
      </c>
      <c r="F250" s="4">
        <f t="shared" si="0"/>
        <v>17526</v>
      </c>
      <c r="G250" s="46">
        <v>1034025</v>
      </c>
      <c r="I250" s="4">
        <v>10377</v>
      </c>
      <c r="K250" s="55">
        <f t="shared" si="1"/>
        <v>1023648</v>
      </c>
      <c r="L250" s="46">
        <v>5141</v>
      </c>
      <c r="N250" s="4">
        <v>1</v>
      </c>
      <c r="P250" s="55">
        <f t="shared" si="2"/>
        <v>5140</v>
      </c>
      <c r="Q250" s="46">
        <v>7996</v>
      </c>
      <c r="R250" s="4">
        <v>14</v>
      </c>
      <c r="T250" s="4">
        <v>5480</v>
      </c>
      <c r="U250" s="55">
        <f t="shared" si="3"/>
        <v>2502</v>
      </c>
      <c r="V250" s="46">
        <v>778309</v>
      </c>
      <c r="W250" s="4">
        <v>38</v>
      </c>
      <c r="X250" s="4">
        <v>3831</v>
      </c>
      <c r="Y250" s="4">
        <v>2311</v>
      </c>
      <c r="Z250" s="55">
        <f t="shared" si="4"/>
        <v>772129</v>
      </c>
      <c r="AA250" s="52">
        <f t="shared" si="5"/>
        <v>1842998</v>
      </c>
    </row>
    <row r="251" spans="1:27" ht="13.2" x14ac:dyDescent="0.25">
      <c r="A251" s="45">
        <v>44278</v>
      </c>
      <c r="B251" s="46">
        <v>17529</v>
      </c>
      <c r="E251" s="4">
        <v>1</v>
      </c>
      <c r="F251" s="4">
        <f t="shared" si="0"/>
        <v>17528</v>
      </c>
      <c r="G251" s="46">
        <v>1039836</v>
      </c>
      <c r="I251" s="4">
        <v>13526</v>
      </c>
      <c r="K251" s="55">
        <f t="shared" si="1"/>
        <v>1026310</v>
      </c>
      <c r="L251" s="46">
        <v>5141</v>
      </c>
      <c r="N251" s="4">
        <v>1</v>
      </c>
      <c r="P251" s="55">
        <f t="shared" si="2"/>
        <v>5140</v>
      </c>
      <c r="Q251" s="46">
        <v>7997</v>
      </c>
      <c r="R251" s="4">
        <v>14</v>
      </c>
      <c r="T251" s="4">
        <v>5480</v>
      </c>
      <c r="U251" s="55">
        <f t="shared" si="3"/>
        <v>2503</v>
      </c>
      <c r="V251" s="46">
        <v>780142</v>
      </c>
      <c r="W251" s="4">
        <v>38</v>
      </c>
      <c r="X251" s="4">
        <v>5280</v>
      </c>
      <c r="Y251" s="4">
        <v>2311</v>
      </c>
      <c r="Z251" s="55">
        <f t="shared" si="4"/>
        <v>772513</v>
      </c>
      <c r="AA251" s="52">
        <f t="shared" si="5"/>
        <v>1850645</v>
      </c>
    </row>
    <row r="252" spans="1:27" ht="13.2" x14ac:dyDescent="0.25">
      <c r="A252" s="45">
        <v>44279</v>
      </c>
      <c r="B252" s="46">
        <v>17529</v>
      </c>
      <c r="E252" s="4">
        <v>1</v>
      </c>
      <c r="F252" s="4">
        <f t="shared" si="0"/>
        <v>17528</v>
      </c>
      <c r="G252" s="46">
        <v>1047994</v>
      </c>
      <c r="I252" s="4">
        <v>18546</v>
      </c>
      <c r="K252" s="55">
        <f t="shared" si="1"/>
        <v>1029448</v>
      </c>
      <c r="L252" s="46">
        <v>5182</v>
      </c>
      <c r="N252" s="4">
        <v>2</v>
      </c>
      <c r="P252" s="55">
        <f t="shared" si="2"/>
        <v>5180</v>
      </c>
      <c r="Q252" s="46">
        <v>8054</v>
      </c>
      <c r="R252" s="4">
        <v>16</v>
      </c>
      <c r="T252" s="4">
        <v>5517</v>
      </c>
      <c r="U252" s="55">
        <f t="shared" si="3"/>
        <v>2521</v>
      </c>
      <c r="V252" s="46">
        <v>783708</v>
      </c>
      <c r="W252" s="4">
        <v>56</v>
      </c>
      <c r="X252" s="4">
        <v>7462</v>
      </c>
      <c r="Y252" s="4">
        <v>2311</v>
      </c>
      <c r="Z252" s="55">
        <f t="shared" si="4"/>
        <v>773879</v>
      </c>
      <c r="AA252" s="52">
        <f t="shared" si="5"/>
        <v>1862467</v>
      </c>
    </row>
    <row r="253" spans="1:27" ht="13.2" x14ac:dyDescent="0.25">
      <c r="A253" s="45">
        <v>44280</v>
      </c>
      <c r="B253" s="46">
        <v>17533</v>
      </c>
      <c r="E253" s="4">
        <v>1</v>
      </c>
      <c r="F253" s="4">
        <f t="shared" si="0"/>
        <v>17532</v>
      </c>
      <c r="G253" s="46">
        <v>1056685</v>
      </c>
      <c r="I253" s="4">
        <v>24597</v>
      </c>
      <c r="K253" s="55">
        <f t="shared" si="1"/>
        <v>1032088</v>
      </c>
      <c r="L253" s="46">
        <v>5249</v>
      </c>
      <c r="N253" s="4">
        <v>2</v>
      </c>
      <c r="P253" s="55">
        <f t="shared" si="2"/>
        <v>5247</v>
      </c>
      <c r="Q253" s="46">
        <v>8094</v>
      </c>
      <c r="R253" s="4">
        <v>21</v>
      </c>
      <c r="T253" s="4">
        <v>5543</v>
      </c>
      <c r="U253" s="55">
        <f t="shared" si="3"/>
        <v>2530</v>
      </c>
      <c r="V253" s="46">
        <v>787924</v>
      </c>
      <c r="W253" s="4">
        <v>91</v>
      </c>
      <c r="X253" s="4">
        <v>10327</v>
      </c>
      <c r="Y253" s="4">
        <v>2311</v>
      </c>
      <c r="Z253" s="55">
        <f t="shared" si="4"/>
        <v>775195</v>
      </c>
      <c r="AA253" s="52">
        <f t="shared" si="5"/>
        <v>1875485</v>
      </c>
    </row>
    <row r="254" spans="1:27" ht="13.2" x14ac:dyDescent="0.25">
      <c r="A254" s="45">
        <v>44281</v>
      </c>
      <c r="B254" s="46">
        <v>17537</v>
      </c>
      <c r="E254" s="4">
        <v>1</v>
      </c>
      <c r="F254" s="4">
        <f t="shared" si="0"/>
        <v>17536</v>
      </c>
      <c r="G254" s="46">
        <v>1065846</v>
      </c>
      <c r="I254" s="4">
        <v>30943</v>
      </c>
      <c r="K254" s="55">
        <f t="shared" si="1"/>
        <v>1034903</v>
      </c>
      <c r="L254" s="46">
        <v>5278</v>
      </c>
      <c r="N254" s="4">
        <v>2</v>
      </c>
      <c r="P254" s="55">
        <f t="shared" si="2"/>
        <v>5276</v>
      </c>
      <c r="Q254" s="46">
        <v>8110</v>
      </c>
      <c r="R254" s="4">
        <v>30</v>
      </c>
      <c r="T254" s="4">
        <v>5543</v>
      </c>
      <c r="U254" s="55">
        <f t="shared" si="3"/>
        <v>2537</v>
      </c>
      <c r="V254" s="46">
        <v>791467</v>
      </c>
      <c r="W254" s="4">
        <v>102</v>
      </c>
      <c r="X254" s="4">
        <v>12542</v>
      </c>
      <c r="Y254" s="4">
        <v>2311</v>
      </c>
      <c r="Z254" s="55">
        <f t="shared" si="4"/>
        <v>776512</v>
      </c>
      <c r="AA254" s="52">
        <f t="shared" si="5"/>
        <v>1888238</v>
      </c>
    </row>
    <row r="255" spans="1:27" ht="13.2" x14ac:dyDescent="0.25">
      <c r="A255" s="45">
        <v>44282</v>
      </c>
      <c r="B255" s="46">
        <v>17540</v>
      </c>
      <c r="E255" s="4">
        <v>1</v>
      </c>
      <c r="F255" s="4">
        <f t="shared" si="0"/>
        <v>17539</v>
      </c>
      <c r="G255" s="46">
        <v>1075628</v>
      </c>
      <c r="I255" s="4">
        <v>37354</v>
      </c>
      <c r="K255" s="55">
        <f t="shared" si="1"/>
        <v>1038274</v>
      </c>
      <c r="L255" s="46">
        <v>5309</v>
      </c>
      <c r="N255" s="4">
        <v>3</v>
      </c>
      <c r="P255" s="55">
        <f t="shared" si="2"/>
        <v>5306</v>
      </c>
      <c r="Q255" s="46">
        <v>8182</v>
      </c>
      <c r="R255" s="4">
        <v>36</v>
      </c>
      <c r="T255" s="4">
        <v>5587</v>
      </c>
      <c r="U255" s="55">
        <f t="shared" si="3"/>
        <v>2559</v>
      </c>
      <c r="V255" s="46">
        <v>795425</v>
      </c>
      <c r="W255" s="4">
        <v>119</v>
      </c>
      <c r="X255" s="4">
        <v>15131</v>
      </c>
      <c r="Y255" s="4">
        <v>2311</v>
      </c>
      <c r="Z255" s="55">
        <f t="shared" si="4"/>
        <v>777864</v>
      </c>
      <c r="AA255" s="52">
        <f t="shared" si="5"/>
        <v>1902084</v>
      </c>
    </row>
    <row r="256" spans="1:27" ht="13.2" x14ac:dyDescent="0.25">
      <c r="A256" s="45">
        <v>44283</v>
      </c>
      <c r="B256" s="46">
        <v>17540</v>
      </c>
      <c r="E256" s="4">
        <v>1</v>
      </c>
      <c r="F256" s="4">
        <f t="shared" si="0"/>
        <v>17539</v>
      </c>
      <c r="G256" s="46">
        <v>1085207</v>
      </c>
      <c r="I256" s="4">
        <v>42399</v>
      </c>
      <c r="K256" s="55">
        <f t="shared" si="1"/>
        <v>1042808</v>
      </c>
      <c r="L256" s="46">
        <v>5349</v>
      </c>
      <c r="N256" s="4">
        <v>4</v>
      </c>
      <c r="P256" s="55">
        <f t="shared" si="2"/>
        <v>5345</v>
      </c>
      <c r="Q256" s="46">
        <v>8231</v>
      </c>
      <c r="R256" s="4">
        <v>44</v>
      </c>
      <c r="T256" s="4">
        <v>5620</v>
      </c>
      <c r="U256" s="55">
        <f t="shared" si="3"/>
        <v>2567</v>
      </c>
      <c r="V256" s="46">
        <v>799308</v>
      </c>
      <c r="W256" s="4">
        <v>116</v>
      </c>
      <c r="X256" s="4">
        <v>17039</v>
      </c>
      <c r="Y256" s="4">
        <v>2311</v>
      </c>
      <c r="Z256" s="55">
        <f t="shared" si="4"/>
        <v>779842</v>
      </c>
      <c r="AA256" s="52">
        <f t="shared" si="5"/>
        <v>1915635</v>
      </c>
    </row>
    <row r="257" spans="1:27" ht="13.2" x14ac:dyDescent="0.25">
      <c r="A257" s="45">
        <v>44284</v>
      </c>
      <c r="B257" s="46">
        <v>17540</v>
      </c>
      <c r="E257" s="4">
        <v>1</v>
      </c>
      <c r="F257" s="4">
        <f t="shared" si="0"/>
        <v>17539</v>
      </c>
      <c r="G257" s="46">
        <v>1093878</v>
      </c>
      <c r="I257" s="4">
        <v>46834</v>
      </c>
      <c r="K257" s="55">
        <f t="shared" si="1"/>
        <v>1047044</v>
      </c>
      <c r="L257" s="46">
        <v>5365</v>
      </c>
      <c r="N257" s="4">
        <v>4</v>
      </c>
      <c r="P257" s="55">
        <f t="shared" si="2"/>
        <v>5361</v>
      </c>
      <c r="Q257" s="46">
        <v>8270</v>
      </c>
      <c r="R257" s="4">
        <v>52</v>
      </c>
      <c r="T257" s="4">
        <v>5648</v>
      </c>
      <c r="U257" s="55">
        <f t="shared" si="3"/>
        <v>2570</v>
      </c>
      <c r="V257" s="46">
        <v>801759</v>
      </c>
      <c r="W257" s="4">
        <v>138</v>
      </c>
      <c r="X257" s="4">
        <v>18363</v>
      </c>
      <c r="Y257" s="4">
        <v>2311</v>
      </c>
      <c r="Z257" s="55">
        <f t="shared" si="4"/>
        <v>780947</v>
      </c>
      <c r="AA257" s="52">
        <f t="shared" si="5"/>
        <v>1926812</v>
      </c>
    </row>
    <row r="258" spans="1:27" ht="13.2" x14ac:dyDescent="0.25">
      <c r="A258" s="45">
        <v>44285</v>
      </c>
      <c r="B258" s="46">
        <v>17540</v>
      </c>
      <c r="E258" s="4">
        <v>1</v>
      </c>
      <c r="F258" s="4">
        <f t="shared" si="0"/>
        <v>17539</v>
      </c>
      <c r="G258" s="46">
        <v>1101140</v>
      </c>
      <c r="I258" s="4">
        <v>51032</v>
      </c>
      <c r="K258" s="55">
        <f t="shared" si="1"/>
        <v>1050108</v>
      </c>
      <c r="L258" s="46">
        <v>5365</v>
      </c>
      <c r="N258" s="4">
        <v>4</v>
      </c>
      <c r="P258" s="55">
        <f t="shared" si="2"/>
        <v>5361</v>
      </c>
      <c r="Q258" s="46">
        <v>8320</v>
      </c>
      <c r="R258" s="4">
        <v>52</v>
      </c>
      <c r="T258" s="4">
        <v>5690</v>
      </c>
      <c r="U258" s="55">
        <f t="shared" si="3"/>
        <v>2578</v>
      </c>
      <c r="V258" s="46">
        <v>803856</v>
      </c>
      <c r="W258" s="4">
        <v>144</v>
      </c>
      <c r="X258" s="4">
        <v>19550</v>
      </c>
      <c r="Y258" s="4">
        <v>2311</v>
      </c>
      <c r="Z258" s="55">
        <f t="shared" si="4"/>
        <v>781851</v>
      </c>
      <c r="AA258" s="52">
        <f t="shared" si="5"/>
        <v>1936221</v>
      </c>
    </row>
    <row r="259" spans="1:27" ht="13.2" x14ac:dyDescent="0.25">
      <c r="A259" s="45">
        <v>44286</v>
      </c>
      <c r="B259" s="46">
        <v>17544</v>
      </c>
      <c r="E259" s="4">
        <v>1</v>
      </c>
      <c r="F259" s="4">
        <f t="shared" si="0"/>
        <v>17543</v>
      </c>
      <c r="G259" s="46">
        <v>1105780</v>
      </c>
      <c r="I259" s="4">
        <v>51942</v>
      </c>
      <c r="K259" s="55">
        <f t="shared" si="1"/>
        <v>1053838</v>
      </c>
      <c r="L259" s="46">
        <v>5393</v>
      </c>
      <c r="N259" s="4">
        <v>4</v>
      </c>
      <c r="P259" s="55">
        <f t="shared" si="2"/>
        <v>5389</v>
      </c>
      <c r="Q259" s="46">
        <v>8375</v>
      </c>
      <c r="R259" s="4">
        <v>65</v>
      </c>
      <c r="T259" s="4">
        <v>5728</v>
      </c>
      <c r="U259" s="55">
        <f t="shared" si="3"/>
        <v>2582</v>
      </c>
      <c r="V259" s="46">
        <v>806067</v>
      </c>
      <c r="W259" s="4">
        <v>146</v>
      </c>
      <c r="X259" s="4">
        <v>20005</v>
      </c>
      <c r="Y259" s="4">
        <v>2311</v>
      </c>
      <c r="Z259" s="55">
        <f t="shared" si="4"/>
        <v>783605</v>
      </c>
      <c r="AA259" s="52">
        <f t="shared" si="5"/>
        <v>1943159</v>
      </c>
    </row>
    <row r="260" spans="1:27" ht="13.2" x14ac:dyDescent="0.25">
      <c r="A260" s="45">
        <v>44287</v>
      </c>
      <c r="B260" s="46">
        <v>17545</v>
      </c>
      <c r="E260" s="4">
        <v>1</v>
      </c>
      <c r="F260" s="4">
        <f t="shared" si="0"/>
        <v>17544</v>
      </c>
      <c r="G260" s="46">
        <v>1114093</v>
      </c>
      <c r="I260" s="4">
        <v>53456</v>
      </c>
      <c r="K260" s="55">
        <f t="shared" si="1"/>
        <v>1060637</v>
      </c>
      <c r="L260" s="46">
        <v>5423</v>
      </c>
      <c r="N260" s="4">
        <v>5</v>
      </c>
      <c r="P260" s="55">
        <f t="shared" si="2"/>
        <v>5418</v>
      </c>
      <c r="Q260" s="46">
        <v>8437</v>
      </c>
      <c r="R260" s="4">
        <v>69</v>
      </c>
      <c r="T260" s="4">
        <v>5753</v>
      </c>
      <c r="U260" s="55">
        <f t="shared" si="3"/>
        <v>2615</v>
      </c>
      <c r="V260" s="46">
        <v>809506</v>
      </c>
      <c r="W260" s="4">
        <v>142</v>
      </c>
      <c r="X260" s="4">
        <v>20541</v>
      </c>
      <c r="Y260" s="4">
        <v>2311</v>
      </c>
      <c r="Z260" s="55">
        <f t="shared" si="4"/>
        <v>786512</v>
      </c>
      <c r="AA260" s="52">
        <f t="shared" si="5"/>
        <v>1955004</v>
      </c>
    </row>
    <row r="261" spans="1:27" ht="13.2" x14ac:dyDescent="0.25">
      <c r="A261" s="45">
        <v>44288</v>
      </c>
      <c r="B261" s="46">
        <v>17546</v>
      </c>
      <c r="E261" s="4">
        <v>1</v>
      </c>
      <c r="F261" s="4">
        <f t="shared" si="0"/>
        <v>17545</v>
      </c>
      <c r="G261" s="46">
        <v>1122661</v>
      </c>
      <c r="I261" s="4">
        <v>52397</v>
      </c>
      <c r="K261" s="55">
        <f t="shared" si="1"/>
        <v>1070264</v>
      </c>
      <c r="L261" s="46">
        <v>5434</v>
      </c>
      <c r="N261" s="4">
        <v>4</v>
      </c>
      <c r="P261" s="55">
        <f t="shared" si="2"/>
        <v>5430</v>
      </c>
      <c r="Q261" s="46">
        <v>8478</v>
      </c>
      <c r="R261" s="4">
        <v>61</v>
      </c>
      <c r="T261" s="4">
        <v>5791</v>
      </c>
      <c r="U261" s="55">
        <f t="shared" si="3"/>
        <v>2626</v>
      </c>
      <c r="V261" s="46">
        <v>812358</v>
      </c>
      <c r="W261" s="4">
        <v>152</v>
      </c>
      <c r="X261" s="4">
        <v>19955</v>
      </c>
      <c r="Y261" s="4">
        <v>2311</v>
      </c>
      <c r="Z261" s="55">
        <f t="shared" si="4"/>
        <v>789940</v>
      </c>
      <c r="AA261" s="52">
        <f t="shared" si="5"/>
        <v>1966477</v>
      </c>
    </row>
    <row r="262" spans="1:27" ht="13.2" x14ac:dyDescent="0.25">
      <c r="A262" s="45">
        <v>44289</v>
      </c>
      <c r="B262" s="46">
        <v>17546</v>
      </c>
      <c r="E262" s="4">
        <v>1</v>
      </c>
      <c r="F262" s="4">
        <f t="shared" si="0"/>
        <v>17545</v>
      </c>
      <c r="G262" s="46">
        <v>1129975</v>
      </c>
      <c r="I262" s="4">
        <v>53980</v>
      </c>
      <c r="K262" s="55">
        <f t="shared" si="1"/>
        <v>1075995</v>
      </c>
      <c r="L262" s="46">
        <v>5460</v>
      </c>
      <c r="N262" s="4">
        <v>4</v>
      </c>
      <c r="P262" s="55">
        <f t="shared" si="2"/>
        <v>5456</v>
      </c>
      <c r="Q262" s="46">
        <v>8539</v>
      </c>
      <c r="R262" s="4">
        <v>62</v>
      </c>
      <c r="T262" s="4">
        <v>5832</v>
      </c>
      <c r="U262" s="55">
        <f t="shared" si="3"/>
        <v>2645</v>
      </c>
      <c r="V262" s="46">
        <v>814703</v>
      </c>
      <c r="W262" s="4">
        <v>141</v>
      </c>
      <c r="X262" s="4">
        <v>20203</v>
      </c>
      <c r="Y262" s="4">
        <v>2311</v>
      </c>
      <c r="Z262" s="55">
        <f t="shared" si="4"/>
        <v>792048</v>
      </c>
      <c r="AA262" s="52">
        <f t="shared" si="5"/>
        <v>1976223</v>
      </c>
    </row>
    <row r="263" spans="1:27" ht="13.2" x14ac:dyDescent="0.25">
      <c r="A263" s="45">
        <v>44290</v>
      </c>
      <c r="B263" s="46">
        <v>17548</v>
      </c>
      <c r="E263" s="4">
        <v>1</v>
      </c>
      <c r="F263" s="4">
        <f t="shared" si="0"/>
        <v>17547</v>
      </c>
      <c r="G263" s="46">
        <v>1130134</v>
      </c>
      <c r="I263" s="4">
        <v>50709</v>
      </c>
      <c r="K263" s="55">
        <f t="shared" si="1"/>
        <v>1079425</v>
      </c>
      <c r="L263" s="46">
        <v>5460</v>
      </c>
      <c r="N263" s="4">
        <v>4</v>
      </c>
      <c r="P263" s="55">
        <f t="shared" si="2"/>
        <v>5456</v>
      </c>
      <c r="Q263" s="46">
        <v>8582</v>
      </c>
      <c r="R263" s="4">
        <v>64</v>
      </c>
      <c r="T263" s="4">
        <v>5874</v>
      </c>
      <c r="U263" s="55">
        <f t="shared" si="3"/>
        <v>2644</v>
      </c>
      <c r="V263" s="46">
        <v>814718</v>
      </c>
      <c r="W263" s="4">
        <v>124</v>
      </c>
      <c r="X263" s="4">
        <v>18958</v>
      </c>
      <c r="Y263" s="4">
        <v>2311</v>
      </c>
      <c r="Z263" s="55">
        <f t="shared" si="4"/>
        <v>793325</v>
      </c>
      <c r="AA263" s="52">
        <f t="shared" si="5"/>
        <v>1976442</v>
      </c>
    </row>
    <row r="264" spans="1:27" ht="13.2" x14ac:dyDescent="0.25">
      <c r="A264" s="45">
        <v>44291</v>
      </c>
      <c r="B264" s="46">
        <v>17548</v>
      </c>
      <c r="E264" s="4">
        <v>1</v>
      </c>
      <c r="F264" s="4">
        <f t="shared" si="0"/>
        <v>17547</v>
      </c>
      <c r="G264" s="46">
        <v>1137731</v>
      </c>
      <c r="I264" s="4">
        <v>48987</v>
      </c>
      <c r="K264" s="55">
        <f t="shared" si="1"/>
        <v>1088744</v>
      </c>
      <c r="L264" s="46">
        <v>5483</v>
      </c>
      <c r="N264" s="4">
        <v>3</v>
      </c>
      <c r="P264" s="55">
        <f t="shared" si="2"/>
        <v>5480</v>
      </c>
      <c r="Q264" s="46">
        <v>8638</v>
      </c>
      <c r="R264" s="4">
        <v>69</v>
      </c>
      <c r="T264" s="4">
        <v>5908</v>
      </c>
      <c r="U264" s="55">
        <f t="shared" si="3"/>
        <v>2661</v>
      </c>
      <c r="V264" s="46">
        <v>817254</v>
      </c>
      <c r="W264" s="4">
        <v>113</v>
      </c>
      <c r="X264" s="4">
        <v>18788</v>
      </c>
      <c r="Y264" s="4">
        <v>2311</v>
      </c>
      <c r="Z264" s="55">
        <f t="shared" si="4"/>
        <v>796042</v>
      </c>
      <c r="AA264" s="52">
        <f t="shared" si="5"/>
        <v>1986654</v>
      </c>
    </row>
    <row r="265" spans="1:27" ht="13.2" x14ac:dyDescent="0.25">
      <c r="A265" s="45">
        <v>44292</v>
      </c>
      <c r="B265" s="46">
        <v>17548</v>
      </c>
      <c r="E265" s="4">
        <v>1</v>
      </c>
      <c r="F265" s="4">
        <f t="shared" si="0"/>
        <v>17547</v>
      </c>
      <c r="G265" s="46">
        <v>1140065</v>
      </c>
      <c r="I265" s="4">
        <v>43974</v>
      </c>
      <c r="K265" s="55">
        <f t="shared" si="1"/>
        <v>1096091</v>
      </c>
      <c r="L265" s="46">
        <v>5486</v>
      </c>
      <c r="N265" s="4">
        <v>3</v>
      </c>
      <c r="P265" s="55">
        <f t="shared" si="2"/>
        <v>5483</v>
      </c>
      <c r="Q265" s="46">
        <v>8688</v>
      </c>
      <c r="R265" s="4">
        <v>59</v>
      </c>
      <c r="T265" s="4">
        <v>5956</v>
      </c>
      <c r="U265" s="55">
        <f t="shared" si="3"/>
        <v>2673</v>
      </c>
      <c r="V265" s="46">
        <v>818267</v>
      </c>
      <c r="W265" s="4">
        <v>96</v>
      </c>
      <c r="X265" s="4">
        <v>17420</v>
      </c>
      <c r="Y265" s="4">
        <v>2311</v>
      </c>
      <c r="Z265" s="55">
        <f t="shared" si="4"/>
        <v>798440</v>
      </c>
      <c r="AA265" s="52">
        <f t="shared" si="5"/>
        <v>1990054</v>
      </c>
    </row>
    <row r="266" spans="1:27" ht="13.2" x14ac:dyDescent="0.25">
      <c r="A266" s="45">
        <v>44293</v>
      </c>
      <c r="B266" s="46">
        <v>17549</v>
      </c>
      <c r="E266" s="4">
        <v>1</v>
      </c>
      <c r="F266" s="4">
        <f t="shared" si="0"/>
        <v>17548</v>
      </c>
      <c r="G266" s="46">
        <v>1140492</v>
      </c>
      <c r="I266" s="4">
        <v>37967</v>
      </c>
      <c r="K266" s="55">
        <f t="shared" si="1"/>
        <v>1102525</v>
      </c>
      <c r="L266" s="46">
        <v>5507</v>
      </c>
      <c r="N266" s="4">
        <v>3</v>
      </c>
      <c r="P266" s="55">
        <f t="shared" si="2"/>
        <v>5504</v>
      </c>
      <c r="Q266" s="46">
        <v>8736</v>
      </c>
      <c r="R266" s="4">
        <v>57</v>
      </c>
      <c r="T266" s="4">
        <v>5995</v>
      </c>
      <c r="U266" s="55">
        <f t="shared" si="3"/>
        <v>2684</v>
      </c>
      <c r="V266" s="46">
        <v>819343</v>
      </c>
      <c r="W266" s="4">
        <v>135</v>
      </c>
      <c r="X266" s="4">
        <v>15858</v>
      </c>
      <c r="Y266" s="4">
        <v>2311</v>
      </c>
      <c r="Z266" s="55">
        <f t="shared" si="4"/>
        <v>801039</v>
      </c>
      <c r="AA266" s="52">
        <f t="shared" si="5"/>
        <v>1991627</v>
      </c>
    </row>
    <row r="267" spans="1:27" ht="13.2" x14ac:dyDescent="0.25">
      <c r="A267" s="45">
        <v>44294</v>
      </c>
      <c r="B267" s="46">
        <v>17549</v>
      </c>
      <c r="E267" s="4">
        <v>1</v>
      </c>
      <c r="F267" s="4">
        <f t="shared" si="0"/>
        <v>17548</v>
      </c>
      <c r="G267" s="46">
        <v>1154318</v>
      </c>
      <c r="I267" s="4">
        <v>41851</v>
      </c>
      <c r="K267" s="55">
        <f t="shared" si="1"/>
        <v>1112467</v>
      </c>
      <c r="L267" s="46">
        <v>5515</v>
      </c>
      <c r="N267" s="4">
        <v>2</v>
      </c>
      <c r="P267" s="55">
        <f t="shared" si="2"/>
        <v>5513</v>
      </c>
      <c r="Q267" s="46">
        <v>8796</v>
      </c>
      <c r="R267" s="4">
        <v>57</v>
      </c>
      <c r="T267" s="4">
        <v>6035</v>
      </c>
      <c r="U267" s="55">
        <f t="shared" si="3"/>
        <v>2704</v>
      </c>
      <c r="V267" s="46">
        <v>824298</v>
      </c>
      <c r="W267" s="4">
        <v>112</v>
      </c>
      <c r="X267" s="4">
        <v>17007</v>
      </c>
      <c r="Y267" s="4">
        <v>2311</v>
      </c>
      <c r="Z267" s="55">
        <f t="shared" si="4"/>
        <v>804868</v>
      </c>
      <c r="AA267" s="52">
        <f t="shared" si="5"/>
        <v>2010476</v>
      </c>
    </row>
    <row r="268" spans="1:27" ht="13.2" x14ac:dyDescent="0.25">
      <c r="A268" s="45">
        <v>44295</v>
      </c>
      <c r="B268" s="46">
        <v>17549</v>
      </c>
      <c r="E268" s="4">
        <v>1</v>
      </c>
      <c r="F268" s="4">
        <f t="shared" si="0"/>
        <v>17548</v>
      </c>
      <c r="G268" s="46">
        <v>1161526</v>
      </c>
      <c r="I268" s="4">
        <v>40789</v>
      </c>
      <c r="K268" s="55">
        <f t="shared" si="1"/>
        <v>1120737</v>
      </c>
      <c r="L268" s="46">
        <v>5536</v>
      </c>
      <c r="N268" s="4">
        <v>2</v>
      </c>
      <c r="P268" s="55">
        <f t="shared" si="2"/>
        <v>5534</v>
      </c>
      <c r="Q268" s="46">
        <v>8861</v>
      </c>
      <c r="R268" s="4">
        <v>50</v>
      </c>
      <c r="T268" s="4">
        <v>6082</v>
      </c>
      <c r="U268" s="55">
        <f t="shared" si="3"/>
        <v>2729</v>
      </c>
      <c r="V268" s="46">
        <v>826943</v>
      </c>
      <c r="W268" s="4">
        <v>129</v>
      </c>
      <c r="X268" s="4">
        <v>17181</v>
      </c>
      <c r="Y268" s="4">
        <v>2311</v>
      </c>
      <c r="Z268" s="55">
        <f t="shared" si="4"/>
        <v>807322</v>
      </c>
      <c r="AA268" s="52">
        <f t="shared" si="5"/>
        <v>2020415</v>
      </c>
    </row>
    <row r="269" spans="1:27" ht="13.2" x14ac:dyDescent="0.25">
      <c r="A269" s="45">
        <v>44296</v>
      </c>
      <c r="B269" s="46">
        <v>17549</v>
      </c>
      <c r="E269" s="4">
        <v>1</v>
      </c>
      <c r="F269" s="4">
        <f t="shared" si="0"/>
        <v>17548</v>
      </c>
      <c r="G269" s="46">
        <v>1169200</v>
      </c>
      <c r="I269" s="4">
        <v>41025</v>
      </c>
      <c r="K269" s="55">
        <f t="shared" si="1"/>
        <v>1128175</v>
      </c>
      <c r="L269" s="46">
        <v>5573</v>
      </c>
      <c r="N269" s="4">
        <v>2</v>
      </c>
      <c r="P269" s="55">
        <f t="shared" si="2"/>
        <v>5571</v>
      </c>
      <c r="Q269" s="46">
        <v>8911</v>
      </c>
      <c r="R269" s="4">
        <v>50</v>
      </c>
      <c r="T269" s="4">
        <v>6121</v>
      </c>
      <c r="U269" s="55">
        <f t="shared" si="3"/>
        <v>2740</v>
      </c>
      <c r="V269" s="46">
        <v>829579</v>
      </c>
      <c r="W269" s="4">
        <v>128</v>
      </c>
      <c r="X269" s="4">
        <v>17649</v>
      </c>
      <c r="Y269" s="4">
        <v>2311</v>
      </c>
      <c r="Z269" s="55">
        <f t="shared" si="4"/>
        <v>809491</v>
      </c>
      <c r="AA269" s="52">
        <f t="shared" si="5"/>
        <v>2030812</v>
      </c>
    </row>
    <row r="270" spans="1:27" ht="13.2" x14ac:dyDescent="0.25">
      <c r="A270" s="45">
        <v>44297</v>
      </c>
      <c r="B270" s="46">
        <v>17549</v>
      </c>
      <c r="E270" s="4">
        <v>1</v>
      </c>
      <c r="F270" s="4">
        <f t="shared" si="0"/>
        <v>17548</v>
      </c>
      <c r="G270" s="46">
        <v>1176504</v>
      </c>
      <c r="I270" s="4">
        <v>44270</v>
      </c>
      <c r="K270" s="55">
        <f t="shared" si="1"/>
        <v>1132234</v>
      </c>
      <c r="L270" s="46">
        <v>5581</v>
      </c>
      <c r="N270" s="4">
        <v>3</v>
      </c>
      <c r="P270" s="55">
        <f t="shared" si="2"/>
        <v>5578</v>
      </c>
      <c r="Q270" s="46">
        <v>8969</v>
      </c>
      <c r="R270" s="4">
        <v>54</v>
      </c>
      <c r="T270" s="4">
        <v>6173</v>
      </c>
      <c r="U270" s="55">
        <f t="shared" si="3"/>
        <v>2742</v>
      </c>
      <c r="V270" s="46">
        <v>832647</v>
      </c>
      <c r="W270" s="4">
        <v>114</v>
      </c>
      <c r="X270" s="4">
        <v>19033</v>
      </c>
      <c r="Y270" s="4">
        <v>2311</v>
      </c>
      <c r="Z270" s="55">
        <f t="shared" si="4"/>
        <v>811189</v>
      </c>
      <c r="AA270" s="52">
        <f t="shared" si="5"/>
        <v>2041250</v>
      </c>
    </row>
    <row r="271" spans="1:27" ht="13.2" x14ac:dyDescent="0.25">
      <c r="A271" s="45">
        <v>44298</v>
      </c>
      <c r="B271" s="46">
        <v>17549</v>
      </c>
      <c r="E271" s="4">
        <v>1</v>
      </c>
      <c r="F271" s="4">
        <f t="shared" si="0"/>
        <v>17548</v>
      </c>
      <c r="G271" s="46">
        <v>1181979</v>
      </c>
      <c r="I271" s="4">
        <v>41793</v>
      </c>
      <c r="K271" s="55">
        <f t="shared" si="1"/>
        <v>1140186</v>
      </c>
      <c r="L271" s="46">
        <v>5594</v>
      </c>
      <c r="N271" s="4">
        <v>2</v>
      </c>
      <c r="P271" s="55">
        <f t="shared" si="2"/>
        <v>5592</v>
      </c>
      <c r="Q271" s="46">
        <v>9007</v>
      </c>
      <c r="R271" s="4">
        <v>43</v>
      </c>
      <c r="T271" s="4">
        <v>6208</v>
      </c>
      <c r="U271" s="55">
        <f t="shared" si="3"/>
        <v>2756</v>
      </c>
      <c r="V271" s="46">
        <v>834744</v>
      </c>
      <c r="W271" s="4">
        <v>102</v>
      </c>
      <c r="X271" s="4">
        <v>18223</v>
      </c>
      <c r="Y271" s="4">
        <v>2311</v>
      </c>
      <c r="Z271" s="55">
        <f t="shared" si="4"/>
        <v>814108</v>
      </c>
      <c r="AA271" s="52">
        <f t="shared" si="5"/>
        <v>2048873</v>
      </c>
    </row>
    <row r="272" spans="1:27" ht="13.2" x14ac:dyDescent="0.25">
      <c r="A272" s="45">
        <v>44299</v>
      </c>
      <c r="B272" s="46">
        <v>17549</v>
      </c>
      <c r="E272" s="4">
        <v>1</v>
      </c>
      <c r="F272" s="4">
        <f t="shared" si="0"/>
        <v>17548</v>
      </c>
      <c r="G272" s="46">
        <v>1184497</v>
      </c>
      <c r="I272" s="4">
        <v>39139</v>
      </c>
      <c r="K272" s="55">
        <f t="shared" si="1"/>
        <v>1145358</v>
      </c>
      <c r="L272" s="46">
        <v>5594</v>
      </c>
      <c r="N272" s="4">
        <v>1</v>
      </c>
      <c r="P272" s="55">
        <f t="shared" si="2"/>
        <v>5593</v>
      </c>
      <c r="Q272" s="46">
        <v>9041</v>
      </c>
      <c r="R272" s="4">
        <v>43</v>
      </c>
      <c r="T272" s="4">
        <v>6237</v>
      </c>
      <c r="U272" s="55">
        <f t="shared" si="3"/>
        <v>2761</v>
      </c>
      <c r="V272" s="46">
        <v>835973</v>
      </c>
      <c r="W272" s="4">
        <v>101</v>
      </c>
      <c r="X272" s="4">
        <v>17535</v>
      </c>
      <c r="Y272" s="4">
        <v>2311</v>
      </c>
      <c r="Z272" s="55">
        <f t="shared" si="4"/>
        <v>816026</v>
      </c>
      <c r="AA272" s="52">
        <f t="shared" si="5"/>
        <v>2052654</v>
      </c>
    </row>
    <row r="273" spans="1:27" ht="13.2" x14ac:dyDescent="0.25">
      <c r="A273" s="45">
        <v>44300</v>
      </c>
      <c r="B273" s="46">
        <v>17549</v>
      </c>
      <c r="E273" s="4">
        <v>1</v>
      </c>
      <c r="F273" s="4">
        <f t="shared" si="0"/>
        <v>17548</v>
      </c>
      <c r="G273" s="46">
        <v>1189635</v>
      </c>
      <c r="I273" s="4">
        <v>38124</v>
      </c>
      <c r="K273" s="55">
        <f t="shared" si="1"/>
        <v>1151511</v>
      </c>
      <c r="L273" s="46">
        <v>5628</v>
      </c>
      <c r="N273" s="4">
        <v>1</v>
      </c>
      <c r="P273" s="55">
        <f t="shared" si="2"/>
        <v>5627</v>
      </c>
      <c r="Q273" s="46">
        <v>9095</v>
      </c>
      <c r="R273" s="4">
        <v>42</v>
      </c>
      <c r="T273" s="4">
        <v>6281</v>
      </c>
      <c r="U273" s="55">
        <f t="shared" si="3"/>
        <v>2772</v>
      </c>
      <c r="V273" s="46">
        <v>838821</v>
      </c>
      <c r="W273" s="4">
        <v>122</v>
      </c>
      <c r="X273" s="4">
        <v>16908</v>
      </c>
      <c r="Y273" s="4">
        <v>2311</v>
      </c>
      <c r="Z273" s="55">
        <f t="shared" si="4"/>
        <v>819480</v>
      </c>
      <c r="AA273" s="52">
        <f t="shared" si="5"/>
        <v>2060728</v>
      </c>
    </row>
    <row r="274" spans="1:27" ht="13.2" x14ac:dyDescent="0.25">
      <c r="A274" s="45">
        <v>44301</v>
      </c>
      <c r="B274" s="46">
        <v>17549</v>
      </c>
      <c r="E274" s="4">
        <v>1</v>
      </c>
      <c r="F274" s="4">
        <f t="shared" si="0"/>
        <v>17548</v>
      </c>
      <c r="G274" s="46">
        <v>1196970</v>
      </c>
      <c r="I274" s="4">
        <v>39447</v>
      </c>
      <c r="K274" s="55">
        <f t="shared" si="1"/>
        <v>1157523</v>
      </c>
      <c r="L274" s="46">
        <v>5675</v>
      </c>
      <c r="N274" s="4">
        <v>0</v>
      </c>
      <c r="P274" s="55">
        <f t="shared" si="2"/>
        <v>5675</v>
      </c>
      <c r="Q274" s="46">
        <v>9167</v>
      </c>
      <c r="R274" s="4">
        <v>43</v>
      </c>
      <c r="T274" s="4">
        <v>6329</v>
      </c>
      <c r="U274" s="55">
        <f t="shared" si="3"/>
        <v>2795</v>
      </c>
      <c r="V274" s="46">
        <v>842596</v>
      </c>
      <c r="W274" s="4">
        <v>106</v>
      </c>
      <c r="X274" s="4">
        <v>17401</v>
      </c>
      <c r="Y274" s="4">
        <v>2311</v>
      </c>
      <c r="Z274" s="55">
        <f t="shared" si="4"/>
        <v>822778</v>
      </c>
      <c r="AA274" s="52">
        <f t="shared" si="5"/>
        <v>2071957</v>
      </c>
    </row>
    <row r="275" spans="1:27" ht="13.2" x14ac:dyDescent="0.25">
      <c r="A275" s="45">
        <v>44302</v>
      </c>
      <c r="B275" s="46">
        <v>17549</v>
      </c>
      <c r="E275" s="4">
        <v>1</v>
      </c>
      <c r="F275" s="4">
        <f t="shared" si="0"/>
        <v>17548</v>
      </c>
      <c r="G275" s="46">
        <v>1203820</v>
      </c>
      <c r="I275" s="4">
        <v>41477</v>
      </c>
      <c r="K275" s="55">
        <f t="shared" si="1"/>
        <v>1162343</v>
      </c>
      <c r="L275" s="46">
        <v>5712</v>
      </c>
      <c r="N275" s="4">
        <v>1</v>
      </c>
      <c r="P275" s="55">
        <f t="shared" si="2"/>
        <v>5711</v>
      </c>
      <c r="Q275" s="46">
        <v>9220</v>
      </c>
      <c r="R275" s="4">
        <v>44</v>
      </c>
      <c r="T275" s="4">
        <v>6369</v>
      </c>
      <c r="U275" s="55">
        <f t="shared" si="3"/>
        <v>2807</v>
      </c>
      <c r="V275" s="46">
        <v>846269</v>
      </c>
      <c r="W275" s="4">
        <v>130</v>
      </c>
      <c r="X275" s="4">
        <v>18733</v>
      </c>
      <c r="Y275" s="4">
        <v>2311</v>
      </c>
      <c r="Z275" s="55">
        <f t="shared" si="4"/>
        <v>825095</v>
      </c>
      <c r="AA275" s="52">
        <f t="shared" si="5"/>
        <v>2082570</v>
      </c>
    </row>
    <row r="276" spans="1:27" ht="13.2" x14ac:dyDescent="0.25">
      <c r="A276" s="45">
        <v>44303</v>
      </c>
      <c r="B276" s="46">
        <v>17550</v>
      </c>
      <c r="E276" s="4">
        <v>1</v>
      </c>
      <c r="F276" s="4">
        <f t="shared" si="0"/>
        <v>17549</v>
      </c>
      <c r="G276" s="46">
        <v>1209819</v>
      </c>
      <c r="I276" s="4">
        <v>42240</v>
      </c>
      <c r="K276" s="55">
        <f t="shared" si="1"/>
        <v>1167579</v>
      </c>
      <c r="L276" s="46">
        <v>5729</v>
      </c>
      <c r="N276" s="4">
        <v>1</v>
      </c>
      <c r="P276" s="55">
        <f t="shared" si="2"/>
        <v>5728</v>
      </c>
      <c r="Q276" s="46">
        <v>9270</v>
      </c>
      <c r="R276" s="4">
        <v>48</v>
      </c>
      <c r="T276" s="4">
        <v>6411</v>
      </c>
      <c r="U276" s="55">
        <f t="shared" si="3"/>
        <v>2811</v>
      </c>
      <c r="V276" s="46">
        <v>850186</v>
      </c>
      <c r="W276" s="4">
        <v>120</v>
      </c>
      <c r="X276" s="4">
        <v>19794</v>
      </c>
      <c r="Y276" s="4">
        <v>2311</v>
      </c>
      <c r="Z276" s="55">
        <f t="shared" si="4"/>
        <v>827961</v>
      </c>
      <c r="AA276" s="52">
        <f t="shared" si="5"/>
        <v>2092554</v>
      </c>
    </row>
    <row r="277" spans="1:27" ht="13.2" x14ac:dyDescent="0.25">
      <c r="A277" s="45">
        <v>44304</v>
      </c>
      <c r="B277" s="46">
        <v>17550</v>
      </c>
      <c r="E277" s="4">
        <v>1</v>
      </c>
      <c r="F277" s="4">
        <f t="shared" si="0"/>
        <v>17549</v>
      </c>
      <c r="G277" s="46">
        <v>1216116</v>
      </c>
      <c r="I277" s="4">
        <v>44306</v>
      </c>
      <c r="K277" s="55">
        <f t="shared" si="1"/>
        <v>1171810</v>
      </c>
      <c r="L277" s="46">
        <v>5750</v>
      </c>
      <c r="N277" s="4">
        <v>1</v>
      </c>
      <c r="P277" s="55">
        <f t="shared" si="2"/>
        <v>5749</v>
      </c>
      <c r="Q277" s="46">
        <v>9334</v>
      </c>
      <c r="R277" s="4">
        <v>62</v>
      </c>
      <c r="T277" s="4">
        <v>6446</v>
      </c>
      <c r="U277" s="55">
        <f t="shared" si="3"/>
        <v>2826</v>
      </c>
      <c r="V277" s="46">
        <v>853243</v>
      </c>
      <c r="W277" s="4">
        <v>148</v>
      </c>
      <c r="X277" s="4">
        <v>21007</v>
      </c>
      <c r="Y277" s="4">
        <v>2311</v>
      </c>
      <c r="Z277" s="55">
        <f t="shared" si="4"/>
        <v>829777</v>
      </c>
      <c r="AA277" s="52">
        <f t="shared" si="5"/>
        <v>2101993</v>
      </c>
    </row>
    <row r="278" spans="1:27" ht="13.2" x14ac:dyDescent="0.25">
      <c r="A278" s="45">
        <v>44305</v>
      </c>
      <c r="B278" s="46">
        <v>17550</v>
      </c>
      <c r="E278" s="4">
        <v>1</v>
      </c>
      <c r="F278" s="4">
        <f t="shared" si="0"/>
        <v>17549</v>
      </c>
      <c r="G278" s="46">
        <v>1219315</v>
      </c>
      <c r="I278" s="4">
        <v>40625</v>
      </c>
      <c r="K278" s="55">
        <f t="shared" si="1"/>
        <v>1178690</v>
      </c>
      <c r="L278" s="46">
        <v>7065</v>
      </c>
      <c r="N278" s="4">
        <v>528</v>
      </c>
      <c r="P278" s="55">
        <f t="shared" si="2"/>
        <v>6537</v>
      </c>
      <c r="Q278" s="46">
        <v>9473</v>
      </c>
      <c r="R278" s="4">
        <v>93</v>
      </c>
      <c r="T278" s="4">
        <v>6485</v>
      </c>
      <c r="U278" s="55">
        <f t="shared" si="3"/>
        <v>2895</v>
      </c>
      <c r="V278" s="46">
        <v>855347</v>
      </c>
      <c r="W278" s="4">
        <v>123</v>
      </c>
      <c r="X278" s="4">
        <v>20793</v>
      </c>
      <c r="Y278" s="4">
        <v>2311</v>
      </c>
      <c r="Z278" s="55">
        <f t="shared" si="4"/>
        <v>832120</v>
      </c>
      <c r="AA278" s="52">
        <f t="shared" si="5"/>
        <v>2108750</v>
      </c>
    </row>
    <row r="279" spans="1:27" ht="13.2" x14ac:dyDescent="0.25">
      <c r="A279" s="45">
        <v>44306</v>
      </c>
      <c r="B279" s="46">
        <v>17550</v>
      </c>
      <c r="E279" s="4">
        <v>1</v>
      </c>
      <c r="F279" s="4">
        <f t="shared" si="0"/>
        <v>17549</v>
      </c>
      <c r="G279" s="46">
        <v>1220915</v>
      </c>
      <c r="I279" s="4">
        <v>37341</v>
      </c>
      <c r="K279" s="55">
        <f t="shared" si="1"/>
        <v>1183574</v>
      </c>
      <c r="L279" s="46">
        <v>8501</v>
      </c>
      <c r="N279" s="4">
        <v>1521</v>
      </c>
      <c r="P279" s="55">
        <f t="shared" si="2"/>
        <v>6980</v>
      </c>
      <c r="Q279" s="46">
        <v>9561</v>
      </c>
      <c r="R279" s="4">
        <v>125</v>
      </c>
      <c r="T279" s="4">
        <v>6526</v>
      </c>
      <c r="U279" s="55">
        <f t="shared" si="3"/>
        <v>2910</v>
      </c>
      <c r="V279" s="46">
        <v>856439</v>
      </c>
      <c r="W279" s="4">
        <v>113</v>
      </c>
      <c r="X279" s="4">
        <v>18959</v>
      </c>
      <c r="Y279" s="4">
        <v>2311</v>
      </c>
      <c r="Z279" s="55">
        <f t="shared" si="4"/>
        <v>835056</v>
      </c>
      <c r="AA279" s="52">
        <f t="shared" si="5"/>
        <v>2112966</v>
      </c>
    </row>
    <row r="280" spans="1:27" ht="13.2" x14ac:dyDescent="0.25">
      <c r="A280" s="45">
        <v>44307</v>
      </c>
      <c r="B280" s="46">
        <v>17552</v>
      </c>
      <c r="E280" s="4">
        <v>1</v>
      </c>
      <c r="F280" s="4">
        <f t="shared" si="0"/>
        <v>17551</v>
      </c>
      <c r="G280" s="46">
        <v>1224929</v>
      </c>
      <c r="I280" s="4">
        <v>36034</v>
      </c>
      <c r="K280" s="55">
        <f t="shared" si="1"/>
        <v>1188895</v>
      </c>
      <c r="L280" s="46">
        <v>9879</v>
      </c>
      <c r="N280" s="4">
        <v>2334</v>
      </c>
      <c r="P280" s="55">
        <f t="shared" si="2"/>
        <v>7545</v>
      </c>
      <c r="Q280" s="46">
        <v>9651</v>
      </c>
      <c r="R280" s="4">
        <v>145</v>
      </c>
      <c r="T280" s="4">
        <v>6576</v>
      </c>
      <c r="U280" s="55">
        <f t="shared" si="3"/>
        <v>2930</v>
      </c>
      <c r="V280" s="46">
        <v>859418</v>
      </c>
      <c r="W280" s="4">
        <v>160</v>
      </c>
      <c r="X280" s="4">
        <v>19418</v>
      </c>
      <c r="Y280" s="4">
        <v>2311</v>
      </c>
      <c r="Z280" s="55">
        <f t="shared" si="4"/>
        <v>837529</v>
      </c>
      <c r="AA280" s="52">
        <f t="shared" si="5"/>
        <v>2121429</v>
      </c>
    </row>
    <row r="281" spans="1:27" ht="13.2" x14ac:dyDescent="0.25">
      <c r="A281" s="45">
        <v>44308</v>
      </c>
      <c r="B281" s="46">
        <v>17552</v>
      </c>
      <c r="E281" s="4">
        <v>1</v>
      </c>
      <c r="F281" s="4">
        <f t="shared" si="0"/>
        <v>17551</v>
      </c>
      <c r="G281" s="46">
        <v>1229256</v>
      </c>
      <c r="I281" s="4">
        <v>33817</v>
      </c>
      <c r="K281" s="55">
        <f t="shared" si="1"/>
        <v>1195439</v>
      </c>
      <c r="L281" s="46">
        <v>10851</v>
      </c>
      <c r="N281" s="4">
        <v>2789</v>
      </c>
      <c r="P281" s="55">
        <f t="shared" si="2"/>
        <v>8062</v>
      </c>
      <c r="Q281" s="46">
        <v>9809</v>
      </c>
      <c r="R281" s="4">
        <v>249</v>
      </c>
      <c r="T281" s="4">
        <v>6616</v>
      </c>
      <c r="U281" s="55">
        <f t="shared" si="3"/>
        <v>2944</v>
      </c>
      <c r="V281" s="46">
        <v>863196</v>
      </c>
      <c r="W281" s="4">
        <v>215</v>
      </c>
      <c r="X281" s="4">
        <v>21032</v>
      </c>
      <c r="Y281" s="4">
        <v>2311</v>
      </c>
      <c r="Z281" s="55">
        <f t="shared" si="4"/>
        <v>839638</v>
      </c>
      <c r="AA281" s="52">
        <f t="shared" si="5"/>
        <v>2130664</v>
      </c>
    </row>
    <row r="282" spans="1:27" ht="13.2" x14ac:dyDescent="0.25">
      <c r="A282" s="45">
        <v>44309</v>
      </c>
      <c r="B282" s="46">
        <v>17552</v>
      </c>
      <c r="E282" s="4">
        <v>1</v>
      </c>
      <c r="F282" s="4">
        <f t="shared" si="0"/>
        <v>17551</v>
      </c>
      <c r="G282" s="46">
        <v>1234161</v>
      </c>
      <c r="I282" s="4">
        <v>33295</v>
      </c>
      <c r="K282" s="55">
        <f t="shared" si="1"/>
        <v>1200866</v>
      </c>
      <c r="L282" s="46">
        <v>12388</v>
      </c>
      <c r="N282" s="4">
        <v>2987</v>
      </c>
      <c r="P282" s="55">
        <f t="shared" si="2"/>
        <v>9401</v>
      </c>
      <c r="Q282" s="46">
        <v>9903</v>
      </c>
      <c r="R282" s="4">
        <v>291</v>
      </c>
      <c r="T282" s="4">
        <v>6661</v>
      </c>
      <c r="U282" s="55">
        <f t="shared" si="3"/>
        <v>2951</v>
      </c>
      <c r="V282" s="46">
        <v>866565</v>
      </c>
      <c r="W282" s="4">
        <v>219</v>
      </c>
      <c r="X282" s="4">
        <v>21069</v>
      </c>
      <c r="Y282" s="4">
        <v>2311</v>
      </c>
      <c r="Z282" s="55">
        <f t="shared" si="4"/>
        <v>842966</v>
      </c>
      <c r="AA282" s="52">
        <f t="shared" si="5"/>
        <v>2140569</v>
      </c>
    </row>
    <row r="283" spans="1:27" ht="13.2" x14ac:dyDescent="0.25">
      <c r="A283" s="45">
        <v>44310</v>
      </c>
      <c r="B283" s="46">
        <v>17553</v>
      </c>
      <c r="E283" s="4">
        <v>1</v>
      </c>
      <c r="F283" s="4">
        <f t="shared" si="0"/>
        <v>17552</v>
      </c>
      <c r="G283" s="46">
        <v>1238342</v>
      </c>
      <c r="I283" s="4">
        <v>33814</v>
      </c>
      <c r="K283" s="55">
        <f t="shared" si="1"/>
        <v>1204528</v>
      </c>
      <c r="L283" s="46">
        <v>14976</v>
      </c>
      <c r="N283" s="4">
        <v>3413</v>
      </c>
      <c r="P283" s="55">
        <f t="shared" si="2"/>
        <v>11563</v>
      </c>
      <c r="Q283" s="46">
        <v>10058</v>
      </c>
      <c r="R283" s="4">
        <v>380</v>
      </c>
      <c r="T283" s="4">
        <v>6711</v>
      </c>
      <c r="U283" s="55">
        <f t="shared" si="3"/>
        <v>2967</v>
      </c>
      <c r="V283" s="46">
        <v>869792</v>
      </c>
      <c r="W283" s="4">
        <v>217</v>
      </c>
      <c r="X283" s="4">
        <v>22082</v>
      </c>
      <c r="Y283" s="4">
        <v>2311</v>
      </c>
      <c r="Z283" s="55">
        <f t="shared" si="4"/>
        <v>845182</v>
      </c>
      <c r="AA283" s="52">
        <f t="shared" si="5"/>
        <v>2150721</v>
      </c>
    </row>
    <row r="284" spans="1:27" ht="13.2" x14ac:dyDescent="0.25">
      <c r="A284" s="45">
        <v>44311</v>
      </c>
      <c r="B284" s="46">
        <v>17553</v>
      </c>
      <c r="E284" s="4">
        <v>1</v>
      </c>
      <c r="F284" s="4">
        <f t="shared" si="0"/>
        <v>17552</v>
      </c>
      <c r="G284" s="46">
        <v>1242294</v>
      </c>
      <c r="I284" s="4">
        <v>34884</v>
      </c>
      <c r="K284" s="55">
        <f t="shared" si="1"/>
        <v>1207410</v>
      </c>
      <c r="L284" s="46">
        <v>16112</v>
      </c>
      <c r="N284" s="4">
        <v>3743</v>
      </c>
      <c r="P284" s="55">
        <f t="shared" si="2"/>
        <v>12369</v>
      </c>
      <c r="Q284" s="46">
        <v>10287</v>
      </c>
      <c r="R284" s="4">
        <v>457</v>
      </c>
      <c r="T284" s="4">
        <v>6750</v>
      </c>
      <c r="U284" s="55">
        <f t="shared" si="3"/>
        <v>3080</v>
      </c>
      <c r="V284" s="46">
        <v>872333</v>
      </c>
      <c r="W284" s="4">
        <v>217</v>
      </c>
      <c r="X284" s="4">
        <v>22899</v>
      </c>
      <c r="Y284" s="4">
        <v>2311</v>
      </c>
      <c r="Z284" s="55">
        <f t="shared" si="4"/>
        <v>846906</v>
      </c>
      <c r="AA284" s="52">
        <f t="shared" si="5"/>
        <v>2158579</v>
      </c>
    </row>
    <row r="285" spans="1:27" ht="13.2" x14ac:dyDescent="0.25">
      <c r="A285" s="45">
        <v>44312</v>
      </c>
      <c r="B285" s="46">
        <v>17553</v>
      </c>
      <c r="E285" s="4">
        <v>1</v>
      </c>
      <c r="F285" s="4">
        <f t="shared" si="0"/>
        <v>17552</v>
      </c>
      <c r="G285" s="46">
        <v>1244590</v>
      </c>
      <c r="I285" s="4">
        <v>32194</v>
      </c>
      <c r="K285" s="55">
        <f t="shared" si="1"/>
        <v>1212396</v>
      </c>
      <c r="L285" s="46">
        <v>17124</v>
      </c>
      <c r="N285" s="4">
        <v>4014</v>
      </c>
      <c r="P285" s="55">
        <f t="shared" si="2"/>
        <v>13110</v>
      </c>
      <c r="Q285" s="46">
        <v>10379</v>
      </c>
      <c r="R285" s="4">
        <v>504</v>
      </c>
      <c r="T285" s="4">
        <v>6781</v>
      </c>
      <c r="U285" s="55">
        <f t="shared" si="3"/>
        <v>3094</v>
      </c>
      <c r="V285" s="46">
        <v>874269</v>
      </c>
      <c r="W285" s="4">
        <v>209</v>
      </c>
      <c r="X285" s="4">
        <v>20923</v>
      </c>
      <c r="Y285" s="4">
        <v>2311</v>
      </c>
      <c r="Z285" s="55">
        <f t="shared" si="4"/>
        <v>850826</v>
      </c>
      <c r="AA285" s="52">
        <f t="shared" si="5"/>
        <v>2163915</v>
      </c>
    </row>
    <row r="286" spans="1:27" ht="13.2" x14ac:dyDescent="0.25">
      <c r="A286" s="45">
        <v>44313</v>
      </c>
      <c r="B286" s="46">
        <v>17553</v>
      </c>
      <c r="E286" s="4">
        <v>1</v>
      </c>
      <c r="F286" s="4">
        <f t="shared" si="0"/>
        <v>17552</v>
      </c>
      <c r="G286" s="46">
        <v>1246417</v>
      </c>
      <c r="I286" s="4">
        <v>30487</v>
      </c>
      <c r="K286" s="55">
        <f t="shared" si="1"/>
        <v>1215930</v>
      </c>
      <c r="L286" s="46">
        <v>18052</v>
      </c>
      <c r="N286" s="4">
        <v>4505</v>
      </c>
      <c r="P286" s="55">
        <f t="shared" si="2"/>
        <v>13547</v>
      </c>
      <c r="Q286" s="46">
        <v>10427</v>
      </c>
      <c r="R286" s="4">
        <v>505</v>
      </c>
      <c r="T286" s="4">
        <v>6819</v>
      </c>
      <c r="U286" s="55">
        <f t="shared" si="3"/>
        <v>3103</v>
      </c>
      <c r="V286" s="46">
        <v>875817</v>
      </c>
      <c r="W286" s="4">
        <v>190</v>
      </c>
      <c r="X286" s="4">
        <v>20399</v>
      </c>
      <c r="Y286" s="4">
        <v>2311</v>
      </c>
      <c r="Z286" s="55">
        <f t="shared" si="4"/>
        <v>852917</v>
      </c>
      <c r="AA286" s="52">
        <f t="shared" si="5"/>
        <v>2168266</v>
      </c>
    </row>
    <row r="287" spans="1:27" ht="13.2" x14ac:dyDescent="0.25">
      <c r="A287" s="45">
        <v>44314</v>
      </c>
      <c r="B287" s="46">
        <v>17553</v>
      </c>
      <c r="E287" s="4">
        <v>1</v>
      </c>
      <c r="F287" s="4">
        <f t="shared" si="0"/>
        <v>17552</v>
      </c>
      <c r="G287" s="46">
        <v>1249417</v>
      </c>
      <c r="I287" s="4">
        <v>28762</v>
      </c>
      <c r="K287" s="55">
        <f t="shared" si="1"/>
        <v>1220655</v>
      </c>
      <c r="L287" s="46">
        <v>19375</v>
      </c>
      <c r="N287" s="4">
        <v>4700</v>
      </c>
      <c r="P287" s="55">
        <f t="shared" si="2"/>
        <v>14675</v>
      </c>
      <c r="Q287" s="46">
        <v>10503</v>
      </c>
      <c r="R287" s="4">
        <v>506</v>
      </c>
      <c r="T287" s="4">
        <v>6858</v>
      </c>
      <c r="U287" s="55">
        <f t="shared" si="3"/>
        <v>3139</v>
      </c>
      <c r="V287" s="46">
        <v>879203</v>
      </c>
      <c r="W287" s="4">
        <v>208</v>
      </c>
      <c r="X287" s="4">
        <v>20949</v>
      </c>
      <c r="Y287" s="4">
        <v>2311</v>
      </c>
      <c r="Z287" s="55">
        <f t="shared" si="4"/>
        <v>855735</v>
      </c>
      <c r="AA287" s="52">
        <f t="shared" si="5"/>
        <v>2176051</v>
      </c>
    </row>
    <row r="288" spans="1:27" ht="13.2" x14ac:dyDescent="0.25">
      <c r="A288" s="45">
        <v>44315</v>
      </c>
      <c r="B288" s="46">
        <v>17553</v>
      </c>
      <c r="E288" s="4">
        <v>1</v>
      </c>
      <c r="F288" s="4">
        <f t="shared" si="0"/>
        <v>17552</v>
      </c>
      <c r="G288" s="46">
        <v>1253302</v>
      </c>
      <c r="I288" s="4">
        <v>28473</v>
      </c>
      <c r="K288" s="55">
        <f t="shared" si="1"/>
        <v>1224829</v>
      </c>
      <c r="L288" s="46">
        <v>20993</v>
      </c>
      <c r="N288" s="4">
        <v>5733</v>
      </c>
      <c r="P288" s="55">
        <f t="shared" si="2"/>
        <v>15260</v>
      </c>
      <c r="Q288" s="46">
        <v>10660</v>
      </c>
      <c r="R288" s="4">
        <v>570</v>
      </c>
      <c r="T288" s="4">
        <v>6909</v>
      </c>
      <c r="U288" s="55">
        <f t="shared" si="3"/>
        <v>3181</v>
      </c>
      <c r="V288" s="46">
        <v>882265</v>
      </c>
      <c r="W288" s="4">
        <v>208</v>
      </c>
      <c r="X288" s="4">
        <v>21073</v>
      </c>
      <c r="Y288" s="4">
        <v>2311</v>
      </c>
      <c r="Z288" s="55">
        <f t="shared" si="4"/>
        <v>858673</v>
      </c>
      <c r="AA288" s="52">
        <f t="shared" si="5"/>
        <v>2184773</v>
      </c>
    </row>
    <row r="289" spans="1:27" ht="13.2" x14ac:dyDescent="0.25">
      <c r="A289" s="45">
        <v>44316</v>
      </c>
      <c r="B289" s="46">
        <v>17553</v>
      </c>
      <c r="E289" s="4">
        <v>1</v>
      </c>
      <c r="F289" s="4">
        <f t="shared" si="0"/>
        <v>17552</v>
      </c>
      <c r="G289" s="46">
        <v>1258215</v>
      </c>
      <c r="I289" s="4">
        <v>29442</v>
      </c>
      <c r="K289" s="55">
        <f t="shared" si="1"/>
        <v>1228773</v>
      </c>
      <c r="L289" s="46">
        <v>22555</v>
      </c>
      <c r="N289" s="4">
        <v>5636</v>
      </c>
      <c r="P289" s="55">
        <f t="shared" si="2"/>
        <v>16919</v>
      </c>
      <c r="Q289" s="46">
        <v>10790</v>
      </c>
      <c r="R289" s="4">
        <v>571</v>
      </c>
      <c r="T289" s="4">
        <v>6948</v>
      </c>
      <c r="U289" s="55">
        <f t="shared" si="3"/>
        <v>3271</v>
      </c>
      <c r="V289" s="46">
        <v>887079</v>
      </c>
      <c r="W289" s="4">
        <v>189</v>
      </c>
      <c r="X289" s="4">
        <v>23042</v>
      </c>
      <c r="Y289" s="4">
        <v>2311</v>
      </c>
      <c r="Z289" s="55">
        <f t="shared" si="4"/>
        <v>861537</v>
      </c>
      <c r="AA289" s="52">
        <f t="shared" si="5"/>
        <v>2196192</v>
      </c>
    </row>
    <row r="290" spans="1:27" ht="13.2" x14ac:dyDescent="0.25">
      <c r="A290" s="45">
        <v>44317</v>
      </c>
      <c r="B290" s="46">
        <v>17565</v>
      </c>
      <c r="E290" s="4">
        <v>1</v>
      </c>
      <c r="F290" s="4">
        <f t="shared" si="0"/>
        <v>17564</v>
      </c>
      <c r="G290" s="46">
        <v>1262727</v>
      </c>
      <c r="I290" s="4">
        <v>30515</v>
      </c>
      <c r="K290" s="55">
        <f t="shared" si="1"/>
        <v>1232212</v>
      </c>
      <c r="L290" s="46">
        <v>24235</v>
      </c>
      <c r="N290" s="4">
        <v>4847</v>
      </c>
      <c r="P290" s="55">
        <f t="shared" si="2"/>
        <v>19388</v>
      </c>
      <c r="Q290" s="46">
        <v>10882</v>
      </c>
      <c r="R290" s="4">
        <v>574</v>
      </c>
      <c r="T290" s="4">
        <v>6984</v>
      </c>
      <c r="U290" s="55">
        <f t="shared" si="3"/>
        <v>3324</v>
      </c>
      <c r="V290" s="46">
        <v>892776</v>
      </c>
      <c r="W290" s="4">
        <v>182</v>
      </c>
      <c r="X290" s="4">
        <v>26234</v>
      </c>
      <c r="Y290" s="4">
        <v>2311</v>
      </c>
      <c r="Z290" s="55">
        <f t="shared" si="4"/>
        <v>864049</v>
      </c>
      <c r="AA290" s="52">
        <f t="shared" si="5"/>
        <v>2208185</v>
      </c>
    </row>
    <row r="291" spans="1:27" ht="13.2" x14ac:dyDescent="0.25">
      <c r="A291" s="45">
        <v>44318</v>
      </c>
      <c r="B291" s="46">
        <v>17587</v>
      </c>
      <c r="E291" s="4">
        <v>1</v>
      </c>
      <c r="F291" s="4">
        <f t="shared" si="0"/>
        <v>17586</v>
      </c>
      <c r="G291" s="46">
        <v>1267976</v>
      </c>
      <c r="I291" s="4">
        <v>33103</v>
      </c>
      <c r="K291" s="55">
        <f t="shared" si="1"/>
        <v>1234873</v>
      </c>
      <c r="L291" s="46">
        <v>26703</v>
      </c>
      <c r="N291" s="4">
        <v>5033</v>
      </c>
      <c r="P291" s="55">
        <f t="shared" si="2"/>
        <v>21670</v>
      </c>
      <c r="Q291" s="46">
        <v>10997</v>
      </c>
      <c r="R291" s="4">
        <v>615</v>
      </c>
      <c r="T291" s="4">
        <v>7030</v>
      </c>
      <c r="U291" s="55">
        <f t="shared" si="3"/>
        <v>3352</v>
      </c>
      <c r="V291" s="46">
        <v>898113</v>
      </c>
      <c r="W291" s="4">
        <v>183</v>
      </c>
      <c r="X291" s="4">
        <v>28494</v>
      </c>
      <c r="Y291" s="4">
        <v>2311</v>
      </c>
      <c r="Z291" s="55">
        <f t="shared" si="4"/>
        <v>867125</v>
      </c>
      <c r="AA291" s="52">
        <f t="shared" si="5"/>
        <v>2221376</v>
      </c>
    </row>
    <row r="292" spans="1:27" ht="13.2" x14ac:dyDescent="0.25">
      <c r="A292" s="45">
        <v>44319</v>
      </c>
      <c r="B292" s="46">
        <v>17637</v>
      </c>
      <c r="E292" s="4">
        <v>1</v>
      </c>
      <c r="F292" s="4">
        <f t="shared" si="0"/>
        <v>17636</v>
      </c>
      <c r="G292" s="46">
        <v>1271002</v>
      </c>
      <c r="I292" s="4">
        <v>34980</v>
      </c>
      <c r="K292" s="55">
        <f t="shared" si="1"/>
        <v>1236022</v>
      </c>
      <c r="L292" s="46">
        <v>27369</v>
      </c>
      <c r="N292" s="4">
        <v>5364</v>
      </c>
      <c r="P292" s="55">
        <f t="shared" si="2"/>
        <v>22005</v>
      </c>
      <c r="Q292" s="46">
        <v>11162</v>
      </c>
      <c r="R292" s="4">
        <v>649</v>
      </c>
      <c r="T292" s="4">
        <v>7061</v>
      </c>
      <c r="U292" s="55">
        <f t="shared" si="3"/>
        <v>3452</v>
      </c>
      <c r="V292" s="46">
        <v>901763</v>
      </c>
      <c r="W292" s="4">
        <v>191</v>
      </c>
      <c r="X292" s="4">
        <v>30319</v>
      </c>
      <c r="Y292" s="4">
        <v>2311</v>
      </c>
      <c r="Z292" s="55">
        <f t="shared" si="4"/>
        <v>868942</v>
      </c>
      <c r="AA292" s="52">
        <f t="shared" si="5"/>
        <v>2228933</v>
      </c>
    </row>
    <row r="293" spans="1:27" ht="13.2" x14ac:dyDescent="0.25">
      <c r="A293" s="45">
        <v>44320</v>
      </c>
      <c r="B293" s="46">
        <v>17637</v>
      </c>
      <c r="E293" s="4">
        <v>1</v>
      </c>
      <c r="F293" s="4">
        <f t="shared" si="0"/>
        <v>17636</v>
      </c>
      <c r="G293" s="46">
        <v>1271828</v>
      </c>
      <c r="I293" s="4">
        <v>27406</v>
      </c>
      <c r="K293" s="55">
        <f t="shared" si="1"/>
        <v>1244422</v>
      </c>
      <c r="L293" s="46">
        <v>27857</v>
      </c>
      <c r="N293" s="4">
        <v>4097</v>
      </c>
      <c r="P293" s="55">
        <f t="shared" si="2"/>
        <v>23760</v>
      </c>
      <c r="Q293" s="46">
        <v>11235</v>
      </c>
      <c r="R293" s="4">
        <v>504</v>
      </c>
      <c r="T293" s="4">
        <v>7096</v>
      </c>
      <c r="U293" s="55">
        <f t="shared" si="3"/>
        <v>3635</v>
      </c>
      <c r="V293" s="46">
        <v>907008</v>
      </c>
      <c r="W293" s="4">
        <v>132</v>
      </c>
      <c r="X293" s="4">
        <v>29008</v>
      </c>
      <c r="Y293" s="4">
        <v>2311</v>
      </c>
      <c r="Z293" s="55">
        <f t="shared" si="4"/>
        <v>875557</v>
      </c>
      <c r="AA293" s="52">
        <f t="shared" si="5"/>
        <v>2235565</v>
      </c>
    </row>
    <row r="294" spans="1:27" ht="13.2" x14ac:dyDescent="0.25">
      <c r="A294" s="45">
        <v>44321</v>
      </c>
      <c r="B294" s="46">
        <v>17734</v>
      </c>
      <c r="E294" s="4">
        <v>1</v>
      </c>
      <c r="F294" s="4">
        <f t="shared" si="0"/>
        <v>17733</v>
      </c>
      <c r="G294" s="46">
        <v>1276941</v>
      </c>
      <c r="I294" s="4">
        <v>27541</v>
      </c>
      <c r="K294" s="55">
        <f t="shared" si="1"/>
        <v>1249400</v>
      </c>
      <c r="L294" s="46">
        <v>29038</v>
      </c>
      <c r="N294" s="4">
        <v>4498</v>
      </c>
      <c r="P294" s="55">
        <f t="shared" si="2"/>
        <v>24540</v>
      </c>
      <c r="Q294" s="46">
        <v>11309</v>
      </c>
      <c r="R294" s="4">
        <v>463</v>
      </c>
      <c r="T294" s="4">
        <v>7121</v>
      </c>
      <c r="U294" s="55">
        <f t="shared" si="3"/>
        <v>3725</v>
      </c>
      <c r="V294" s="46">
        <v>910749</v>
      </c>
      <c r="W294" s="4">
        <v>126</v>
      </c>
      <c r="X294" s="4">
        <v>29604</v>
      </c>
      <c r="Y294" s="4">
        <v>2311</v>
      </c>
      <c r="Z294" s="55">
        <f t="shared" si="4"/>
        <v>878708</v>
      </c>
      <c r="AA294" s="52">
        <f t="shared" si="5"/>
        <v>2245771</v>
      </c>
    </row>
    <row r="295" spans="1:27" ht="13.2" x14ac:dyDescent="0.25">
      <c r="A295" s="45">
        <v>44322</v>
      </c>
      <c r="B295" s="46">
        <v>17841</v>
      </c>
      <c r="E295" s="4">
        <v>1</v>
      </c>
      <c r="F295" s="4">
        <f t="shared" si="0"/>
        <v>17840</v>
      </c>
      <c r="G295" s="46">
        <v>1282187</v>
      </c>
      <c r="I295" s="4">
        <v>28353</v>
      </c>
      <c r="K295" s="55">
        <f t="shared" si="1"/>
        <v>1253834</v>
      </c>
      <c r="L295" s="46">
        <v>30354</v>
      </c>
      <c r="N295" s="4">
        <v>4678</v>
      </c>
      <c r="P295" s="55">
        <f t="shared" si="2"/>
        <v>25676</v>
      </c>
      <c r="Q295" s="46">
        <v>11507</v>
      </c>
      <c r="R295" s="4">
        <v>517</v>
      </c>
      <c r="T295" s="4">
        <v>7171</v>
      </c>
      <c r="U295" s="55">
        <f t="shared" si="3"/>
        <v>3819</v>
      </c>
      <c r="V295" s="46">
        <v>919509</v>
      </c>
      <c r="W295" s="4">
        <v>137</v>
      </c>
      <c r="X295" s="4">
        <v>35932</v>
      </c>
      <c r="Y295" s="4">
        <v>2311</v>
      </c>
      <c r="Z295" s="55">
        <f t="shared" si="4"/>
        <v>881129</v>
      </c>
      <c r="AA295" s="52">
        <f t="shared" si="5"/>
        <v>2261398</v>
      </c>
    </row>
    <row r="296" spans="1:27" ht="13.2" x14ac:dyDescent="0.25">
      <c r="A296" s="45">
        <v>44323</v>
      </c>
      <c r="B296" s="46">
        <v>17953</v>
      </c>
      <c r="E296" s="4">
        <v>1</v>
      </c>
      <c r="F296" s="4">
        <f t="shared" si="0"/>
        <v>17952</v>
      </c>
      <c r="G296" s="46">
        <v>1287163</v>
      </c>
      <c r="I296" s="4">
        <v>29051</v>
      </c>
      <c r="K296" s="55">
        <f t="shared" si="1"/>
        <v>1258112</v>
      </c>
      <c r="L296" s="46">
        <v>31991</v>
      </c>
      <c r="N296" s="4">
        <v>4565</v>
      </c>
      <c r="P296" s="55">
        <f t="shared" si="2"/>
        <v>27426</v>
      </c>
      <c r="Q296" s="46">
        <v>11617</v>
      </c>
      <c r="R296" s="4">
        <v>512</v>
      </c>
      <c r="T296" s="4">
        <v>7204</v>
      </c>
      <c r="U296" s="55">
        <f t="shared" si="3"/>
        <v>3901</v>
      </c>
      <c r="V296" s="46">
        <v>924960</v>
      </c>
      <c r="W296" s="4">
        <v>139</v>
      </c>
      <c r="X296" s="4">
        <v>38322</v>
      </c>
      <c r="Y296" s="4">
        <v>2311</v>
      </c>
      <c r="Z296" s="55">
        <f t="shared" si="4"/>
        <v>884188</v>
      </c>
      <c r="AA296" s="52">
        <f t="shared" si="5"/>
        <v>2273684</v>
      </c>
    </row>
    <row r="297" spans="1:27" ht="13.2" x14ac:dyDescent="0.25">
      <c r="A297" s="45">
        <v>44324</v>
      </c>
      <c r="B297" s="46">
        <v>18018</v>
      </c>
      <c r="E297" s="4">
        <v>1</v>
      </c>
      <c r="F297" s="4">
        <f t="shared" si="0"/>
        <v>18017</v>
      </c>
      <c r="G297" s="46">
        <v>1292845</v>
      </c>
      <c r="I297" s="4">
        <v>30735</v>
      </c>
      <c r="K297" s="55">
        <f t="shared" si="1"/>
        <v>1262110</v>
      </c>
      <c r="L297" s="46">
        <v>33559</v>
      </c>
      <c r="N297" s="4">
        <v>5284</v>
      </c>
      <c r="P297" s="55">
        <f t="shared" si="2"/>
        <v>28275</v>
      </c>
      <c r="Q297" s="46">
        <v>11738</v>
      </c>
      <c r="R297" s="4">
        <v>546</v>
      </c>
      <c r="T297" s="4">
        <v>7236</v>
      </c>
      <c r="U297" s="55">
        <f t="shared" si="3"/>
        <v>3956</v>
      </c>
      <c r="V297" s="46">
        <v>930386</v>
      </c>
      <c r="W297" s="4">
        <v>129</v>
      </c>
      <c r="X297" s="4">
        <v>39625</v>
      </c>
      <c r="Y297" s="4">
        <v>2311</v>
      </c>
      <c r="Z297" s="55">
        <f t="shared" si="4"/>
        <v>888321</v>
      </c>
      <c r="AA297" s="52">
        <f t="shared" si="5"/>
        <v>2286546</v>
      </c>
    </row>
    <row r="298" spans="1:27" ht="13.2" x14ac:dyDescent="0.25">
      <c r="A298" s="45">
        <v>44325</v>
      </c>
      <c r="B298" s="46">
        <v>18185</v>
      </c>
      <c r="E298" s="4">
        <v>1</v>
      </c>
      <c r="F298" s="4">
        <f t="shared" si="0"/>
        <v>18184</v>
      </c>
      <c r="G298" s="46">
        <v>1297552</v>
      </c>
      <c r="I298" s="4">
        <v>32624</v>
      </c>
      <c r="K298" s="55">
        <f t="shared" si="1"/>
        <v>1264928</v>
      </c>
      <c r="L298" s="46">
        <v>35387</v>
      </c>
      <c r="N298" s="4">
        <v>6294</v>
      </c>
      <c r="P298" s="55">
        <f t="shared" si="2"/>
        <v>29093</v>
      </c>
      <c r="Q298" s="46">
        <v>11881</v>
      </c>
      <c r="R298" s="4">
        <v>635</v>
      </c>
      <c r="T298" s="4">
        <v>7271</v>
      </c>
      <c r="U298" s="55">
        <f t="shared" si="3"/>
        <v>3975</v>
      </c>
      <c r="V298" s="46">
        <v>935992</v>
      </c>
      <c r="W298" s="4">
        <v>132</v>
      </c>
      <c r="X298" s="4">
        <v>42240</v>
      </c>
      <c r="Y298" s="4">
        <v>2311</v>
      </c>
      <c r="Z298" s="55">
        <f t="shared" si="4"/>
        <v>891309</v>
      </c>
      <c r="AA298" s="52">
        <f t="shared" si="5"/>
        <v>2298997</v>
      </c>
    </row>
    <row r="299" spans="1:27" ht="13.2" x14ac:dyDescent="0.25">
      <c r="A299" s="45">
        <v>44326</v>
      </c>
      <c r="B299" s="46">
        <v>18342</v>
      </c>
      <c r="E299" s="4">
        <v>1</v>
      </c>
      <c r="F299" s="4">
        <f t="shared" si="0"/>
        <v>18341</v>
      </c>
      <c r="G299" s="46">
        <v>1300786</v>
      </c>
      <c r="I299" s="4">
        <v>31040</v>
      </c>
      <c r="K299" s="55">
        <f t="shared" si="1"/>
        <v>1269746</v>
      </c>
      <c r="L299" s="46">
        <v>37598</v>
      </c>
      <c r="N299" s="4">
        <v>6379</v>
      </c>
      <c r="P299" s="55">
        <f t="shared" si="2"/>
        <v>31219</v>
      </c>
      <c r="Q299" s="46">
        <v>11995</v>
      </c>
      <c r="R299" s="4">
        <v>598</v>
      </c>
      <c r="T299" s="4">
        <v>7300</v>
      </c>
      <c r="U299" s="55">
        <f t="shared" si="3"/>
        <v>4097</v>
      </c>
      <c r="V299" s="46">
        <v>939454</v>
      </c>
      <c r="W299" s="4">
        <v>120</v>
      </c>
      <c r="X299" s="4">
        <v>41603</v>
      </c>
      <c r="Y299" s="4">
        <v>2311</v>
      </c>
      <c r="Z299" s="55">
        <f t="shared" si="4"/>
        <v>895420</v>
      </c>
      <c r="AA299" s="52">
        <f t="shared" si="5"/>
        <v>2308175</v>
      </c>
    </row>
    <row r="300" spans="1:27" ht="13.2" x14ac:dyDescent="0.25">
      <c r="A300" s="45">
        <v>44327</v>
      </c>
      <c r="B300" s="46">
        <v>18342</v>
      </c>
      <c r="E300" s="4">
        <v>1</v>
      </c>
      <c r="F300" s="4">
        <f t="shared" si="0"/>
        <v>18341</v>
      </c>
      <c r="G300" s="46">
        <v>1302465</v>
      </c>
      <c r="I300" s="4">
        <v>28806</v>
      </c>
      <c r="K300" s="55">
        <f t="shared" si="1"/>
        <v>1273659</v>
      </c>
      <c r="L300" s="46">
        <v>38231</v>
      </c>
      <c r="N300" s="4">
        <v>6763</v>
      </c>
      <c r="P300" s="55">
        <f t="shared" si="2"/>
        <v>31468</v>
      </c>
      <c r="Q300" s="46">
        <v>12037</v>
      </c>
      <c r="R300" s="4">
        <v>538</v>
      </c>
      <c r="T300" s="4">
        <v>7326</v>
      </c>
      <c r="U300" s="55">
        <f t="shared" si="3"/>
        <v>4173</v>
      </c>
      <c r="V300" s="46">
        <v>942438</v>
      </c>
      <c r="W300" s="4">
        <v>104</v>
      </c>
      <c r="X300" s="4">
        <v>40450</v>
      </c>
      <c r="Y300" s="4">
        <v>2311</v>
      </c>
      <c r="Z300" s="55">
        <f t="shared" si="4"/>
        <v>899573</v>
      </c>
      <c r="AA300" s="52">
        <f t="shared" si="5"/>
        <v>2313513</v>
      </c>
    </row>
    <row r="301" spans="1:27" ht="13.2" x14ac:dyDescent="0.25">
      <c r="A301" s="45">
        <v>44328</v>
      </c>
      <c r="B301" s="46">
        <v>18448</v>
      </c>
      <c r="E301" s="4">
        <v>1</v>
      </c>
      <c r="F301" s="4">
        <f t="shared" si="0"/>
        <v>18447</v>
      </c>
      <c r="G301" s="46">
        <v>1306356</v>
      </c>
      <c r="I301" s="4">
        <v>27642</v>
      </c>
      <c r="K301" s="55">
        <f t="shared" si="1"/>
        <v>1278714</v>
      </c>
      <c r="L301" s="46">
        <v>38766</v>
      </c>
      <c r="N301" s="4">
        <v>6619</v>
      </c>
      <c r="P301" s="55">
        <f t="shared" si="2"/>
        <v>32147</v>
      </c>
      <c r="Q301" s="46">
        <v>12156</v>
      </c>
      <c r="R301" s="4">
        <v>522</v>
      </c>
      <c r="T301" s="4">
        <v>7376</v>
      </c>
      <c r="U301" s="55">
        <f t="shared" si="3"/>
        <v>4258</v>
      </c>
      <c r="V301" s="46">
        <v>947854</v>
      </c>
      <c r="W301" s="4">
        <v>114</v>
      </c>
      <c r="X301" s="4">
        <v>41721</v>
      </c>
      <c r="Y301" s="4">
        <v>2311</v>
      </c>
      <c r="Z301" s="55">
        <f t="shared" si="4"/>
        <v>903708</v>
      </c>
      <c r="AA301" s="52">
        <f t="shared" si="5"/>
        <v>2323580</v>
      </c>
    </row>
    <row r="302" spans="1:27" ht="13.2" x14ac:dyDescent="0.25">
      <c r="A302" s="45">
        <v>44329</v>
      </c>
      <c r="B302" s="46">
        <v>18590</v>
      </c>
      <c r="E302" s="4">
        <v>1</v>
      </c>
      <c r="F302" s="4">
        <f t="shared" si="0"/>
        <v>18589</v>
      </c>
      <c r="G302" s="46">
        <v>1311304</v>
      </c>
      <c r="I302" s="4">
        <v>27882</v>
      </c>
      <c r="K302" s="55">
        <f t="shared" si="1"/>
        <v>1283422</v>
      </c>
      <c r="L302" s="46">
        <v>39551</v>
      </c>
      <c r="N302" s="4">
        <v>6849</v>
      </c>
      <c r="P302" s="55">
        <f t="shared" si="2"/>
        <v>32702</v>
      </c>
      <c r="Q302" s="46">
        <v>12265</v>
      </c>
      <c r="R302" s="4">
        <v>506</v>
      </c>
      <c r="T302" s="4">
        <v>7411</v>
      </c>
      <c r="U302" s="55">
        <f t="shared" si="3"/>
        <v>4348</v>
      </c>
      <c r="V302" s="46">
        <v>952480</v>
      </c>
      <c r="W302" s="4">
        <v>122</v>
      </c>
      <c r="X302" s="4">
        <v>40433</v>
      </c>
      <c r="Y302" s="4">
        <v>2311</v>
      </c>
      <c r="Z302" s="55">
        <f t="shared" si="4"/>
        <v>909614</v>
      </c>
      <c r="AA302" s="52">
        <f t="shared" si="5"/>
        <v>2334190</v>
      </c>
    </row>
    <row r="303" spans="1:27" ht="13.2" x14ac:dyDescent="0.25">
      <c r="A303" s="45">
        <v>44330</v>
      </c>
      <c r="B303" s="46">
        <v>18644</v>
      </c>
      <c r="E303" s="4">
        <v>1</v>
      </c>
      <c r="F303" s="4">
        <f t="shared" si="0"/>
        <v>18643</v>
      </c>
      <c r="G303" s="46">
        <v>1314478</v>
      </c>
      <c r="I303" s="4">
        <v>26295</v>
      </c>
      <c r="K303" s="55">
        <f t="shared" si="1"/>
        <v>1288183</v>
      </c>
      <c r="L303" s="46">
        <v>40243</v>
      </c>
      <c r="N303" s="4">
        <v>7053</v>
      </c>
      <c r="P303" s="55">
        <f t="shared" si="2"/>
        <v>33190</v>
      </c>
      <c r="Q303" s="46">
        <v>12396</v>
      </c>
      <c r="R303" s="4">
        <v>489</v>
      </c>
      <c r="T303" s="4">
        <v>7456</v>
      </c>
      <c r="U303" s="55">
        <f t="shared" si="3"/>
        <v>4451</v>
      </c>
      <c r="V303" s="46">
        <v>955698</v>
      </c>
      <c r="W303" s="4">
        <v>119</v>
      </c>
      <c r="X303" s="4">
        <v>37120</v>
      </c>
      <c r="Y303" s="4">
        <v>2311</v>
      </c>
      <c r="Z303" s="55">
        <f t="shared" si="4"/>
        <v>916148</v>
      </c>
      <c r="AA303" s="52">
        <f t="shared" si="5"/>
        <v>2341459</v>
      </c>
    </row>
    <row r="304" spans="1:27" ht="13.2" x14ac:dyDescent="0.25">
      <c r="A304" s="45">
        <v>44331</v>
      </c>
      <c r="B304" s="46">
        <v>18684</v>
      </c>
      <c r="E304" s="4">
        <v>1</v>
      </c>
      <c r="F304" s="4">
        <f t="shared" si="0"/>
        <v>18683</v>
      </c>
      <c r="G304" s="46">
        <v>1315050</v>
      </c>
      <c r="I304" s="4">
        <v>25200</v>
      </c>
      <c r="K304" s="55">
        <f t="shared" si="1"/>
        <v>1289850</v>
      </c>
      <c r="L304" s="46">
        <v>40715</v>
      </c>
      <c r="N304" s="4">
        <v>7116</v>
      </c>
      <c r="P304" s="55">
        <f t="shared" si="2"/>
        <v>33599</v>
      </c>
      <c r="Q304" s="46">
        <v>12466</v>
      </c>
      <c r="R304" s="4">
        <v>488</v>
      </c>
      <c r="T304" s="4">
        <v>7501</v>
      </c>
      <c r="U304" s="55">
        <f t="shared" si="3"/>
        <v>4477</v>
      </c>
      <c r="V304" s="46">
        <v>956528</v>
      </c>
      <c r="W304" s="4">
        <v>113</v>
      </c>
      <c r="X304" s="4">
        <v>35438</v>
      </c>
      <c r="Y304" s="4">
        <v>2311</v>
      </c>
      <c r="Z304" s="55">
        <f t="shared" si="4"/>
        <v>918666</v>
      </c>
      <c r="AA304" s="52">
        <f t="shared" si="5"/>
        <v>2343443</v>
      </c>
    </row>
    <row r="305" spans="1:27" ht="13.2" x14ac:dyDescent="0.25">
      <c r="A305" s="45">
        <v>44332</v>
      </c>
      <c r="B305" s="46">
        <v>18716</v>
      </c>
      <c r="E305" s="4">
        <v>1</v>
      </c>
      <c r="F305" s="4">
        <f t="shared" si="0"/>
        <v>18715</v>
      </c>
      <c r="G305" s="46">
        <v>1315714</v>
      </c>
      <c r="I305" s="4">
        <v>24253</v>
      </c>
      <c r="K305" s="55">
        <f t="shared" si="1"/>
        <v>1291461</v>
      </c>
      <c r="L305" s="46">
        <v>41314</v>
      </c>
      <c r="N305" s="4">
        <v>6328</v>
      </c>
      <c r="P305" s="55">
        <f t="shared" si="2"/>
        <v>34986</v>
      </c>
      <c r="Q305" s="46">
        <v>12515</v>
      </c>
      <c r="R305" s="4">
        <v>482</v>
      </c>
      <c r="T305" s="4">
        <v>7538</v>
      </c>
      <c r="U305" s="55">
        <f t="shared" si="3"/>
        <v>4495</v>
      </c>
      <c r="V305" s="46">
        <v>957983</v>
      </c>
      <c r="W305" s="4">
        <v>104</v>
      </c>
      <c r="X305" s="4">
        <v>33489</v>
      </c>
      <c r="Y305" s="4">
        <v>2311</v>
      </c>
      <c r="Z305" s="55">
        <f t="shared" si="4"/>
        <v>922079</v>
      </c>
      <c r="AA305" s="52">
        <f t="shared" si="5"/>
        <v>2346242</v>
      </c>
    </row>
    <row r="306" spans="1:27" ht="13.2" x14ac:dyDescent="0.25">
      <c r="A306" s="45">
        <v>44333</v>
      </c>
      <c r="B306" s="46">
        <v>18819</v>
      </c>
      <c r="E306" s="4">
        <v>1</v>
      </c>
      <c r="F306" s="4">
        <f t="shared" si="0"/>
        <v>18818</v>
      </c>
      <c r="G306" s="46">
        <v>1317795</v>
      </c>
      <c r="I306" s="4">
        <v>21762</v>
      </c>
      <c r="K306" s="55">
        <f t="shared" si="1"/>
        <v>1296033</v>
      </c>
      <c r="L306" s="46">
        <v>41893</v>
      </c>
      <c r="N306" s="4">
        <v>5954</v>
      </c>
      <c r="P306" s="55">
        <f t="shared" si="2"/>
        <v>35939</v>
      </c>
      <c r="Q306" s="46">
        <v>12580</v>
      </c>
      <c r="R306" s="4">
        <v>428</v>
      </c>
      <c r="T306" s="4">
        <v>7569</v>
      </c>
      <c r="U306" s="55">
        <f t="shared" si="3"/>
        <v>4583</v>
      </c>
      <c r="V306" s="46">
        <v>960591</v>
      </c>
      <c r="W306" s="4">
        <v>101</v>
      </c>
      <c r="X306" s="4">
        <v>30332</v>
      </c>
      <c r="Y306" s="4">
        <v>2311</v>
      </c>
      <c r="Z306" s="55">
        <f t="shared" si="4"/>
        <v>927847</v>
      </c>
      <c r="AA306" s="52">
        <f t="shared" si="5"/>
        <v>2351678</v>
      </c>
    </row>
    <row r="307" spans="1:27" ht="13.2" x14ac:dyDescent="0.25">
      <c r="A307" s="45">
        <v>44334</v>
      </c>
      <c r="B307" s="46">
        <v>18820</v>
      </c>
      <c r="E307" s="4">
        <v>1</v>
      </c>
      <c r="F307" s="4">
        <f t="shared" si="0"/>
        <v>18819</v>
      </c>
      <c r="G307" s="46">
        <v>1319558</v>
      </c>
      <c r="I307" s="4">
        <v>19159</v>
      </c>
      <c r="K307" s="55">
        <f t="shared" si="1"/>
        <v>1300399</v>
      </c>
      <c r="L307" s="46">
        <v>42376</v>
      </c>
      <c r="N307" s="4">
        <v>5274</v>
      </c>
      <c r="P307" s="55">
        <f t="shared" si="2"/>
        <v>37102</v>
      </c>
      <c r="Q307" s="46">
        <v>12632</v>
      </c>
      <c r="R307" s="4">
        <v>374</v>
      </c>
      <c r="T307" s="4">
        <v>7601</v>
      </c>
      <c r="U307" s="55">
        <f t="shared" si="3"/>
        <v>4657</v>
      </c>
      <c r="V307" s="46">
        <v>962684</v>
      </c>
      <c r="W307" s="4">
        <v>97</v>
      </c>
      <c r="X307" s="4">
        <v>26894</v>
      </c>
      <c r="Y307" s="4">
        <v>2311</v>
      </c>
      <c r="Z307" s="55">
        <f t="shared" si="4"/>
        <v>933382</v>
      </c>
      <c r="AA307" s="52">
        <f t="shared" si="5"/>
        <v>2356070</v>
      </c>
    </row>
    <row r="308" spans="1:27" ht="13.2" x14ac:dyDescent="0.25">
      <c r="A308" s="45">
        <v>44335</v>
      </c>
      <c r="B308" s="46">
        <v>18926</v>
      </c>
      <c r="E308" s="4">
        <v>1</v>
      </c>
      <c r="F308" s="4">
        <f t="shared" si="0"/>
        <v>18925</v>
      </c>
      <c r="G308" s="46">
        <v>1323540</v>
      </c>
      <c r="I308" s="4">
        <v>18894</v>
      </c>
      <c r="K308" s="55">
        <f t="shared" si="1"/>
        <v>1304646</v>
      </c>
      <c r="L308" s="46">
        <v>42970</v>
      </c>
      <c r="N308" s="4">
        <v>4788</v>
      </c>
      <c r="P308" s="55">
        <f t="shared" si="2"/>
        <v>38182</v>
      </c>
      <c r="Q308" s="46">
        <v>12689</v>
      </c>
      <c r="R308" s="4">
        <v>300</v>
      </c>
      <c r="T308" s="4">
        <v>7635</v>
      </c>
      <c r="U308" s="55">
        <f t="shared" si="3"/>
        <v>4754</v>
      </c>
      <c r="V308" s="46">
        <v>969716</v>
      </c>
      <c r="W308" s="4">
        <v>134</v>
      </c>
      <c r="X308" s="4">
        <v>27811</v>
      </c>
      <c r="Y308" s="4">
        <v>2311</v>
      </c>
      <c r="Z308" s="55">
        <f t="shared" si="4"/>
        <v>939460</v>
      </c>
      <c r="AA308" s="52">
        <f t="shared" si="5"/>
        <v>2367841</v>
      </c>
    </row>
    <row r="309" spans="1:27" ht="13.2" x14ac:dyDescent="0.25">
      <c r="A309" s="45">
        <v>44336</v>
      </c>
      <c r="B309" s="46">
        <v>19044</v>
      </c>
      <c r="E309" s="4">
        <v>1</v>
      </c>
      <c r="F309" s="4">
        <f t="shared" si="0"/>
        <v>19043</v>
      </c>
      <c r="G309" s="46">
        <v>1328590</v>
      </c>
      <c r="I309" s="4">
        <v>20005</v>
      </c>
      <c r="K309" s="55">
        <f t="shared" si="1"/>
        <v>1308585</v>
      </c>
      <c r="L309" s="46">
        <v>44024</v>
      </c>
      <c r="N309" s="4">
        <v>5313</v>
      </c>
      <c r="P309" s="55">
        <f t="shared" si="2"/>
        <v>38711</v>
      </c>
      <c r="Q309" s="46">
        <v>12796</v>
      </c>
      <c r="R309" s="4">
        <v>292</v>
      </c>
      <c r="T309" s="4">
        <v>7677</v>
      </c>
      <c r="U309" s="55">
        <f t="shared" si="3"/>
        <v>4827</v>
      </c>
      <c r="V309" s="46">
        <v>976755</v>
      </c>
      <c r="W309" s="4">
        <v>131</v>
      </c>
      <c r="X309" s="4">
        <v>30257</v>
      </c>
      <c r="Y309" s="4">
        <v>2311</v>
      </c>
      <c r="Z309" s="55">
        <f t="shared" si="4"/>
        <v>944056</v>
      </c>
      <c r="AA309" s="52">
        <f t="shared" si="5"/>
        <v>2381209</v>
      </c>
    </row>
    <row r="310" spans="1:27" ht="13.2" x14ac:dyDescent="0.25">
      <c r="A310" s="45">
        <v>44337</v>
      </c>
      <c r="B310" s="46">
        <v>19103</v>
      </c>
      <c r="E310" s="4">
        <v>1</v>
      </c>
      <c r="F310" s="4">
        <f t="shared" si="0"/>
        <v>19102</v>
      </c>
      <c r="G310" s="46">
        <v>1333824</v>
      </c>
      <c r="I310" s="4">
        <v>21275</v>
      </c>
      <c r="K310" s="55">
        <f t="shared" si="1"/>
        <v>1312549</v>
      </c>
      <c r="L310" s="46">
        <v>45000</v>
      </c>
      <c r="N310" s="4">
        <v>4528</v>
      </c>
      <c r="P310" s="55">
        <f t="shared" si="2"/>
        <v>40472</v>
      </c>
      <c r="Q310" s="46">
        <v>12964</v>
      </c>
      <c r="R310" s="4">
        <v>333</v>
      </c>
      <c r="T310" s="4">
        <v>7725</v>
      </c>
      <c r="U310" s="55">
        <f t="shared" si="3"/>
        <v>4906</v>
      </c>
      <c r="V310" s="46">
        <v>983749</v>
      </c>
      <c r="W310" s="4">
        <v>138</v>
      </c>
      <c r="X310" s="4">
        <v>33023</v>
      </c>
      <c r="Y310" s="4">
        <v>2311</v>
      </c>
      <c r="Z310" s="55">
        <f t="shared" si="4"/>
        <v>948277</v>
      </c>
      <c r="AA310" s="52">
        <f t="shared" si="5"/>
        <v>2394640</v>
      </c>
    </row>
    <row r="311" spans="1:27" ht="13.2" x14ac:dyDescent="0.25">
      <c r="A311" s="45">
        <v>44338</v>
      </c>
      <c r="B311" s="46">
        <v>19103</v>
      </c>
      <c r="E311" s="4">
        <v>1</v>
      </c>
      <c r="F311" s="4">
        <f t="shared" si="0"/>
        <v>19102</v>
      </c>
      <c r="G311" s="46">
        <v>1340210</v>
      </c>
      <c r="I311" s="4">
        <v>24631</v>
      </c>
      <c r="K311" s="55">
        <f t="shared" si="1"/>
        <v>1315579</v>
      </c>
      <c r="L311" s="46">
        <v>46478</v>
      </c>
      <c r="N311" s="4">
        <v>4702</v>
      </c>
      <c r="P311" s="55">
        <f t="shared" si="2"/>
        <v>41776</v>
      </c>
      <c r="Q311" s="46">
        <v>13100</v>
      </c>
      <c r="R311" s="4">
        <v>395</v>
      </c>
      <c r="T311" s="4">
        <v>7774</v>
      </c>
      <c r="U311" s="55">
        <f t="shared" si="3"/>
        <v>4931</v>
      </c>
      <c r="V311" s="46">
        <v>991840</v>
      </c>
      <c r="W311" s="4">
        <v>139</v>
      </c>
      <c r="X311" s="4">
        <v>38363</v>
      </c>
      <c r="Y311" s="4">
        <v>2311</v>
      </c>
      <c r="Z311" s="55">
        <f t="shared" si="4"/>
        <v>951027</v>
      </c>
      <c r="AA311" s="52">
        <f t="shared" si="5"/>
        <v>2410731</v>
      </c>
    </row>
    <row r="312" spans="1:27" ht="13.2" x14ac:dyDescent="0.25">
      <c r="A312" s="45">
        <v>44339</v>
      </c>
      <c r="B312" s="46">
        <v>19103</v>
      </c>
      <c r="E312" s="4">
        <v>1</v>
      </c>
      <c r="F312" s="4">
        <f t="shared" si="0"/>
        <v>19102</v>
      </c>
      <c r="G312" s="46">
        <v>1346243</v>
      </c>
      <c r="I312" s="4">
        <v>28689</v>
      </c>
      <c r="K312" s="55">
        <f t="shared" si="1"/>
        <v>1317554</v>
      </c>
      <c r="L312" s="46">
        <v>48611</v>
      </c>
      <c r="N312" s="4">
        <v>5419</v>
      </c>
      <c r="P312" s="55">
        <f t="shared" si="2"/>
        <v>43192</v>
      </c>
      <c r="Q312" s="46">
        <v>13240</v>
      </c>
      <c r="R312" s="4">
        <v>478</v>
      </c>
      <c r="T312" s="4">
        <v>7818</v>
      </c>
      <c r="U312" s="55">
        <f t="shared" si="3"/>
        <v>4944</v>
      </c>
      <c r="V312" s="46">
        <v>1000574</v>
      </c>
      <c r="W312" s="4">
        <v>166</v>
      </c>
      <c r="X312" s="4">
        <v>44695</v>
      </c>
      <c r="Y312" s="4">
        <v>2311</v>
      </c>
      <c r="Z312" s="55">
        <f t="shared" si="4"/>
        <v>953402</v>
      </c>
      <c r="AA312" s="52">
        <f t="shared" si="5"/>
        <v>2427771</v>
      </c>
    </row>
    <row r="313" spans="1:27" ht="13.2" x14ac:dyDescent="0.25">
      <c r="A313" s="45">
        <v>44340</v>
      </c>
      <c r="B313" s="46">
        <v>19146</v>
      </c>
      <c r="E313" s="4">
        <v>1</v>
      </c>
      <c r="F313" s="4">
        <f t="shared" si="0"/>
        <v>19145</v>
      </c>
      <c r="G313" s="46">
        <v>1351496</v>
      </c>
      <c r="I313" s="4">
        <v>30213</v>
      </c>
      <c r="K313" s="55">
        <f t="shared" si="1"/>
        <v>1321283</v>
      </c>
      <c r="L313" s="46">
        <v>49644</v>
      </c>
      <c r="N313" s="4">
        <v>5808</v>
      </c>
      <c r="P313" s="55">
        <f t="shared" si="2"/>
        <v>43836</v>
      </c>
      <c r="Q313" s="46">
        <v>13315</v>
      </c>
      <c r="R313" s="4">
        <v>472</v>
      </c>
      <c r="T313" s="4">
        <v>7860</v>
      </c>
      <c r="U313" s="55">
        <f t="shared" si="3"/>
        <v>4983</v>
      </c>
      <c r="V313" s="46">
        <v>1004907</v>
      </c>
      <c r="W313" s="4">
        <v>165</v>
      </c>
      <c r="X313" s="4">
        <v>42854</v>
      </c>
      <c r="Y313" s="4">
        <v>2311</v>
      </c>
      <c r="Z313" s="55">
        <f t="shared" si="4"/>
        <v>959577</v>
      </c>
      <c r="AA313" s="52">
        <f t="shared" si="5"/>
        <v>2438508</v>
      </c>
    </row>
    <row r="314" spans="1:27" ht="13.2" x14ac:dyDescent="0.25">
      <c r="A314" s="45">
        <v>44341</v>
      </c>
      <c r="B314" s="46">
        <v>19154</v>
      </c>
      <c r="E314" s="4">
        <v>1</v>
      </c>
      <c r="F314" s="4">
        <f t="shared" si="0"/>
        <v>19153</v>
      </c>
      <c r="G314" s="46">
        <v>1354306</v>
      </c>
      <c r="I314" s="4">
        <v>29821</v>
      </c>
      <c r="K314" s="55">
        <f t="shared" si="1"/>
        <v>1324485</v>
      </c>
      <c r="L314" s="46">
        <v>51040</v>
      </c>
      <c r="N314" s="4">
        <v>6432</v>
      </c>
      <c r="P314" s="55">
        <f t="shared" si="2"/>
        <v>44608</v>
      </c>
      <c r="Q314" s="46">
        <v>13376</v>
      </c>
      <c r="R314" s="4">
        <v>454</v>
      </c>
      <c r="T314" s="4">
        <v>7898</v>
      </c>
      <c r="U314" s="55">
        <f t="shared" si="3"/>
        <v>5024</v>
      </c>
      <c r="V314" s="46">
        <v>1008244</v>
      </c>
      <c r="W314" s="4">
        <v>150</v>
      </c>
      <c r="X314" s="4">
        <v>43148</v>
      </c>
      <c r="Y314" s="4">
        <v>2311</v>
      </c>
      <c r="Z314" s="55">
        <f t="shared" si="4"/>
        <v>962635</v>
      </c>
      <c r="AA314" s="52">
        <f t="shared" si="5"/>
        <v>2446120</v>
      </c>
    </row>
    <row r="315" spans="1:27" ht="13.2" x14ac:dyDescent="0.25">
      <c r="A315" s="45">
        <v>44342</v>
      </c>
      <c r="B315" s="46">
        <v>19161</v>
      </c>
      <c r="E315" s="4">
        <v>1</v>
      </c>
      <c r="F315" s="4">
        <f t="shared" si="0"/>
        <v>19160</v>
      </c>
      <c r="G315" s="46">
        <v>1359653</v>
      </c>
      <c r="I315" s="4">
        <v>33236</v>
      </c>
      <c r="K315" s="55">
        <f t="shared" si="1"/>
        <v>1326417</v>
      </c>
      <c r="L315" s="46">
        <v>52023</v>
      </c>
      <c r="N315" s="4">
        <v>6265</v>
      </c>
      <c r="P315" s="55">
        <f t="shared" si="2"/>
        <v>45758</v>
      </c>
      <c r="Q315" s="46">
        <v>13455</v>
      </c>
      <c r="R315" s="4">
        <v>445</v>
      </c>
      <c r="T315" s="4">
        <v>7939</v>
      </c>
      <c r="U315" s="55">
        <f t="shared" si="3"/>
        <v>5071</v>
      </c>
      <c r="V315" s="46">
        <v>1016385</v>
      </c>
      <c r="W315" s="4">
        <v>172</v>
      </c>
      <c r="X315" s="4">
        <v>49553</v>
      </c>
      <c r="Y315" s="4">
        <v>2311</v>
      </c>
      <c r="Z315" s="55">
        <f t="shared" si="4"/>
        <v>964349</v>
      </c>
      <c r="AA315" s="52">
        <f t="shared" si="5"/>
        <v>2460677</v>
      </c>
    </row>
    <row r="316" spans="1:27" ht="13.2" x14ac:dyDescent="0.25">
      <c r="A316" s="45">
        <v>44343</v>
      </c>
      <c r="B316" s="46">
        <v>19163</v>
      </c>
      <c r="E316" s="4">
        <v>1</v>
      </c>
      <c r="F316" s="4">
        <f t="shared" si="0"/>
        <v>19162</v>
      </c>
      <c r="G316" s="46">
        <v>1365259</v>
      </c>
      <c r="I316" s="4">
        <v>37845</v>
      </c>
      <c r="K316" s="55">
        <f t="shared" si="1"/>
        <v>1327414</v>
      </c>
      <c r="L316" s="46">
        <v>53245</v>
      </c>
      <c r="N316" s="4">
        <v>7070</v>
      </c>
      <c r="P316" s="55">
        <f t="shared" si="2"/>
        <v>46175</v>
      </c>
      <c r="Q316" s="46">
        <v>13583</v>
      </c>
      <c r="R316" s="4">
        <v>497</v>
      </c>
      <c r="T316" s="4">
        <v>7978</v>
      </c>
      <c r="U316" s="55">
        <f t="shared" si="3"/>
        <v>5108</v>
      </c>
      <c r="V316" s="46">
        <v>1023312</v>
      </c>
      <c r="W316" s="4">
        <v>180</v>
      </c>
      <c r="X316" s="4">
        <v>55196</v>
      </c>
      <c r="Y316" s="4">
        <v>2311</v>
      </c>
      <c r="Z316" s="55">
        <f t="shared" si="4"/>
        <v>965625</v>
      </c>
      <c r="AA316" s="52">
        <f t="shared" si="5"/>
        <v>2474562</v>
      </c>
    </row>
    <row r="317" spans="1:27" ht="13.2" x14ac:dyDescent="0.25">
      <c r="A317" s="45">
        <v>44344</v>
      </c>
      <c r="B317" s="46">
        <v>19187</v>
      </c>
      <c r="E317" s="4">
        <v>1</v>
      </c>
      <c r="F317" s="4">
        <f t="shared" si="0"/>
        <v>19186</v>
      </c>
      <c r="G317" s="46">
        <v>1369163</v>
      </c>
      <c r="I317" s="4">
        <v>40493</v>
      </c>
      <c r="K317" s="55">
        <f t="shared" si="1"/>
        <v>1328670</v>
      </c>
      <c r="L317" s="46">
        <v>54008</v>
      </c>
      <c r="N317" s="4">
        <v>7393</v>
      </c>
      <c r="P317" s="55">
        <f t="shared" si="2"/>
        <v>46615</v>
      </c>
      <c r="Q317" s="46">
        <v>13666</v>
      </c>
      <c r="R317" s="4">
        <v>521</v>
      </c>
      <c r="T317" s="4">
        <v>8015</v>
      </c>
      <c r="U317" s="55">
        <f t="shared" si="3"/>
        <v>5130</v>
      </c>
      <c r="V317" s="46">
        <v>1025573</v>
      </c>
      <c r="W317" s="4">
        <v>180</v>
      </c>
      <c r="X317" s="4">
        <v>56158</v>
      </c>
      <c r="Y317" s="4">
        <v>2311</v>
      </c>
      <c r="Z317" s="55">
        <f t="shared" si="4"/>
        <v>966924</v>
      </c>
      <c r="AA317" s="52">
        <f t="shared" si="5"/>
        <v>2481597</v>
      </c>
    </row>
    <row r="318" spans="1:27" ht="13.2" x14ac:dyDescent="0.25">
      <c r="A318" s="45">
        <v>44345</v>
      </c>
      <c r="B318" s="46">
        <v>19251</v>
      </c>
      <c r="E318" s="4">
        <v>1</v>
      </c>
      <c r="F318" s="4">
        <f t="shared" si="0"/>
        <v>19250</v>
      </c>
      <c r="G318" s="46">
        <v>1374781</v>
      </c>
      <c r="I318" s="4">
        <v>43063</v>
      </c>
      <c r="K318" s="55">
        <f t="shared" si="1"/>
        <v>1331718</v>
      </c>
      <c r="L318" s="46">
        <v>55011</v>
      </c>
      <c r="N318" s="4">
        <v>7716</v>
      </c>
      <c r="P318" s="55">
        <f t="shared" si="2"/>
        <v>47295</v>
      </c>
      <c r="Q318" s="46">
        <v>13784</v>
      </c>
      <c r="R318" s="4">
        <v>545</v>
      </c>
      <c r="T318" s="4">
        <v>8058</v>
      </c>
      <c r="U318" s="55">
        <f t="shared" si="3"/>
        <v>5181</v>
      </c>
      <c r="V318" s="46">
        <v>1033609</v>
      </c>
      <c r="W318" s="4">
        <v>185</v>
      </c>
      <c r="X318" s="4">
        <v>61440</v>
      </c>
      <c r="Y318" s="4">
        <v>2311</v>
      </c>
      <c r="Z318" s="55">
        <f t="shared" si="4"/>
        <v>969673</v>
      </c>
      <c r="AA318" s="52">
        <f t="shared" si="5"/>
        <v>2496436</v>
      </c>
    </row>
    <row r="319" spans="1:27" ht="13.2" x14ac:dyDescent="0.25">
      <c r="A319" s="45">
        <v>44346</v>
      </c>
      <c r="B319" s="46">
        <v>19280</v>
      </c>
      <c r="E319" s="4">
        <v>1</v>
      </c>
      <c r="F319" s="4">
        <f t="shared" si="0"/>
        <v>19279</v>
      </c>
      <c r="G319" s="46">
        <v>1381155</v>
      </c>
      <c r="I319" s="4">
        <v>5289</v>
      </c>
      <c r="K319" s="55">
        <f t="shared" si="1"/>
        <v>1375866</v>
      </c>
      <c r="L319" s="46">
        <v>56933</v>
      </c>
      <c r="N319" s="4">
        <v>1658</v>
      </c>
      <c r="P319" s="55">
        <f t="shared" si="2"/>
        <v>55275</v>
      </c>
      <c r="Q319" s="46">
        <v>13894</v>
      </c>
      <c r="R319" s="4">
        <v>53</v>
      </c>
      <c r="T319" s="4">
        <v>8099</v>
      </c>
      <c r="U319" s="55">
        <f t="shared" si="3"/>
        <v>5742</v>
      </c>
      <c r="V319" s="46">
        <v>1040764</v>
      </c>
      <c r="W319" s="4">
        <v>17</v>
      </c>
      <c r="X319" s="4">
        <v>6473</v>
      </c>
      <c r="Y319" s="4">
        <v>2311</v>
      </c>
      <c r="Z319" s="55">
        <f t="shared" si="4"/>
        <v>1031963</v>
      </c>
      <c r="AA319" s="52">
        <f t="shared" si="5"/>
        <v>2512026</v>
      </c>
    </row>
    <row r="320" spans="1:27" ht="13.2" x14ac:dyDescent="0.25">
      <c r="A320" s="45">
        <v>44347</v>
      </c>
      <c r="B320" s="46">
        <v>19283</v>
      </c>
      <c r="E320" s="4">
        <v>1</v>
      </c>
      <c r="F320" s="4">
        <f t="shared" si="0"/>
        <v>19282</v>
      </c>
      <c r="G320" s="46">
        <v>1388562</v>
      </c>
      <c r="I320" s="4">
        <v>10891</v>
      </c>
      <c r="K320" s="55">
        <f t="shared" si="1"/>
        <v>1377671</v>
      </c>
      <c r="L320" s="46">
        <v>58242</v>
      </c>
      <c r="N320" s="4">
        <v>2720</v>
      </c>
      <c r="P320" s="55">
        <f t="shared" si="2"/>
        <v>55522</v>
      </c>
      <c r="Q320" s="46">
        <v>14020</v>
      </c>
      <c r="R320" s="4">
        <v>127</v>
      </c>
      <c r="T320" s="4">
        <v>8137</v>
      </c>
      <c r="U320" s="55">
        <f t="shared" si="3"/>
        <v>5756</v>
      </c>
      <c r="V320" s="46">
        <v>1046118</v>
      </c>
      <c r="W320" s="4">
        <v>29</v>
      </c>
      <c r="X320" s="4">
        <v>11232</v>
      </c>
      <c r="Y320" s="4">
        <v>2311</v>
      </c>
      <c r="Z320" s="55">
        <f t="shared" si="4"/>
        <v>1032546</v>
      </c>
      <c r="AA320" s="52">
        <f t="shared" si="5"/>
        <v>2526225</v>
      </c>
    </row>
    <row r="321" spans="1:27" ht="13.2" x14ac:dyDescent="0.25">
      <c r="A321" s="45">
        <v>44348</v>
      </c>
      <c r="B321" s="46">
        <v>19312</v>
      </c>
      <c r="E321" s="4">
        <v>1</v>
      </c>
      <c r="F321" s="4">
        <f t="shared" si="0"/>
        <v>19311</v>
      </c>
      <c r="G321" s="46">
        <v>1392600</v>
      </c>
      <c r="I321" s="4">
        <v>13669</v>
      </c>
      <c r="K321" s="55">
        <f t="shared" si="1"/>
        <v>1378931</v>
      </c>
      <c r="L321" s="46">
        <v>59115</v>
      </c>
      <c r="N321" s="4">
        <v>3141</v>
      </c>
      <c r="P321" s="55">
        <f t="shared" si="2"/>
        <v>55974</v>
      </c>
      <c r="Q321" s="46">
        <v>14086</v>
      </c>
      <c r="R321" s="4">
        <v>153</v>
      </c>
      <c r="T321" s="4">
        <v>8173</v>
      </c>
      <c r="U321" s="55">
        <f t="shared" si="3"/>
        <v>5760</v>
      </c>
      <c r="V321" s="46">
        <v>1049554</v>
      </c>
      <c r="W321" s="4">
        <v>34</v>
      </c>
      <c r="X321" s="4">
        <v>14278</v>
      </c>
      <c r="Y321" s="4">
        <v>2311</v>
      </c>
      <c r="Z321" s="55">
        <f t="shared" si="4"/>
        <v>1032931</v>
      </c>
      <c r="AA321" s="52">
        <f t="shared" si="5"/>
        <v>2534667</v>
      </c>
    </row>
    <row r="322" spans="1:27" ht="13.2" x14ac:dyDescent="0.25">
      <c r="A322" s="45">
        <v>44349</v>
      </c>
      <c r="B322" s="46">
        <v>19322</v>
      </c>
      <c r="E322" s="4">
        <v>1</v>
      </c>
      <c r="F322" s="4">
        <f t="shared" si="0"/>
        <v>19321</v>
      </c>
      <c r="G322" s="46">
        <v>1398550</v>
      </c>
      <c r="I322" s="4">
        <v>18442</v>
      </c>
      <c r="K322" s="55">
        <f t="shared" si="1"/>
        <v>1380108</v>
      </c>
      <c r="L322" s="46">
        <v>60001</v>
      </c>
      <c r="N322" s="4">
        <v>3901</v>
      </c>
      <c r="P322" s="55">
        <f t="shared" si="2"/>
        <v>56100</v>
      </c>
      <c r="Q322" s="46">
        <v>14178</v>
      </c>
      <c r="R322" s="4">
        <v>173</v>
      </c>
      <c r="T322" s="4">
        <v>8214</v>
      </c>
      <c r="U322" s="55">
        <f t="shared" si="3"/>
        <v>5791</v>
      </c>
      <c r="V322" s="46">
        <v>1056184</v>
      </c>
      <c r="W322" s="4">
        <v>47</v>
      </c>
      <c r="X322" s="4">
        <v>20385</v>
      </c>
      <c r="Y322" s="4">
        <v>2311</v>
      </c>
      <c r="Z322" s="55">
        <f t="shared" si="4"/>
        <v>1033441</v>
      </c>
      <c r="AA322" s="52">
        <f t="shared" si="5"/>
        <v>2548235</v>
      </c>
    </row>
    <row r="323" spans="1:27" ht="13.2" x14ac:dyDescent="0.25">
      <c r="A323" s="45">
        <v>44350</v>
      </c>
      <c r="B323" s="46">
        <v>19334</v>
      </c>
      <c r="E323" s="4">
        <v>1</v>
      </c>
      <c r="F323" s="4">
        <f t="shared" si="0"/>
        <v>19333</v>
      </c>
      <c r="G323" s="46">
        <v>1402176</v>
      </c>
      <c r="I323" s="4">
        <v>21337</v>
      </c>
      <c r="K323" s="55">
        <f t="shared" si="1"/>
        <v>1380839</v>
      </c>
      <c r="L323" s="46">
        <v>60878</v>
      </c>
      <c r="N323" s="4">
        <v>4668</v>
      </c>
      <c r="P323" s="55">
        <f t="shared" si="2"/>
        <v>56210</v>
      </c>
      <c r="Q323" s="46">
        <v>14262</v>
      </c>
      <c r="R323" s="4">
        <v>215</v>
      </c>
      <c r="T323" s="4">
        <v>8246</v>
      </c>
      <c r="U323" s="55">
        <f t="shared" si="3"/>
        <v>5801</v>
      </c>
      <c r="V323" s="46">
        <v>1060223</v>
      </c>
      <c r="W323" s="4">
        <v>49</v>
      </c>
      <c r="X323" s="4">
        <v>24026</v>
      </c>
      <c r="Y323" s="4">
        <v>2311</v>
      </c>
      <c r="Z323" s="55">
        <f t="shared" si="4"/>
        <v>1033837</v>
      </c>
      <c r="AA323" s="52">
        <f t="shared" si="5"/>
        <v>2556873</v>
      </c>
    </row>
    <row r="324" spans="1:27" ht="13.2" x14ac:dyDescent="0.25">
      <c r="A324" s="45">
        <v>44351</v>
      </c>
      <c r="B324" s="46">
        <v>19383</v>
      </c>
      <c r="E324" s="4">
        <v>1</v>
      </c>
      <c r="F324" s="4">
        <f t="shared" si="0"/>
        <v>19382</v>
      </c>
      <c r="G324" s="46">
        <v>1408224</v>
      </c>
      <c r="I324" s="4">
        <v>26795</v>
      </c>
      <c r="K324" s="55">
        <f t="shared" si="1"/>
        <v>1381429</v>
      </c>
      <c r="L324" s="46">
        <v>61631</v>
      </c>
      <c r="N324" s="4">
        <v>5078</v>
      </c>
      <c r="P324" s="55">
        <f t="shared" si="2"/>
        <v>56553</v>
      </c>
      <c r="Q324" s="46">
        <v>14343</v>
      </c>
      <c r="R324" s="4">
        <v>258</v>
      </c>
      <c r="T324" s="4">
        <v>8283</v>
      </c>
      <c r="U324" s="55">
        <f t="shared" si="3"/>
        <v>5802</v>
      </c>
      <c r="V324" s="46">
        <v>1067664</v>
      </c>
      <c r="W324" s="4">
        <v>69</v>
      </c>
      <c r="X324" s="4">
        <v>30628</v>
      </c>
      <c r="Y324" s="4">
        <v>2311</v>
      </c>
      <c r="Z324" s="55">
        <f t="shared" si="4"/>
        <v>1034656</v>
      </c>
      <c r="AA324" s="52">
        <f t="shared" si="5"/>
        <v>2571245</v>
      </c>
    </row>
    <row r="325" spans="1:27" ht="13.2" x14ac:dyDescent="0.25">
      <c r="A325" s="45">
        <v>44352</v>
      </c>
      <c r="B325" s="46">
        <v>19435</v>
      </c>
      <c r="E325" s="4">
        <v>1</v>
      </c>
      <c r="F325" s="4">
        <f t="shared" si="0"/>
        <v>19434</v>
      </c>
      <c r="G325" s="46">
        <v>1417507</v>
      </c>
      <c r="I325" s="4">
        <v>35272</v>
      </c>
      <c r="K325" s="55">
        <f t="shared" si="1"/>
        <v>1382235</v>
      </c>
      <c r="L325" s="46">
        <v>62341</v>
      </c>
      <c r="N325" s="4">
        <v>5645</v>
      </c>
      <c r="P325" s="55">
        <f t="shared" si="2"/>
        <v>56696</v>
      </c>
      <c r="Q325" s="46">
        <v>14509</v>
      </c>
      <c r="R325" s="4">
        <v>384</v>
      </c>
      <c r="T325" s="4">
        <v>8322</v>
      </c>
      <c r="U325" s="55">
        <f t="shared" si="3"/>
        <v>5803</v>
      </c>
      <c r="V325" s="46">
        <v>1073132</v>
      </c>
      <c r="W325" s="4">
        <v>92</v>
      </c>
      <c r="X325" s="4">
        <v>35252</v>
      </c>
      <c r="Y325" s="4">
        <v>2311</v>
      </c>
      <c r="Z325" s="55">
        <f t="shared" si="4"/>
        <v>1035477</v>
      </c>
      <c r="AA325" s="52">
        <f t="shared" si="5"/>
        <v>2586924</v>
      </c>
    </row>
    <row r="326" spans="1:27" ht="13.2" x14ac:dyDescent="0.25">
      <c r="A326" s="45">
        <v>44353</v>
      </c>
      <c r="B326" s="46">
        <v>19447</v>
      </c>
      <c r="E326" s="4">
        <v>1</v>
      </c>
      <c r="F326" s="4">
        <f t="shared" si="0"/>
        <v>19446</v>
      </c>
      <c r="G326" s="46">
        <v>1423505</v>
      </c>
      <c r="I326" s="4">
        <v>40417</v>
      </c>
      <c r="K326" s="55">
        <f t="shared" si="1"/>
        <v>1383088</v>
      </c>
      <c r="L326" s="46">
        <v>63677</v>
      </c>
      <c r="N326" s="4">
        <v>6872</v>
      </c>
      <c r="P326" s="55">
        <f t="shared" si="2"/>
        <v>56805</v>
      </c>
      <c r="Q326" s="46">
        <v>14629</v>
      </c>
      <c r="R326" s="4">
        <v>448</v>
      </c>
      <c r="T326" s="4">
        <v>8363</v>
      </c>
      <c r="U326" s="55">
        <f t="shared" si="3"/>
        <v>5818</v>
      </c>
      <c r="V326" s="46">
        <v>1079610</v>
      </c>
      <c r="W326" s="4">
        <v>103</v>
      </c>
      <c r="X326" s="4">
        <v>40665</v>
      </c>
      <c r="Y326" s="4">
        <v>2311</v>
      </c>
      <c r="Z326" s="55">
        <f t="shared" si="4"/>
        <v>1036531</v>
      </c>
      <c r="AA326" s="52">
        <f t="shared" si="5"/>
        <v>2600868</v>
      </c>
    </row>
    <row r="327" spans="1:27" ht="13.2" x14ac:dyDescent="0.25">
      <c r="A327" s="45">
        <v>44354</v>
      </c>
      <c r="B327" s="46">
        <v>19461</v>
      </c>
      <c r="E327" s="4">
        <v>1</v>
      </c>
      <c r="F327" s="4">
        <f t="shared" si="0"/>
        <v>19460</v>
      </c>
      <c r="G327" s="46">
        <v>1428099</v>
      </c>
      <c r="I327" s="4">
        <v>43584</v>
      </c>
      <c r="K327" s="55">
        <f t="shared" si="1"/>
        <v>1384515</v>
      </c>
      <c r="L327" s="46">
        <v>64435</v>
      </c>
      <c r="N327" s="4">
        <v>7551</v>
      </c>
      <c r="P327" s="55">
        <f t="shared" si="2"/>
        <v>56884</v>
      </c>
      <c r="Q327" s="46">
        <v>14726</v>
      </c>
      <c r="R327" s="4">
        <v>508</v>
      </c>
      <c r="T327" s="4">
        <v>8398</v>
      </c>
      <c r="U327" s="55">
        <f t="shared" si="3"/>
        <v>5820</v>
      </c>
      <c r="V327" s="46">
        <v>1083622</v>
      </c>
      <c r="W327" s="4">
        <v>105</v>
      </c>
      <c r="X327" s="4">
        <v>43929</v>
      </c>
      <c r="Y327" s="4">
        <v>2311</v>
      </c>
      <c r="Z327" s="55">
        <f t="shared" si="4"/>
        <v>1037277</v>
      </c>
      <c r="AA327" s="52">
        <f t="shared" si="5"/>
        <v>2610343</v>
      </c>
    </row>
    <row r="328" spans="1:27" ht="13.2" x14ac:dyDescent="0.25">
      <c r="A328" s="45">
        <v>44355</v>
      </c>
      <c r="B328" s="46">
        <v>19469</v>
      </c>
      <c r="E328" s="4">
        <v>1</v>
      </c>
      <c r="F328" s="4">
        <f t="shared" si="0"/>
        <v>19468</v>
      </c>
      <c r="G328" s="46">
        <v>1431713</v>
      </c>
      <c r="I328" s="4">
        <v>46016</v>
      </c>
      <c r="K328" s="55">
        <f t="shared" si="1"/>
        <v>1385697</v>
      </c>
      <c r="L328" s="46">
        <v>64973</v>
      </c>
      <c r="N328" s="4">
        <v>7913</v>
      </c>
      <c r="P328" s="55">
        <f t="shared" si="2"/>
        <v>57060</v>
      </c>
      <c r="Q328" s="46">
        <v>14829</v>
      </c>
      <c r="R328" s="4">
        <v>556</v>
      </c>
      <c r="T328" s="4">
        <v>8439</v>
      </c>
      <c r="U328" s="55">
        <f t="shared" si="3"/>
        <v>5834</v>
      </c>
      <c r="V328" s="46">
        <v>1086930</v>
      </c>
      <c r="W328" s="4">
        <v>106</v>
      </c>
      <c r="X328" s="4">
        <v>46068</v>
      </c>
      <c r="Y328" s="4">
        <v>2311</v>
      </c>
      <c r="Z328" s="55">
        <f t="shared" si="4"/>
        <v>1038445</v>
      </c>
      <c r="AA328" s="52">
        <f t="shared" si="5"/>
        <v>2617914</v>
      </c>
    </row>
    <row r="329" spans="1:27" ht="13.2" x14ac:dyDescent="0.25">
      <c r="A329" s="45">
        <v>44356</v>
      </c>
      <c r="B329" s="46">
        <v>19501</v>
      </c>
      <c r="E329" s="4">
        <v>1</v>
      </c>
      <c r="F329" s="4">
        <f t="shared" si="0"/>
        <v>19500</v>
      </c>
      <c r="G329" s="46">
        <v>1436923</v>
      </c>
      <c r="I329" s="4">
        <v>49463</v>
      </c>
      <c r="K329" s="55">
        <f t="shared" si="1"/>
        <v>1387460</v>
      </c>
      <c r="L329" s="46">
        <v>65371</v>
      </c>
      <c r="N329" s="4">
        <v>7937</v>
      </c>
      <c r="P329" s="55">
        <f t="shared" si="2"/>
        <v>57434</v>
      </c>
      <c r="Q329" s="46">
        <v>14888</v>
      </c>
      <c r="R329" s="4">
        <v>568</v>
      </c>
      <c r="T329" s="4">
        <v>8477</v>
      </c>
      <c r="U329" s="55">
        <f t="shared" si="3"/>
        <v>5843</v>
      </c>
      <c r="V329" s="46">
        <v>1092282</v>
      </c>
      <c r="W329" s="4">
        <v>117</v>
      </c>
      <c r="X329" s="4">
        <v>50406</v>
      </c>
      <c r="Y329" s="4">
        <v>2311</v>
      </c>
      <c r="Z329" s="55">
        <f t="shared" si="4"/>
        <v>1039448</v>
      </c>
      <c r="AA329" s="52">
        <f t="shared" si="5"/>
        <v>2628965</v>
      </c>
    </row>
    <row r="330" spans="1:27" ht="13.2" x14ac:dyDescent="0.25">
      <c r="A330" s="45">
        <v>44357</v>
      </c>
      <c r="B330" s="46">
        <v>19552</v>
      </c>
      <c r="E330" s="4">
        <v>1</v>
      </c>
      <c r="F330" s="4">
        <f t="shared" si="0"/>
        <v>19551</v>
      </c>
      <c r="G330" s="46">
        <v>1443755</v>
      </c>
      <c r="I330" s="4">
        <v>50893</v>
      </c>
      <c r="K330" s="55">
        <f t="shared" si="1"/>
        <v>1392862</v>
      </c>
      <c r="L330" s="46">
        <v>65873</v>
      </c>
      <c r="N330" s="4">
        <v>6833</v>
      </c>
      <c r="P330" s="55">
        <f t="shared" si="2"/>
        <v>59040</v>
      </c>
      <c r="Q330" s="46">
        <v>15027</v>
      </c>
      <c r="R330" s="4">
        <v>607</v>
      </c>
      <c r="T330" s="4">
        <v>8516</v>
      </c>
      <c r="U330" s="55">
        <f t="shared" si="3"/>
        <v>5904</v>
      </c>
      <c r="V330" s="46">
        <v>1098226</v>
      </c>
      <c r="W330" s="4">
        <v>121</v>
      </c>
      <c r="X330" s="4">
        <v>53410</v>
      </c>
      <c r="Y330" s="4">
        <v>2311</v>
      </c>
      <c r="Z330" s="55">
        <f t="shared" si="4"/>
        <v>1042384</v>
      </c>
      <c r="AA330" s="52">
        <f t="shared" si="5"/>
        <v>2642433</v>
      </c>
    </row>
    <row r="331" spans="1:27" ht="13.2" x14ac:dyDescent="0.25">
      <c r="A331" s="45">
        <v>44358</v>
      </c>
      <c r="B331" s="46">
        <v>19595</v>
      </c>
      <c r="E331" s="4">
        <v>1</v>
      </c>
      <c r="F331" s="4">
        <f t="shared" si="0"/>
        <v>19594</v>
      </c>
      <c r="G331" s="46">
        <v>1451548</v>
      </c>
      <c r="I331" s="4">
        <v>52315</v>
      </c>
      <c r="K331" s="55">
        <f t="shared" si="1"/>
        <v>1399233</v>
      </c>
      <c r="L331" s="46">
        <v>67299</v>
      </c>
      <c r="N331" s="4">
        <v>7154</v>
      </c>
      <c r="P331" s="55">
        <f t="shared" si="2"/>
        <v>60145</v>
      </c>
      <c r="Q331" s="46">
        <v>15181</v>
      </c>
      <c r="R331" s="4">
        <v>625</v>
      </c>
      <c r="T331" s="4">
        <v>8558</v>
      </c>
      <c r="U331" s="55">
        <f t="shared" si="3"/>
        <v>5998</v>
      </c>
      <c r="V331" s="46">
        <v>1105177</v>
      </c>
      <c r="W331" s="4">
        <v>114</v>
      </c>
      <c r="X331" s="4">
        <v>53624</v>
      </c>
      <c r="Y331" s="4">
        <v>2311</v>
      </c>
      <c r="Z331" s="55">
        <f t="shared" si="4"/>
        <v>1049128</v>
      </c>
      <c r="AA331" s="52">
        <f t="shared" si="5"/>
        <v>2658800</v>
      </c>
    </row>
    <row r="332" spans="1:27" ht="13.2" x14ac:dyDescent="0.25">
      <c r="A332" s="45">
        <v>44359</v>
      </c>
      <c r="B332" s="46">
        <v>19645</v>
      </c>
      <c r="E332" s="4">
        <v>1</v>
      </c>
      <c r="F332" s="4">
        <f t="shared" si="0"/>
        <v>19644</v>
      </c>
      <c r="G332" s="46">
        <v>1458933</v>
      </c>
      <c r="I332" s="4">
        <v>54713</v>
      </c>
      <c r="K332" s="55">
        <f t="shared" si="1"/>
        <v>1404220</v>
      </c>
      <c r="L332" s="46">
        <v>68515</v>
      </c>
      <c r="N332" s="4">
        <v>7818</v>
      </c>
      <c r="P332" s="55">
        <f t="shared" si="2"/>
        <v>60697</v>
      </c>
      <c r="Q332" s="46">
        <v>15319</v>
      </c>
      <c r="R332" s="4">
        <v>660</v>
      </c>
      <c r="T332" s="4">
        <v>8602</v>
      </c>
      <c r="U332" s="55">
        <f t="shared" si="3"/>
        <v>6057</v>
      </c>
      <c r="V332" s="46">
        <v>1111539</v>
      </c>
      <c r="W332" s="4">
        <v>119</v>
      </c>
      <c r="X332" s="4">
        <v>55662</v>
      </c>
      <c r="Y332" s="4">
        <v>2311</v>
      </c>
      <c r="Z332" s="55">
        <f t="shared" si="4"/>
        <v>1053447</v>
      </c>
      <c r="AA332" s="52">
        <f t="shared" si="5"/>
        <v>2673951</v>
      </c>
    </row>
    <row r="333" spans="1:27" ht="13.2" x14ac:dyDescent="0.25">
      <c r="A333" s="45">
        <v>44360</v>
      </c>
      <c r="B333" s="46">
        <v>19681</v>
      </c>
      <c r="E333" s="4">
        <v>1</v>
      </c>
      <c r="F333" s="4">
        <f t="shared" si="0"/>
        <v>19680</v>
      </c>
      <c r="G333" s="46">
        <v>1466125</v>
      </c>
      <c r="I333" s="4">
        <v>59313</v>
      </c>
      <c r="K333" s="55">
        <f t="shared" si="1"/>
        <v>1406812</v>
      </c>
      <c r="L333" s="46">
        <v>68997</v>
      </c>
      <c r="N333" s="4">
        <v>7732</v>
      </c>
      <c r="P333" s="55">
        <f t="shared" si="2"/>
        <v>61265</v>
      </c>
      <c r="Q333" s="46">
        <v>15491</v>
      </c>
      <c r="R333" s="4">
        <v>779</v>
      </c>
      <c r="T333" s="4">
        <v>8647</v>
      </c>
      <c r="U333" s="55">
        <f t="shared" si="3"/>
        <v>6065</v>
      </c>
      <c r="V333" s="46">
        <v>1117151</v>
      </c>
      <c r="W333" s="4">
        <v>134</v>
      </c>
      <c r="X333" s="4">
        <v>57374</v>
      </c>
      <c r="Y333" s="4">
        <v>2311</v>
      </c>
      <c r="Z333" s="55">
        <f t="shared" si="4"/>
        <v>1057332</v>
      </c>
      <c r="AA333" s="52">
        <f t="shared" si="5"/>
        <v>2687445</v>
      </c>
    </row>
    <row r="334" spans="1:27" ht="13.2" x14ac:dyDescent="0.25">
      <c r="A334" s="45">
        <v>44361</v>
      </c>
      <c r="B334" s="46">
        <v>19708</v>
      </c>
      <c r="E334" s="4">
        <v>1</v>
      </c>
      <c r="F334" s="4">
        <f t="shared" si="0"/>
        <v>19707</v>
      </c>
      <c r="G334" s="46">
        <v>1472671</v>
      </c>
      <c r="I334" s="4">
        <v>58514</v>
      </c>
      <c r="K334" s="55">
        <f t="shared" si="1"/>
        <v>1414157</v>
      </c>
      <c r="L334" s="46">
        <v>69645</v>
      </c>
      <c r="N334" s="4">
        <v>7682</v>
      </c>
      <c r="P334" s="55">
        <f t="shared" si="2"/>
        <v>61963</v>
      </c>
      <c r="Q334" s="46">
        <v>15608</v>
      </c>
      <c r="R334" s="4">
        <v>792</v>
      </c>
      <c r="T334" s="4">
        <v>8687</v>
      </c>
      <c r="U334" s="55">
        <f t="shared" si="3"/>
        <v>6129</v>
      </c>
      <c r="V334" s="46">
        <v>1120869</v>
      </c>
      <c r="W334" s="4">
        <v>131</v>
      </c>
      <c r="X334" s="4">
        <v>54310</v>
      </c>
      <c r="Y334" s="4">
        <v>2311</v>
      </c>
      <c r="Z334" s="55">
        <f t="shared" si="4"/>
        <v>1064117</v>
      </c>
      <c r="AA334" s="52">
        <f t="shared" si="5"/>
        <v>2698501</v>
      </c>
    </row>
    <row r="335" spans="1:27" ht="13.2" x14ac:dyDescent="0.25">
      <c r="A335" s="45">
        <v>44362</v>
      </c>
      <c r="B335" s="46">
        <v>19717</v>
      </c>
      <c r="E335" s="4">
        <v>1</v>
      </c>
      <c r="F335" s="4">
        <f t="shared" si="0"/>
        <v>19716</v>
      </c>
      <c r="G335" s="46">
        <v>1475758</v>
      </c>
      <c r="I335" s="4">
        <v>58259</v>
      </c>
      <c r="K335" s="55">
        <f t="shared" si="1"/>
        <v>1417499</v>
      </c>
      <c r="L335" s="46">
        <v>69932</v>
      </c>
      <c r="N335" s="4">
        <v>7575</v>
      </c>
      <c r="P335" s="55">
        <f t="shared" si="2"/>
        <v>62357</v>
      </c>
      <c r="Q335" s="46">
        <v>15675</v>
      </c>
      <c r="R335" s="4">
        <v>789</v>
      </c>
      <c r="T335" s="4">
        <v>8724</v>
      </c>
      <c r="U335" s="55">
        <f t="shared" si="3"/>
        <v>6162</v>
      </c>
      <c r="V335" s="46">
        <v>1123960</v>
      </c>
      <c r="W335" s="4">
        <v>124</v>
      </c>
      <c r="X335" s="4">
        <v>54842</v>
      </c>
      <c r="Y335" s="4">
        <v>2311</v>
      </c>
      <c r="Z335" s="55">
        <f t="shared" si="4"/>
        <v>1066683</v>
      </c>
      <c r="AA335" s="52">
        <f t="shared" si="5"/>
        <v>2705042</v>
      </c>
    </row>
    <row r="336" spans="1:27" ht="13.2" x14ac:dyDescent="0.25">
      <c r="A336" s="45">
        <v>44363</v>
      </c>
      <c r="B336" s="46">
        <v>19745</v>
      </c>
      <c r="E336" s="4">
        <v>1</v>
      </c>
      <c r="F336" s="4">
        <f t="shared" si="0"/>
        <v>19744</v>
      </c>
      <c r="G336" s="46">
        <v>1480368</v>
      </c>
      <c r="I336" s="4">
        <v>55456</v>
      </c>
      <c r="K336" s="55">
        <f t="shared" si="1"/>
        <v>1424912</v>
      </c>
      <c r="L336" s="46">
        <v>70755</v>
      </c>
      <c r="N336" s="4">
        <v>7300</v>
      </c>
      <c r="P336" s="55">
        <f t="shared" si="2"/>
        <v>63455</v>
      </c>
      <c r="Q336" s="46">
        <v>15812</v>
      </c>
      <c r="R336" s="4">
        <v>769</v>
      </c>
      <c r="T336" s="4">
        <v>8775</v>
      </c>
      <c r="U336" s="55">
        <f t="shared" si="3"/>
        <v>6268</v>
      </c>
      <c r="V336" s="46">
        <v>1128672</v>
      </c>
      <c r="W336" s="4">
        <v>129</v>
      </c>
      <c r="X336" s="4">
        <v>53930</v>
      </c>
      <c r="Y336" s="4">
        <v>2311</v>
      </c>
      <c r="Z336" s="55">
        <f t="shared" si="4"/>
        <v>1072302</v>
      </c>
      <c r="AA336" s="52">
        <f t="shared" si="5"/>
        <v>2715352</v>
      </c>
    </row>
    <row r="337" spans="1:27" ht="13.2" x14ac:dyDescent="0.25">
      <c r="A337" s="45">
        <v>44364</v>
      </c>
      <c r="B337" s="46">
        <v>19796</v>
      </c>
      <c r="E337" s="4">
        <v>1</v>
      </c>
      <c r="F337" s="4">
        <f t="shared" si="0"/>
        <v>19795</v>
      </c>
      <c r="G337" s="46">
        <v>1487515</v>
      </c>
      <c r="I337" s="4">
        <v>56368</v>
      </c>
      <c r="K337" s="55">
        <f t="shared" si="1"/>
        <v>1431147</v>
      </c>
      <c r="L337" s="46">
        <v>71208</v>
      </c>
      <c r="N337" s="4">
        <v>6830</v>
      </c>
      <c r="P337" s="55">
        <f t="shared" si="2"/>
        <v>64378</v>
      </c>
      <c r="Q337" s="46">
        <v>15996</v>
      </c>
      <c r="R337" s="4">
        <v>769</v>
      </c>
      <c r="T337" s="4">
        <v>8839</v>
      </c>
      <c r="U337" s="55">
        <f t="shared" si="3"/>
        <v>6388</v>
      </c>
      <c r="V337" s="46">
        <v>1134662</v>
      </c>
      <c r="W337" s="4">
        <v>134</v>
      </c>
      <c r="X337" s="4">
        <v>54108</v>
      </c>
      <c r="Y337" s="4">
        <v>2311</v>
      </c>
      <c r="Z337" s="55">
        <f t="shared" si="4"/>
        <v>1078109</v>
      </c>
      <c r="AA337" s="52">
        <f t="shared" si="5"/>
        <v>2729177</v>
      </c>
    </row>
    <row r="338" spans="1:27" ht="13.2" x14ac:dyDescent="0.25">
      <c r="A338" s="45">
        <v>44365</v>
      </c>
      <c r="B338" s="46">
        <v>19822</v>
      </c>
      <c r="E338" s="4">
        <v>1</v>
      </c>
      <c r="F338" s="4">
        <f t="shared" si="0"/>
        <v>19821</v>
      </c>
      <c r="G338" s="46">
        <v>1491069</v>
      </c>
      <c r="I338" s="4">
        <v>54720</v>
      </c>
      <c r="K338" s="55">
        <f t="shared" si="1"/>
        <v>1436349</v>
      </c>
      <c r="L338" s="46">
        <v>71692</v>
      </c>
      <c r="N338" s="4">
        <v>6447</v>
      </c>
      <c r="P338" s="55">
        <f t="shared" si="2"/>
        <v>65245</v>
      </c>
      <c r="Q338" s="46">
        <v>16224</v>
      </c>
      <c r="R338" s="4">
        <v>798</v>
      </c>
      <c r="T338" s="4">
        <v>8945</v>
      </c>
      <c r="U338" s="55">
        <f t="shared" si="3"/>
        <v>6481</v>
      </c>
      <c r="V338" s="46">
        <v>1146535</v>
      </c>
      <c r="W338" s="4">
        <v>130</v>
      </c>
      <c r="X338" s="4">
        <v>60255</v>
      </c>
      <c r="Y338" s="4">
        <v>2311</v>
      </c>
      <c r="Z338" s="55">
        <f t="shared" si="4"/>
        <v>1083839</v>
      </c>
      <c r="AA338" s="52">
        <f t="shared" si="5"/>
        <v>2745342</v>
      </c>
    </row>
    <row r="339" spans="1:27" ht="13.2" x14ac:dyDescent="0.25">
      <c r="A339" s="45">
        <v>44366</v>
      </c>
      <c r="B339" s="46">
        <v>19883</v>
      </c>
      <c r="E339" s="4">
        <v>1</v>
      </c>
      <c r="F339" s="4">
        <f t="shared" si="0"/>
        <v>19882</v>
      </c>
      <c r="G339" s="46">
        <v>1499013</v>
      </c>
      <c r="I339" s="4">
        <v>58119</v>
      </c>
      <c r="K339" s="55">
        <f t="shared" si="1"/>
        <v>1440894</v>
      </c>
      <c r="L339" s="46">
        <v>72830</v>
      </c>
      <c r="N339" s="4">
        <v>6786</v>
      </c>
      <c r="P339" s="55">
        <f t="shared" si="2"/>
        <v>66044</v>
      </c>
      <c r="Q339" s="46">
        <v>16515</v>
      </c>
      <c r="R339" s="4">
        <v>928</v>
      </c>
      <c r="T339" s="4">
        <v>9063</v>
      </c>
      <c r="U339" s="55">
        <f t="shared" si="3"/>
        <v>6524</v>
      </c>
      <c r="V339" s="46">
        <v>1153512</v>
      </c>
      <c r="W339" s="4">
        <v>134</v>
      </c>
      <c r="X339" s="4">
        <v>62969</v>
      </c>
      <c r="Y339" s="4">
        <v>2311</v>
      </c>
      <c r="Z339" s="55">
        <f t="shared" si="4"/>
        <v>1088098</v>
      </c>
      <c r="AA339" s="52">
        <f t="shared" si="5"/>
        <v>2761753</v>
      </c>
    </row>
    <row r="340" spans="1:27" ht="13.2" x14ac:dyDescent="0.25">
      <c r="A340" s="45">
        <v>44367</v>
      </c>
      <c r="B340" s="46">
        <v>19942</v>
      </c>
      <c r="E340" s="4">
        <v>1</v>
      </c>
      <c r="F340" s="4">
        <f t="shared" si="0"/>
        <v>19941</v>
      </c>
      <c r="G340" s="46">
        <v>1507557</v>
      </c>
      <c r="I340" s="4">
        <v>64070</v>
      </c>
      <c r="K340" s="55">
        <f t="shared" si="1"/>
        <v>1443487</v>
      </c>
      <c r="L340" s="46">
        <v>73234</v>
      </c>
      <c r="N340" s="4">
        <v>6950</v>
      </c>
      <c r="P340" s="55">
        <f t="shared" si="2"/>
        <v>66284</v>
      </c>
      <c r="Q340" s="46">
        <v>16770</v>
      </c>
      <c r="R340" s="4">
        <v>1013</v>
      </c>
      <c r="T340" s="4">
        <v>9187</v>
      </c>
      <c r="U340" s="55">
        <f t="shared" si="3"/>
        <v>6570</v>
      </c>
      <c r="V340" s="46">
        <v>1160691</v>
      </c>
      <c r="W340" s="4">
        <v>134</v>
      </c>
      <c r="X340" s="4">
        <v>65788</v>
      </c>
      <c r="Y340" s="4">
        <v>2311</v>
      </c>
      <c r="Z340" s="55">
        <f t="shared" si="4"/>
        <v>1092458</v>
      </c>
      <c r="AA340" s="52">
        <f t="shared" si="5"/>
        <v>2778194</v>
      </c>
    </row>
    <row r="341" spans="1:27" ht="13.2" x14ac:dyDescent="0.25">
      <c r="A341" s="45">
        <v>44368</v>
      </c>
      <c r="B341" s="46">
        <v>19982</v>
      </c>
      <c r="E341" s="4">
        <v>1</v>
      </c>
      <c r="F341" s="4">
        <f t="shared" si="0"/>
        <v>19981</v>
      </c>
      <c r="G341" s="46">
        <v>1514935</v>
      </c>
      <c r="I341" s="4">
        <v>64023</v>
      </c>
      <c r="K341" s="55">
        <f t="shared" si="1"/>
        <v>1450912</v>
      </c>
      <c r="L341" s="46">
        <v>73686</v>
      </c>
      <c r="N341" s="4">
        <v>6909</v>
      </c>
      <c r="P341" s="55">
        <f t="shared" si="2"/>
        <v>66777</v>
      </c>
      <c r="Q341" s="46">
        <v>17012</v>
      </c>
      <c r="R341" s="4">
        <v>1024</v>
      </c>
      <c r="T341" s="4">
        <v>9324</v>
      </c>
      <c r="U341" s="55">
        <f t="shared" si="3"/>
        <v>6664</v>
      </c>
      <c r="V341" s="46">
        <v>1166521</v>
      </c>
      <c r="W341" s="4">
        <v>128</v>
      </c>
      <c r="X341" s="4">
        <v>65416</v>
      </c>
      <c r="Y341" s="4">
        <v>2311</v>
      </c>
      <c r="Z341" s="55">
        <f t="shared" si="4"/>
        <v>1098666</v>
      </c>
      <c r="AA341" s="52">
        <f t="shared" si="5"/>
        <v>2792136</v>
      </c>
    </row>
    <row r="342" spans="1:27" ht="13.2" x14ac:dyDescent="0.25">
      <c r="A342" s="45">
        <v>44369</v>
      </c>
      <c r="B342" s="46">
        <v>19989</v>
      </c>
      <c r="E342" s="4">
        <v>1</v>
      </c>
      <c r="F342" s="4">
        <f t="shared" si="0"/>
        <v>19988</v>
      </c>
      <c r="G342" s="46">
        <v>1520601</v>
      </c>
      <c r="I342" s="4">
        <v>63015</v>
      </c>
      <c r="K342" s="55">
        <f t="shared" si="1"/>
        <v>1457586</v>
      </c>
      <c r="L342" s="46">
        <v>74780</v>
      </c>
      <c r="N342" s="4">
        <v>7221</v>
      </c>
      <c r="P342" s="55">
        <f t="shared" si="2"/>
        <v>67559</v>
      </c>
      <c r="Q342" s="46">
        <v>17297</v>
      </c>
      <c r="R342" s="4">
        <v>1081</v>
      </c>
      <c r="T342" s="4">
        <v>9473</v>
      </c>
      <c r="U342" s="55">
        <f t="shared" si="3"/>
        <v>6743</v>
      </c>
      <c r="V342" s="46">
        <v>1169800</v>
      </c>
      <c r="W342" s="4">
        <v>111</v>
      </c>
      <c r="X342" s="4">
        <v>63025</v>
      </c>
      <c r="Y342" s="4">
        <v>2311</v>
      </c>
      <c r="Z342" s="55">
        <f t="shared" si="4"/>
        <v>1104353</v>
      </c>
      <c r="AA342" s="52">
        <f t="shared" si="5"/>
        <v>2802467</v>
      </c>
    </row>
    <row r="343" spans="1:27" ht="13.2" x14ac:dyDescent="0.25">
      <c r="A343" s="45">
        <v>44370</v>
      </c>
      <c r="B343" s="46">
        <v>20024</v>
      </c>
      <c r="E343" s="4">
        <v>1</v>
      </c>
      <c r="F343" s="4">
        <f t="shared" si="0"/>
        <v>20023</v>
      </c>
      <c r="G343" s="46">
        <v>1526400</v>
      </c>
      <c r="I343" s="4">
        <v>62010</v>
      </c>
      <c r="K343" s="55">
        <f t="shared" si="1"/>
        <v>1464390</v>
      </c>
      <c r="L343" s="46">
        <v>75075</v>
      </c>
      <c r="N343" s="4">
        <v>6336</v>
      </c>
      <c r="P343" s="55">
        <f t="shared" si="2"/>
        <v>68739</v>
      </c>
      <c r="Q343" s="46">
        <v>17565</v>
      </c>
      <c r="R343" s="4">
        <v>1108</v>
      </c>
      <c r="T343" s="4">
        <v>9626</v>
      </c>
      <c r="U343" s="55">
        <f t="shared" si="3"/>
        <v>6831</v>
      </c>
      <c r="V343" s="46">
        <v>1176070</v>
      </c>
      <c r="W343" s="4">
        <v>113</v>
      </c>
      <c r="X343" s="4">
        <v>63917</v>
      </c>
      <c r="Y343" s="4">
        <v>2311</v>
      </c>
      <c r="Z343" s="55">
        <f t="shared" si="4"/>
        <v>1109729</v>
      </c>
      <c r="AA343" s="52">
        <f t="shared" si="5"/>
        <v>2815134</v>
      </c>
    </row>
    <row r="344" spans="1:27" ht="13.2" x14ac:dyDescent="0.25">
      <c r="A344" s="45">
        <v>44371</v>
      </c>
      <c r="B344" s="46">
        <v>20087</v>
      </c>
      <c r="E344" s="4">
        <v>1</v>
      </c>
      <c r="F344" s="4">
        <f t="shared" si="0"/>
        <v>20086</v>
      </c>
      <c r="G344" s="46">
        <v>1534799</v>
      </c>
      <c r="I344" s="4">
        <v>64101</v>
      </c>
      <c r="K344" s="55">
        <f t="shared" si="1"/>
        <v>1470698</v>
      </c>
      <c r="L344" s="46">
        <v>75527</v>
      </c>
      <c r="N344" s="4">
        <v>6220</v>
      </c>
      <c r="P344" s="55">
        <f t="shared" si="2"/>
        <v>69307</v>
      </c>
      <c r="Q344" s="46">
        <v>17875</v>
      </c>
      <c r="R344" s="4">
        <v>1170</v>
      </c>
      <c r="T344" s="4">
        <v>9782</v>
      </c>
      <c r="U344" s="55">
        <f t="shared" si="3"/>
        <v>6923</v>
      </c>
      <c r="V344" s="46">
        <v>1182092</v>
      </c>
      <c r="W344" s="4">
        <v>112</v>
      </c>
      <c r="X344" s="4">
        <v>63502</v>
      </c>
      <c r="Y344" s="4">
        <v>2311</v>
      </c>
      <c r="Z344" s="55">
        <f t="shared" si="4"/>
        <v>1116167</v>
      </c>
      <c r="AA344" s="52">
        <f t="shared" si="5"/>
        <v>2830380</v>
      </c>
    </row>
    <row r="345" spans="1:27" ht="13.2" x14ac:dyDescent="0.25">
      <c r="A345" s="45">
        <v>44372</v>
      </c>
      <c r="B345" s="46">
        <v>20139</v>
      </c>
      <c r="E345" s="4">
        <v>1</v>
      </c>
      <c r="F345" s="4">
        <f t="shared" si="0"/>
        <v>20138</v>
      </c>
      <c r="G345" s="46">
        <v>1542366</v>
      </c>
      <c r="I345" s="4">
        <v>64803</v>
      </c>
      <c r="K345" s="55">
        <f t="shared" si="1"/>
        <v>1477563</v>
      </c>
      <c r="L345" s="46">
        <v>75402</v>
      </c>
      <c r="N345" s="4">
        <v>5522</v>
      </c>
      <c r="P345" s="55">
        <f t="shared" si="2"/>
        <v>69880</v>
      </c>
      <c r="Q345" s="46">
        <v>18204</v>
      </c>
      <c r="R345" s="4">
        <v>1203</v>
      </c>
      <c r="T345" s="4">
        <v>9948</v>
      </c>
      <c r="U345" s="55">
        <f t="shared" si="3"/>
        <v>7053</v>
      </c>
      <c r="V345" s="46">
        <v>1188110</v>
      </c>
      <c r="W345" s="4">
        <v>89</v>
      </c>
      <c r="X345" s="4">
        <v>63047</v>
      </c>
      <c r="Y345" s="4">
        <v>2311</v>
      </c>
      <c r="Z345" s="55">
        <f t="shared" si="4"/>
        <v>1122663</v>
      </c>
      <c r="AA345" s="52">
        <f t="shared" si="5"/>
        <v>2844221</v>
      </c>
    </row>
    <row r="346" spans="1:27" ht="13.2" x14ac:dyDescent="0.25">
      <c r="A346" s="45">
        <v>44373</v>
      </c>
      <c r="B346" s="46">
        <v>20225</v>
      </c>
      <c r="E346" s="4">
        <v>1</v>
      </c>
      <c r="F346" s="4">
        <f t="shared" si="0"/>
        <v>20224</v>
      </c>
      <c r="G346" s="46">
        <v>1550959</v>
      </c>
      <c r="I346" s="4">
        <v>69054</v>
      </c>
      <c r="K346" s="55">
        <f t="shared" si="1"/>
        <v>1481905</v>
      </c>
      <c r="L346" s="46">
        <v>76136</v>
      </c>
      <c r="N346" s="4">
        <v>5724</v>
      </c>
      <c r="P346" s="55">
        <f t="shared" si="2"/>
        <v>70412</v>
      </c>
      <c r="Q346" s="46">
        <v>18557</v>
      </c>
      <c r="R346" s="4">
        <v>1317</v>
      </c>
      <c r="T346" s="4">
        <v>10121</v>
      </c>
      <c r="U346" s="55">
        <f t="shared" si="3"/>
        <v>7119</v>
      </c>
      <c r="V346" s="46">
        <v>1193895</v>
      </c>
      <c r="W346" s="4">
        <v>92</v>
      </c>
      <c r="X346" s="4">
        <v>64924</v>
      </c>
      <c r="Y346" s="4">
        <v>2311</v>
      </c>
      <c r="Z346" s="55">
        <f t="shared" si="4"/>
        <v>1126568</v>
      </c>
      <c r="AA346" s="52">
        <f t="shared" si="5"/>
        <v>2859772</v>
      </c>
    </row>
    <row r="347" spans="1:27" ht="13.2" x14ac:dyDescent="0.25">
      <c r="A347" s="45">
        <v>44374</v>
      </c>
      <c r="B347" s="46">
        <v>20274</v>
      </c>
      <c r="E347" s="4">
        <v>1</v>
      </c>
      <c r="F347" s="4">
        <f t="shared" si="0"/>
        <v>20273</v>
      </c>
      <c r="G347" s="46">
        <v>1558687</v>
      </c>
      <c r="I347" s="4">
        <v>74079</v>
      </c>
      <c r="K347" s="55">
        <f t="shared" si="1"/>
        <v>1484608</v>
      </c>
      <c r="L347" s="46">
        <v>76838</v>
      </c>
      <c r="N347" s="4">
        <v>5747</v>
      </c>
      <c r="P347" s="55">
        <f t="shared" si="2"/>
        <v>71091</v>
      </c>
      <c r="Q347" s="46">
        <v>18940</v>
      </c>
      <c r="R347" s="4">
        <v>1508</v>
      </c>
      <c r="T347" s="4">
        <v>10279</v>
      </c>
      <c r="U347" s="55">
        <f t="shared" si="3"/>
        <v>7153</v>
      </c>
      <c r="V347" s="46">
        <v>1200183</v>
      </c>
      <c r="W347" s="4">
        <v>101</v>
      </c>
      <c r="X347" s="4">
        <v>66967</v>
      </c>
      <c r="Y347" s="4">
        <v>2311</v>
      </c>
      <c r="Z347" s="55">
        <f t="shared" si="4"/>
        <v>1130804</v>
      </c>
      <c r="AA347" s="52">
        <f t="shared" si="5"/>
        <v>2874922</v>
      </c>
    </row>
    <row r="348" spans="1:27" ht="13.2" x14ac:dyDescent="0.25">
      <c r="A348" s="45">
        <v>44375</v>
      </c>
      <c r="B348" s="46">
        <v>20316</v>
      </c>
      <c r="E348" s="4">
        <v>1</v>
      </c>
      <c r="F348" s="4">
        <f t="shared" si="0"/>
        <v>20315</v>
      </c>
      <c r="G348" s="46">
        <v>1566239</v>
      </c>
      <c r="I348" s="4">
        <v>73645</v>
      </c>
      <c r="K348" s="55">
        <f t="shared" si="1"/>
        <v>1492594</v>
      </c>
      <c r="L348" s="46">
        <v>77259</v>
      </c>
      <c r="N348" s="4">
        <v>5624</v>
      </c>
      <c r="P348" s="55">
        <f t="shared" si="2"/>
        <v>71635</v>
      </c>
      <c r="Q348" s="46">
        <v>19171</v>
      </c>
      <c r="R348" s="4">
        <v>1496</v>
      </c>
      <c r="T348" s="4">
        <v>10413</v>
      </c>
      <c r="U348" s="55">
        <f t="shared" si="3"/>
        <v>7262</v>
      </c>
      <c r="V348" s="46">
        <v>1205217</v>
      </c>
      <c r="W348" s="4">
        <v>77</v>
      </c>
      <c r="X348" s="4">
        <v>65511</v>
      </c>
      <c r="Y348" s="4">
        <v>2311</v>
      </c>
      <c r="Z348" s="55">
        <f t="shared" si="4"/>
        <v>1137318</v>
      </c>
      <c r="AA348" s="52">
        <f t="shared" si="5"/>
        <v>2888202</v>
      </c>
    </row>
    <row r="349" spans="1:27" ht="13.2" x14ac:dyDescent="0.25">
      <c r="B349" s="56"/>
      <c r="G349" s="56"/>
      <c r="L349" s="56"/>
      <c r="Q349" s="56"/>
      <c r="V349" s="56"/>
      <c r="AA349" s="52"/>
    </row>
    <row r="350" spans="1:27" ht="13.2" x14ac:dyDescent="0.25">
      <c r="B350" s="56"/>
      <c r="G350" s="56"/>
      <c r="L350" s="56"/>
      <c r="Q350" s="56"/>
      <c r="V350" s="56"/>
      <c r="AA350" s="52"/>
    </row>
    <row r="351" spans="1:27" ht="13.2" x14ac:dyDescent="0.25">
      <c r="B351" s="56"/>
      <c r="G351" s="56"/>
      <c r="L351" s="56"/>
      <c r="Q351" s="56"/>
      <c r="V351" s="56"/>
      <c r="AA351" s="52"/>
    </row>
    <row r="352" spans="1:27" ht="13.2" x14ac:dyDescent="0.25">
      <c r="B352" s="56"/>
      <c r="G352" s="56"/>
      <c r="L352" s="56"/>
      <c r="Q352" s="56"/>
      <c r="V352" s="56"/>
      <c r="AA352" s="52"/>
    </row>
    <row r="353" spans="2:27" ht="13.2" x14ac:dyDescent="0.25">
      <c r="B353" s="56"/>
      <c r="G353" s="56"/>
      <c r="L353" s="56"/>
      <c r="Q353" s="56"/>
      <c r="V353" s="56"/>
      <c r="AA353" s="52"/>
    </row>
    <row r="354" spans="2:27" ht="13.2" x14ac:dyDescent="0.25">
      <c r="B354" s="56"/>
      <c r="G354" s="56"/>
      <c r="L354" s="56"/>
      <c r="Q354" s="56"/>
      <c r="V354" s="56"/>
      <c r="AA354" s="52"/>
    </row>
    <row r="355" spans="2:27" ht="13.2" x14ac:dyDescent="0.25">
      <c r="B355" s="56"/>
      <c r="G355" s="56"/>
      <c r="L355" s="56"/>
      <c r="Q355" s="56"/>
      <c r="V355" s="56"/>
      <c r="AA355" s="52"/>
    </row>
    <row r="356" spans="2:27" ht="13.2" x14ac:dyDescent="0.25">
      <c r="B356" s="56"/>
      <c r="G356" s="56"/>
      <c r="L356" s="56"/>
      <c r="Q356" s="56"/>
      <c r="V356" s="56"/>
      <c r="AA356" s="52"/>
    </row>
    <row r="357" spans="2:27" ht="13.2" x14ac:dyDescent="0.25">
      <c r="B357" s="56"/>
      <c r="G357" s="56"/>
      <c r="L357" s="56"/>
      <c r="Q357" s="56"/>
      <c r="V357" s="56"/>
      <c r="AA357" s="52"/>
    </row>
    <row r="358" spans="2:27" ht="13.2" x14ac:dyDescent="0.25">
      <c r="B358" s="56"/>
      <c r="G358" s="56"/>
      <c r="L358" s="56"/>
      <c r="Q358" s="56"/>
      <c r="V358" s="56"/>
      <c r="AA358" s="52"/>
    </row>
    <row r="359" spans="2:27" ht="13.2" x14ac:dyDescent="0.25">
      <c r="B359" s="56"/>
      <c r="G359" s="56"/>
      <c r="L359" s="56"/>
      <c r="Q359" s="56"/>
      <c r="V359" s="56"/>
      <c r="AA359" s="52"/>
    </row>
    <row r="360" spans="2:27" ht="13.2" x14ac:dyDescent="0.25">
      <c r="B360" s="56"/>
      <c r="G360" s="56"/>
      <c r="L360" s="56"/>
      <c r="Q360" s="56"/>
      <c r="V360" s="56"/>
      <c r="AA360" s="52"/>
    </row>
    <row r="361" spans="2:27" ht="13.2" x14ac:dyDescent="0.25">
      <c r="B361" s="56"/>
      <c r="G361" s="56"/>
      <c r="L361" s="56"/>
      <c r="Q361" s="56"/>
      <c r="V361" s="56"/>
      <c r="AA361" s="52"/>
    </row>
    <row r="362" spans="2:27" ht="13.2" x14ac:dyDescent="0.25">
      <c r="B362" s="56"/>
      <c r="G362" s="56"/>
      <c r="L362" s="56"/>
      <c r="Q362" s="56"/>
      <c r="V362" s="56"/>
      <c r="AA362" s="52"/>
    </row>
    <row r="363" spans="2:27" ht="13.2" x14ac:dyDescent="0.25">
      <c r="B363" s="56"/>
      <c r="G363" s="56"/>
      <c r="L363" s="56"/>
      <c r="Q363" s="56"/>
      <c r="V363" s="56"/>
      <c r="AA363" s="52"/>
    </row>
    <row r="364" spans="2:27" ht="13.2" x14ac:dyDescent="0.25">
      <c r="B364" s="56"/>
      <c r="G364" s="56"/>
      <c r="L364" s="56"/>
      <c r="Q364" s="56"/>
      <c r="V364" s="56"/>
      <c r="AA364" s="52"/>
    </row>
    <row r="365" spans="2:27" ht="13.2" x14ac:dyDescent="0.25">
      <c r="B365" s="56"/>
      <c r="G365" s="56"/>
      <c r="L365" s="56"/>
      <c r="Q365" s="56"/>
      <c r="V365" s="56"/>
      <c r="AA365" s="52"/>
    </row>
    <row r="366" spans="2:27" ht="13.2" x14ac:dyDescent="0.25">
      <c r="B366" s="56"/>
      <c r="G366" s="56"/>
      <c r="L366" s="56"/>
      <c r="Q366" s="56"/>
      <c r="V366" s="56"/>
      <c r="AA366" s="52"/>
    </row>
    <row r="367" spans="2:27" ht="13.2" x14ac:dyDescent="0.25">
      <c r="B367" s="56"/>
      <c r="G367" s="56"/>
      <c r="L367" s="56"/>
      <c r="Q367" s="56"/>
      <c r="V367" s="56"/>
      <c r="AA367" s="52"/>
    </row>
    <row r="368" spans="2:27" ht="13.2" x14ac:dyDescent="0.25">
      <c r="B368" s="56"/>
      <c r="G368" s="56"/>
      <c r="L368" s="56"/>
      <c r="Q368" s="56"/>
      <c r="V368" s="56"/>
      <c r="AA368" s="52"/>
    </row>
    <row r="369" spans="2:27" ht="13.2" x14ac:dyDescent="0.25">
      <c r="B369" s="56"/>
      <c r="G369" s="56"/>
      <c r="L369" s="56"/>
      <c r="Q369" s="56"/>
      <c r="V369" s="56"/>
      <c r="AA369" s="52"/>
    </row>
    <row r="370" spans="2:27" ht="13.2" x14ac:dyDescent="0.25">
      <c r="B370" s="56"/>
      <c r="G370" s="56"/>
      <c r="L370" s="56"/>
      <c r="Q370" s="56"/>
      <c r="V370" s="56"/>
      <c r="AA370" s="52"/>
    </row>
    <row r="371" spans="2:27" ht="13.2" x14ac:dyDescent="0.25">
      <c r="B371" s="56"/>
      <c r="G371" s="56"/>
      <c r="L371" s="56"/>
      <c r="Q371" s="56"/>
      <c r="V371" s="56"/>
      <c r="AA371" s="52"/>
    </row>
    <row r="372" spans="2:27" ht="13.2" x14ac:dyDescent="0.25">
      <c r="B372" s="56"/>
      <c r="G372" s="56"/>
      <c r="L372" s="56"/>
      <c r="Q372" s="56"/>
      <c r="V372" s="56"/>
      <c r="AA372" s="52"/>
    </row>
    <row r="373" spans="2:27" ht="13.2" x14ac:dyDescent="0.25">
      <c r="B373" s="56"/>
      <c r="G373" s="56"/>
      <c r="L373" s="56"/>
      <c r="Q373" s="56"/>
      <c r="V373" s="56"/>
      <c r="AA373" s="52"/>
    </row>
    <row r="374" spans="2:27" ht="13.2" x14ac:dyDescent="0.25">
      <c r="B374" s="56"/>
      <c r="G374" s="56"/>
      <c r="L374" s="56"/>
      <c r="Q374" s="56"/>
      <c r="V374" s="56"/>
      <c r="AA374" s="52"/>
    </row>
    <row r="375" spans="2:27" ht="13.2" x14ac:dyDescent="0.25">
      <c r="B375" s="56"/>
      <c r="G375" s="56"/>
      <c r="L375" s="56"/>
      <c r="Q375" s="56"/>
      <c r="V375" s="56"/>
      <c r="AA375" s="52"/>
    </row>
    <row r="376" spans="2:27" ht="13.2" x14ac:dyDescent="0.25">
      <c r="B376" s="56"/>
      <c r="G376" s="56"/>
      <c r="L376" s="56"/>
      <c r="Q376" s="56"/>
      <c r="V376" s="56"/>
      <c r="AA376" s="52"/>
    </row>
    <row r="377" spans="2:27" ht="13.2" x14ac:dyDescent="0.25">
      <c r="B377" s="56"/>
      <c r="G377" s="56"/>
      <c r="L377" s="56"/>
      <c r="Q377" s="56"/>
      <c r="V377" s="56"/>
      <c r="AA377" s="52"/>
    </row>
    <row r="378" spans="2:27" ht="13.2" x14ac:dyDescent="0.25">
      <c r="B378" s="56"/>
      <c r="G378" s="56"/>
      <c r="L378" s="56"/>
      <c r="Q378" s="56"/>
      <c r="V378" s="56"/>
      <c r="AA378" s="52"/>
    </row>
    <row r="379" spans="2:27" ht="13.2" x14ac:dyDescent="0.25">
      <c r="B379" s="56"/>
      <c r="G379" s="56"/>
      <c r="L379" s="56"/>
      <c r="Q379" s="56"/>
      <c r="V379" s="56"/>
      <c r="AA379" s="52"/>
    </row>
    <row r="380" spans="2:27" ht="13.2" x14ac:dyDescent="0.25">
      <c r="B380" s="56"/>
      <c r="G380" s="56"/>
      <c r="L380" s="56"/>
      <c r="Q380" s="56"/>
      <c r="V380" s="56"/>
      <c r="AA380" s="52"/>
    </row>
    <row r="381" spans="2:27" ht="13.2" x14ac:dyDescent="0.25">
      <c r="B381" s="56"/>
      <c r="G381" s="56"/>
      <c r="L381" s="56"/>
      <c r="Q381" s="56"/>
      <c r="V381" s="56"/>
      <c r="AA381" s="52"/>
    </row>
    <row r="382" spans="2:27" ht="13.2" x14ac:dyDescent="0.25">
      <c r="B382" s="56"/>
      <c r="G382" s="56"/>
      <c r="L382" s="56"/>
      <c r="Q382" s="56"/>
      <c r="V382" s="56"/>
      <c r="AA382" s="52"/>
    </row>
    <row r="383" spans="2:27" ht="13.2" x14ac:dyDescent="0.25">
      <c r="B383" s="56"/>
      <c r="G383" s="56"/>
      <c r="L383" s="56"/>
      <c r="Q383" s="56"/>
      <c r="V383" s="56"/>
      <c r="AA383" s="52"/>
    </row>
    <row r="384" spans="2:27" ht="13.2" x14ac:dyDescent="0.25">
      <c r="B384" s="56"/>
      <c r="G384" s="56"/>
      <c r="L384" s="56"/>
      <c r="Q384" s="56"/>
      <c r="V384" s="56"/>
      <c r="AA384" s="52"/>
    </row>
    <row r="385" spans="2:27" ht="13.2" x14ac:dyDescent="0.25">
      <c r="B385" s="56"/>
      <c r="G385" s="56"/>
      <c r="L385" s="56"/>
      <c r="Q385" s="56"/>
      <c r="V385" s="56"/>
      <c r="AA385" s="52"/>
    </row>
    <row r="386" spans="2:27" ht="13.2" x14ac:dyDescent="0.25">
      <c r="B386" s="56"/>
      <c r="G386" s="56"/>
      <c r="L386" s="56"/>
      <c r="Q386" s="56"/>
      <c r="V386" s="56"/>
      <c r="AA386" s="52"/>
    </row>
    <row r="387" spans="2:27" ht="13.2" x14ac:dyDescent="0.25">
      <c r="B387" s="56"/>
      <c r="G387" s="56"/>
      <c r="L387" s="56"/>
      <c r="Q387" s="56"/>
      <c r="V387" s="56"/>
      <c r="AA387" s="52"/>
    </row>
    <row r="388" spans="2:27" ht="13.2" x14ac:dyDescent="0.25">
      <c r="B388" s="56"/>
      <c r="G388" s="56"/>
      <c r="L388" s="56"/>
      <c r="Q388" s="56"/>
      <c r="V388" s="56"/>
      <c r="AA388" s="52"/>
    </row>
    <row r="389" spans="2:27" ht="13.2" x14ac:dyDescent="0.25">
      <c r="B389" s="56"/>
      <c r="G389" s="56"/>
      <c r="L389" s="56"/>
      <c r="Q389" s="56"/>
      <c r="V389" s="56"/>
      <c r="AA389" s="52"/>
    </row>
    <row r="390" spans="2:27" ht="13.2" x14ac:dyDescent="0.25">
      <c r="B390" s="56"/>
      <c r="G390" s="56"/>
      <c r="L390" s="56"/>
      <c r="Q390" s="56"/>
      <c r="V390" s="56"/>
      <c r="AA390" s="52"/>
    </row>
    <row r="391" spans="2:27" ht="13.2" x14ac:dyDescent="0.25">
      <c r="B391" s="56"/>
      <c r="G391" s="56"/>
      <c r="L391" s="56"/>
      <c r="Q391" s="56"/>
      <c r="V391" s="56"/>
      <c r="AA391" s="52"/>
    </row>
    <row r="392" spans="2:27" ht="13.2" x14ac:dyDescent="0.25">
      <c r="B392" s="56"/>
      <c r="G392" s="56"/>
      <c r="L392" s="56"/>
      <c r="Q392" s="56"/>
      <c r="V392" s="56"/>
      <c r="AA392" s="52"/>
    </row>
    <row r="393" spans="2:27" ht="13.2" x14ac:dyDescent="0.25">
      <c r="B393" s="56"/>
      <c r="G393" s="56"/>
      <c r="L393" s="56"/>
      <c r="Q393" s="56"/>
      <c r="V393" s="56"/>
      <c r="AA393" s="52"/>
    </row>
    <row r="394" spans="2:27" ht="13.2" x14ac:dyDescent="0.25">
      <c r="B394" s="56"/>
      <c r="G394" s="56"/>
      <c r="L394" s="56"/>
      <c r="Q394" s="56"/>
      <c r="V394" s="56"/>
      <c r="AA394" s="52"/>
    </row>
    <row r="395" spans="2:27" ht="13.2" x14ac:dyDescent="0.25">
      <c r="B395" s="56"/>
      <c r="G395" s="56"/>
      <c r="L395" s="56"/>
      <c r="Q395" s="56"/>
      <c r="V395" s="56"/>
      <c r="AA395" s="52"/>
    </row>
    <row r="396" spans="2:27" ht="13.2" x14ac:dyDescent="0.25">
      <c r="B396" s="56"/>
      <c r="G396" s="56"/>
      <c r="L396" s="56"/>
      <c r="Q396" s="56"/>
      <c r="V396" s="56"/>
      <c r="AA396" s="52"/>
    </row>
    <row r="397" spans="2:27" ht="13.2" x14ac:dyDescent="0.25">
      <c r="B397" s="56"/>
      <c r="G397" s="56"/>
      <c r="L397" s="56"/>
      <c r="Q397" s="56"/>
      <c r="V397" s="56"/>
      <c r="AA397" s="52"/>
    </row>
    <row r="398" spans="2:27" ht="13.2" x14ac:dyDescent="0.25">
      <c r="B398" s="56"/>
      <c r="G398" s="56"/>
      <c r="L398" s="56"/>
      <c r="Q398" s="56"/>
      <c r="V398" s="56"/>
      <c r="AA398" s="52"/>
    </row>
    <row r="399" spans="2:27" ht="13.2" x14ac:dyDescent="0.25">
      <c r="B399" s="56"/>
      <c r="G399" s="56"/>
      <c r="L399" s="56"/>
      <c r="Q399" s="56"/>
      <c r="V399" s="56"/>
      <c r="AA399" s="52"/>
    </row>
    <row r="400" spans="2:27" ht="13.2" x14ac:dyDescent="0.25">
      <c r="B400" s="56"/>
      <c r="G400" s="56"/>
      <c r="L400" s="56"/>
      <c r="Q400" s="56"/>
      <c r="V400" s="56"/>
      <c r="AA400" s="52"/>
    </row>
    <row r="401" spans="2:27" ht="13.2" x14ac:dyDescent="0.25">
      <c r="B401" s="56"/>
      <c r="G401" s="56"/>
      <c r="L401" s="56"/>
      <c r="Q401" s="56"/>
      <c r="V401" s="56"/>
      <c r="AA401" s="52"/>
    </row>
    <row r="402" spans="2:27" ht="13.2" x14ac:dyDescent="0.25">
      <c r="B402" s="56"/>
      <c r="G402" s="56"/>
      <c r="L402" s="56"/>
      <c r="Q402" s="56"/>
      <c r="V402" s="56"/>
      <c r="AA402" s="52"/>
    </row>
    <row r="403" spans="2:27" ht="13.2" x14ac:dyDescent="0.25">
      <c r="B403" s="56"/>
      <c r="G403" s="56"/>
      <c r="L403" s="56"/>
      <c r="Q403" s="56"/>
      <c r="V403" s="56"/>
      <c r="AA403" s="52"/>
    </row>
    <row r="404" spans="2:27" ht="13.2" x14ac:dyDescent="0.25">
      <c r="B404" s="56"/>
      <c r="G404" s="56"/>
      <c r="L404" s="56"/>
      <c r="Q404" s="56"/>
      <c r="V404" s="56"/>
      <c r="AA404" s="52"/>
    </row>
    <row r="405" spans="2:27" ht="13.2" x14ac:dyDescent="0.25">
      <c r="B405" s="56"/>
      <c r="G405" s="56"/>
      <c r="L405" s="56"/>
      <c r="Q405" s="56"/>
      <c r="V405" s="56"/>
      <c r="AA405" s="52"/>
    </row>
    <row r="406" spans="2:27" ht="13.2" x14ac:dyDescent="0.25">
      <c r="B406" s="56"/>
      <c r="G406" s="56"/>
      <c r="L406" s="56"/>
      <c r="Q406" s="56"/>
      <c r="V406" s="56"/>
      <c r="AA406" s="52"/>
    </row>
    <row r="407" spans="2:27" ht="13.2" x14ac:dyDescent="0.25">
      <c r="B407" s="56"/>
      <c r="G407" s="56"/>
      <c r="L407" s="56"/>
      <c r="Q407" s="56"/>
      <c r="V407" s="56"/>
      <c r="AA407" s="52"/>
    </row>
    <row r="408" spans="2:27" ht="13.2" x14ac:dyDescent="0.25">
      <c r="B408" s="56"/>
      <c r="G408" s="56"/>
      <c r="L408" s="56"/>
      <c r="Q408" s="56"/>
      <c r="V408" s="56"/>
      <c r="AA408" s="52"/>
    </row>
    <row r="409" spans="2:27" ht="13.2" x14ac:dyDescent="0.25">
      <c r="B409" s="56"/>
      <c r="G409" s="56"/>
      <c r="L409" s="56"/>
      <c r="Q409" s="56"/>
      <c r="V409" s="56"/>
      <c r="AA409" s="52"/>
    </row>
    <row r="410" spans="2:27" ht="13.2" x14ac:dyDescent="0.25">
      <c r="B410" s="56"/>
      <c r="G410" s="56"/>
      <c r="L410" s="56"/>
      <c r="Q410" s="56"/>
      <c r="V410" s="56"/>
      <c r="AA410" s="52"/>
    </row>
    <row r="411" spans="2:27" ht="13.2" x14ac:dyDescent="0.25">
      <c r="B411" s="56"/>
      <c r="G411" s="56"/>
      <c r="L411" s="56"/>
      <c r="Q411" s="56"/>
      <c r="V411" s="56"/>
      <c r="AA411" s="52"/>
    </row>
    <row r="412" spans="2:27" ht="13.2" x14ac:dyDescent="0.25">
      <c r="B412" s="56"/>
      <c r="G412" s="56"/>
      <c r="L412" s="56"/>
      <c r="Q412" s="56"/>
      <c r="V412" s="56"/>
      <c r="AA412" s="52"/>
    </row>
    <row r="413" spans="2:27" ht="13.2" x14ac:dyDescent="0.25">
      <c r="B413" s="56"/>
      <c r="G413" s="56"/>
      <c r="L413" s="56"/>
      <c r="Q413" s="56"/>
      <c r="V413" s="56"/>
      <c r="AA413" s="52"/>
    </row>
    <row r="414" spans="2:27" ht="13.2" x14ac:dyDescent="0.25">
      <c r="B414" s="56"/>
      <c r="G414" s="56"/>
      <c r="L414" s="56"/>
      <c r="Q414" s="56"/>
      <c r="V414" s="56"/>
      <c r="AA414" s="52"/>
    </row>
    <row r="415" spans="2:27" ht="13.2" x14ac:dyDescent="0.25">
      <c r="B415" s="56"/>
      <c r="G415" s="56"/>
      <c r="L415" s="56"/>
      <c r="Q415" s="56"/>
      <c r="V415" s="56"/>
      <c r="AA415" s="52"/>
    </row>
    <row r="416" spans="2:27" ht="13.2" x14ac:dyDescent="0.25">
      <c r="B416" s="56"/>
      <c r="G416" s="56"/>
      <c r="L416" s="56"/>
      <c r="Q416" s="56"/>
      <c r="V416" s="56"/>
      <c r="AA416" s="52"/>
    </row>
    <row r="417" spans="2:27" ht="13.2" x14ac:dyDescent="0.25">
      <c r="B417" s="56"/>
      <c r="G417" s="56"/>
      <c r="L417" s="56"/>
      <c r="Q417" s="56"/>
      <c r="V417" s="56"/>
      <c r="AA417" s="52"/>
    </row>
    <row r="418" spans="2:27" ht="13.2" x14ac:dyDescent="0.25">
      <c r="B418" s="56"/>
      <c r="G418" s="56"/>
      <c r="L418" s="56"/>
      <c r="Q418" s="56"/>
      <c r="V418" s="56"/>
      <c r="AA418" s="52"/>
    </row>
    <row r="419" spans="2:27" ht="13.2" x14ac:dyDescent="0.25">
      <c r="B419" s="56"/>
      <c r="G419" s="56"/>
      <c r="L419" s="56"/>
      <c r="Q419" s="56"/>
      <c r="V419" s="56"/>
      <c r="AA419" s="52"/>
    </row>
    <row r="420" spans="2:27" ht="13.2" x14ac:dyDescent="0.25">
      <c r="B420" s="56"/>
      <c r="G420" s="56"/>
      <c r="L420" s="56"/>
      <c r="Q420" s="56"/>
      <c r="V420" s="56"/>
      <c r="AA420" s="52"/>
    </row>
    <row r="421" spans="2:27" ht="13.2" x14ac:dyDescent="0.25">
      <c r="B421" s="56"/>
      <c r="G421" s="56"/>
      <c r="L421" s="56"/>
      <c r="Q421" s="56"/>
      <c r="V421" s="56"/>
      <c r="AA421" s="52"/>
    </row>
    <row r="422" spans="2:27" ht="13.2" x14ac:dyDescent="0.25">
      <c r="B422" s="56"/>
      <c r="G422" s="56"/>
      <c r="L422" s="56"/>
      <c r="Q422" s="56"/>
      <c r="V422" s="56"/>
      <c r="AA422" s="52"/>
    </row>
    <row r="423" spans="2:27" ht="13.2" x14ac:dyDescent="0.25">
      <c r="B423" s="56"/>
      <c r="G423" s="56"/>
      <c r="L423" s="56"/>
      <c r="Q423" s="56"/>
      <c r="V423" s="56"/>
      <c r="AA423" s="52"/>
    </row>
    <row r="424" spans="2:27" ht="13.2" x14ac:dyDescent="0.25">
      <c r="B424" s="56"/>
      <c r="G424" s="56"/>
      <c r="L424" s="56"/>
      <c r="Q424" s="56"/>
      <c r="V424" s="56"/>
      <c r="AA424" s="52"/>
    </row>
    <row r="425" spans="2:27" ht="13.2" x14ac:dyDescent="0.25">
      <c r="B425" s="56"/>
      <c r="G425" s="56"/>
      <c r="L425" s="56"/>
      <c r="Q425" s="56"/>
      <c r="V425" s="56"/>
      <c r="AA425" s="52"/>
    </row>
    <row r="426" spans="2:27" ht="13.2" x14ac:dyDescent="0.25">
      <c r="B426" s="56"/>
      <c r="G426" s="56"/>
      <c r="L426" s="56"/>
      <c r="Q426" s="56"/>
      <c r="V426" s="56"/>
      <c r="AA426" s="52"/>
    </row>
    <row r="427" spans="2:27" ht="13.2" x14ac:dyDescent="0.25">
      <c r="B427" s="56"/>
      <c r="G427" s="56"/>
      <c r="L427" s="56"/>
      <c r="Q427" s="56"/>
      <c r="V427" s="56"/>
      <c r="AA427" s="52"/>
    </row>
    <row r="428" spans="2:27" ht="13.2" x14ac:dyDescent="0.25">
      <c r="B428" s="56"/>
      <c r="G428" s="56"/>
      <c r="L428" s="56"/>
      <c r="Q428" s="56"/>
      <c r="V428" s="56"/>
      <c r="AA428" s="52"/>
    </row>
    <row r="429" spans="2:27" ht="13.2" x14ac:dyDescent="0.25">
      <c r="B429" s="56"/>
      <c r="G429" s="56"/>
      <c r="L429" s="56"/>
      <c r="Q429" s="56"/>
      <c r="V429" s="56"/>
      <c r="AA429" s="52"/>
    </row>
    <row r="430" spans="2:27" ht="13.2" x14ac:dyDescent="0.25">
      <c r="B430" s="56"/>
      <c r="G430" s="56"/>
      <c r="L430" s="56"/>
      <c r="Q430" s="56"/>
      <c r="V430" s="56"/>
      <c r="AA430" s="52"/>
    </row>
    <row r="431" spans="2:27" ht="13.2" x14ac:dyDescent="0.25">
      <c r="B431" s="56"/>
      <c r="G431" s="56"/>
      <c r="L431" s="56"/>
      <c r="Q431" s="56"/>
      <c r="V431" s="56"/>
      <c r="AA431" s="52"/>
    </row>
    <row r="432" spans="2:27" ht="13.2" x14ac:dyDescent="0.25">
      <c r="B432" s="56"/>
      <c r="G432" s="56"/>
      <c r="L432" s="56"/>
      <c r="Q432" s="56"/>
      <c r="V432" s="56"/>
      <c r="AA432" s="52"/>
    </row>
    <row r="433" spans="2:27" ht="13.2" x14ac:dyDescent="0.25">
      <c r="B433" s="56"/>
      <c r="G433" s="56"/>
      <c r="L433" s="56"/>
      <c r="Q433" s="56"/>
      <c r="V433" s="56"/>
      <c r="AA433" s="52"/>
    </row>
    <row r="434" spans="2:27" ht="13.2" x14ac:dyDescent="0.25">
      <c r="B434" s="56"/>
      <c r="G434" s="56"/>
      <c r="L434" s="56"/>
      <c r="Q434" s="56"/>
      <c r="V434" s="56"/>
      <c r="AA434" s="52"/>
    </row>
    <row r="435" spans="2:27" ht="13.2" x14ac:dyDescent="0.25">
      <c r="B435" s="56"/>
      <c r="G435" s="56"/>
      <c r="L435" s="56"/>
      <c r="Q435" s="56"/>
      <c r="V435" s="56"/>
      <c r="AA435" s="52"/>
    </row>
    <row r="436" spans="2:27" ht="13.2" x14ac:dyDescent="0.25">
      <c r="B436" s="56"/>
      <c r="G436" s="56"/>
      <c r="L436" s="56"/>
      <c r="Q436" s="56"/>
      <c r="V436" s="56"/>
      <c r="AA436" s="52"/>
    </row>
    <row r="437" spans="2:27" ht="13.2" x14ac:dyDescent="0.25">
      <c r="B437" s="56"/>
      <c r="G437" s="56"/>
      <c r="L437" s="56"/>
      <c r="Q437" s="56"/>
      <c r="V437" s="56"/>
      <c r="AA437" s="52"/>
    </row>
    <row r="438" spans="2:27" ht="13.2" x14ac:dyDescent="0.25">
      <c r="B438" s="56"/>
      <c r="G438" s="56"/>
      <c r="L438" s="56"/>
      <c r="Q438" s="56"/>
      <c r="V438" s="56"/>
      <c r="AA438" s="52"/>
    </row>
    <row r="439" spans="2:27" ht="13.2" x14ac:dyDescent="0.25">
      <c r="B439" s="56"/>
      <c r="G439" s="56"/>
      <c r="L439" s="56"/>
      <c r="Q439" s="56"/>
      <c r="V439" s="56"/>
      <c r="AA439" s="52"/>
    </row>
    <row r="440" spans="2:27" ht="13.2" x14ac:dyDescent="0.25">
      <c r="B440" s="56"/>
      <c r="G440" s="56"/>
      <c r="L440" s="56"/>
      <c r="Q440" s="56"/>
      <c r="V440" s="56"/>
      <c r="AA440" s="52"/>
    </row>
    <row r="441" spans="2:27" ht="13.2" x14ac:dyDescent="0.25">
      <c r="B441" s="56"/>
      <c r="G441" s="56"/>
      <c r="L441" s="56"/>
      <c r="Q441" s="56"/>
      <c r="V441" s="56"/>
      <c r="AA441" s="52"/>
    </row>
    <row r="442" spans="2:27" ht="13.2" x14ac:dyDescent="0.25">
      <c r="B442" s="56"/>
      <c r="G442" s="56"/>
      <c r="L442" s="56"/>
      <c r="Q442" s="56"/>
      <c r="V442" s="56"/>
      <c r="AA442" s="52"/>
    </row>
    <row r="443" spans="2:27" ht="13.2" x14ac:dyDescent="0.25">
      <c r="B443" s="56"/>
      <c r="G443" s="56"/>
      <c r="L443" s="56"/>
      <c r="Q443" s="56"/>
      <c r="V443" s="56"/>
      <c r="AA443" s="52"/>
    </row>
    <row r="444" spans="2:27" ht="13.2" x14ac:dyDescent="0.25">
      <c r="B444" s="56"/>
      <c r="G444" s="56"/>
      <c r="L444" s="56"/>
      <c r="Q444" s="56"/>
      <c r="V444" s="56"/>
      <c r="AA444" s="52"/>
    </row>
    <row r="445" spans="2:27" ht="13.2" x14ac:dyDescent="0.25">
      <c r="B445" s="56"/>
      <c r="G445" s="56"/>
      <c r="L445" s="56"/>
      <c r="Q445" s="56"/>
      <c r="V445" s="56"/>
      <c r="AA445" s="52"/>
    </row>
    <row r="446" spans="2:27" ht="13.2" x14ac:dyDescent="0.25">
      <c r="B446" s="56"/>
      <c r="G446" s="56"/>
      <c r="L446" s="56"/>
      <c r="Q446" s="56"/>
      <c r="V446" s="56"/>
      <c r="AA446" s="52"/>
    </row>
    <row r="447" spans="2:27" ht="13.2" x14ac:dyDescent="0.25">
      <c r="B447" s="56"/>
      <c r="G447" s="56"/>
      <c r="L447" s="56"/>
      <c r="Q447" s="56"/>
      <c r="V447" s="56"/>
      <c r="AA447" s="52"/>
    </row>
    <row r="448" spans="2:27" ht="13.2" x14ac:dyDescent="0.25">
      <c r="B448" s="56"/>
      <c r="G448" s="56"/>
      <c r="L448" s="56"/>
      <c r="Q448" s="56"/>
      <c r="V448" s="56"/>
      <c r="AA448" s="52"/>
    </row>
    <row r="449" spans="2:27" ht="13.2" x14ac:dyDescent="0.25">
      <c r="B449" s="56"/>
      <c r="G449" s="56"/>
      <c r="L449" s="56"/>
      <c r="Q449" s="56"/>
      <c r="V449" s="56"/>
      <c r="AA449" s="52"/>
    </row>
    <row r="450" spans="2:27" ht="13.2" x14ac:dyDescent="0.25">
      <c r="B450" s="56"/>
      <c r="G450" s="56"/>
      <c r="L450" s="56"/>
      <c r="Q450" s="56"/>
      <c r="V450" s="56"/>
      <c r="AA450" s="52"/>
    </row>
    <row r="451" spans="2:27" ht="13.2" x14ac:dyDescent="0.25">
      <c r="B451" s="56"/>
      <c r="G451" s="56"/>
      <c r="L451" s="56"/>
      <c r="Q451" s="56"/>
      <c r="V451" s="56"/>
      <c r="AA451" s="52"/>
    </row>
    <row r="452" spans="2:27" ht="13.2" x14ac:dyDescent="0.25">
      <c r="B452" s="56"/>
      <c r="G452" s="56"/>
      <c r="L452" s="56"/>
      <c r="Q452" s="56"/>
      <c r="V452" s="56"/>
      <c r="AA452" s="52"/>
    </row>
    <row r="453" spans="2:27" ht="13.2" x14ac:dyDescent="0.25">
      <c r="B453" s="56"/>
      <c r="G453" s="56"/>
      <c r="L453" s="56"/>
      <c r="Q453" s="56"/>
      <c r="V453" s="56"/>
      <c r="AA453" s="52"/>
    </row>
    <row r="454" spans="2:27" ht="13.2" x14ac:dyDescent="0.25">
      <c r="B454" s="56"/>
      <c r="G454" s="56"/>
      <c r="L454" s="56"/>
      <c r="Q454" s="56"/>
      <c r="V454" s="56"/>
      <c r="AA454" s="52"/>
    </row>
    <row r="455" spans="2:27" ht="13.2" x14ac:dyDescent="0.25">
      <c r="B455" s="56"/>
      <c r="G455" s="56"/>
      <c r="L455" s="56"/>
      <c r="Q455" s="56"/>
      <c r="V455" s="56"/>
      <c r="AA455" s="52"/>
    </row>
    <row r="456" spans="2:27" ht="13.2" x14ac:dyDescent="0.25">
      <c r="B456" s="56"/>
      <c r="G456" s="56"/>
      <c r="L456" s="56"/>
      <c r="Q456" s="56"/>
      <c r="V456" s="56"/>
      <c r="AA456" s="52"/>
    </row>
    <row r="457" spans="2:27" ht="13.2" x14ac:dyDescent="0.25">
      <c r="B457" s="56"/>
      <c r="G457" s="56"/>
      <c r="L457" s="56"/>
      <c r="Q457" s="56"/>
      <c r="V457" s="56"/>
      <c r="AA457" s="52"/>
    </row>
    <row r="458" spans="2:27" ht="13.2" x14ac:dyDescent="0.25">
      <c r="B458" s="56"/>
      <c r="G458" s="56"/>
      <c r="L458" s="56"/>
      <c r="Q458" s="56"/>
      <c r="V458" s="56"/>
      <c r="AA458" s="52"/>
    </row>
    <row r="459" spans="2:27" ht="13.2" x14ac:dyDescent="0.25">
      <c r="B459" s="56"/>
      <c r="G459" s="56"/>
      <c r="L459" s="56"/>
      <c r="Q459" s="56"/>
      <c r="V459" s="56"/>
      <c r="AA459" s="52"/>
    </row>
    <row r="460" spans="2:27" ht="13.2" x14ac:dyDescent="0.25">
      <c r="B460" s="56"/>
      <c r="G460" s="56"/>
      <c r="L460" s="56"/>
      <c r="Q460" s="56"/>
      <c r="V460" s="56"/>
      <c r="AA460" s="52"/>
    </row>
    <row r="461" spans="2:27" ht="13.2" x14ac:dyDescent="0.25">
      <c r="B461" s="56"/>
      <c r="G461" s="56"/>
      <c r="L461" s="56"/>
      <c r="Q461" s="56"/>
      <c r="V461" s="56"/>
      <c r="AA461" s="52"/>
    </row>
    <row r="462" spans="2:27" ht="13.2" x14ac:dyDescent="0.25">
      <c r="B462" s="56"/>
      <c r="G462" s="56"/>
      <c r="L462" s="56"/>
      <c r="Q462" s="56"/>
      <c r="V462" s="56"/>
      <c r="AA462" s="52"/>
    </row>
    <row r="463" spans="2:27" ht="13.2" x14ac:dyDescent="0.25">
      <c r="B463" s="56"/>
      <c r="G463" s="56"/>
      <c r="L463" s="56"/>
      <c r="Q463" s="56"/>
      <c r="V463" s="56"/>
      <c r="AA463" s="52"/>
    </row>
    <row r="464" spans="2:27" ht="13.2" x14ac:dyDescent="0.25">
      <c r="B464" s="56"/>
      <c r="G464" s="56"/>
      <c r="L464" s="56"/>
      <c r="Q464" s="56"/>
      <c r="V464" s="56"/>
      <c r="AA464" s="52"/>
    </row>
    <row r="465" spans="2:27" ht="13.2" x14ac:dyDescent="0.25">
      <c r="B465" s="56"/>
      <c r="G465" s="56"/>
      <c r="L465" s="56"/>
      <c r="Q465" s="56"/>
      <c r="V465" s="56"/>
      <c r="AA465" s="52"/>
    </row>
    <row r="466" spans="2:27" ht="13.2" x14ac:dyDescent="0.25">
      <c r="B466" s="56"/>
      <c r="G466" s="56"/>
      <c r="L466" s="56"/>
      <c r="Q466" s="56"/>
      <c r="V466" s="56"/>
      <c r="AA466" s="52"/>
    </row>
    <row r="467" spans="2:27" ht="13.2" x14ac:dyDescent="0.25">
      <c r="B467" s="56"/>
      <c r="G467" s="56"/>
      <c r="L467" s="56"/>
      <c r="Q467" s="56"/>
      <c r="V467" s="56"/>
      <c r="AA467" s="52"/>
    </row>
    <row r="468" spans="2:27" ht="13.2" x14ac:dyDescent="0.25">
      <c r="B468" s="56"/>
      <c r="G468" s="56"/>
      <c r="L468" s="56"/>
      <c r="Q468" s="56"/>
      <c r="V468" s="56"/>
      <c r="AA468" s="52"/>
    </row>
    <row r="469" spans="2:27" ht="13.2" x14ac:dyDescent="0.25">
      <c r="B469" s="56"/>
      <c r="G469" s="56"/>
      <c r="L469" s="56"/>
      <c r="Q469" s="56"/>
      <c r="V469" s="56"/>
      <c r="AA469" s="52"/>
    </row>
    <row r="470" spans="2:27" ht="13.2" x14ac:dyDescent="0.25">
      <c r="B470" s="56"/>
      <c r="G470" s="56"/>
      <c r="L470" s="56"/>
      <c r="Q470" s="56"/>
      <c r="V470" s="56"/>
      <c r="AA470" s="52"/>
    </row>
    <row r="471" spans="2:27" ht="13.2" x14ac:dyDescent="0.25">
      <c r="B471" s="56"/>
      <c r="G471" s="56"/>
      <c r="L471" s="56"/>
      <c r="Q471" s="56"/>
      <c r="V471" s="56"/>
      <c r="AA471" s="52"/>
    </row>
    <row r="472" spans="2:27" ht="13.2" x14ac:dyDescent="0.25">
      <c r="B472" s="56"/>
      <c r="G472" s="56"/>
      <c r="L472" s="56"/>
      <c r="Q472" s="56"/>
      <c r="V472" s="56"/>
      <c r="AA472" s="52"/>
    </row>
    <row r="473" spans="2:27" ht="13.2" x14ac:dyDescent="0.25">
      <c r="B473" s="56"/>
      <c r="G473" s="56"/>
      <c r="L473" s="56"/>
      <c r="Q473" s="56"/>
      <c r="V473" s="56"/>
      <c r="AA473" s="52"/>
    </row>
    <row r="474" spans="2:27" ht="13.2" x14ac:dyDescent="0.25">
      <c r="B474" s="56"/>
      <c r="G474" s="56"/>
      <c r="L474" s="56"/>
      <c r="Q474" s="56"/>
      <c r="V474" s="56"/>
      <c r="AA474" s="52"/>
    </row>
    <row r="475" spans="2:27" ht="13.2" x14ac:dyDescent="0.25">
      <c r="B475" s="56"/>
      <c r="G475" s="56"/>
      <c r="L475" s="56"/>
      <c r="Q475" s="56"/>
      <c r="V475" s="56"/>
      <c r="AA475" s="52"/>
    </row>
    <row r="476" spans="2:27" ht="13.2" x14ac:dyDescent="0.25">
      <c r="B476" s="56"/>
      <c r="G476" s="56"/>
      <c r="L476" s="56"/>
      <c r="Q476" s="56"/>
      <c r="V476" s="56"/>
      <c r="AA476" s="52"/>
    </row>
    <row r="477" spans="2:27" ht="13.2" x14ac:dyDescent="0.25">
      <c r="B477" s="56"/>
      <c r="G477" s="56"/>
      <c r="L477" s="56"/>
      <c r="Q477" s="56"/>
      <c r="V477" s="56"/>
      <c r="AA477" s="52"/>
    </row>
    <row r="478" spans="2:27" ht="13.2" x14ac:dyDescent="0.25">
      <c r="B478" s="56"/>
      <c r="G478" s="56"/>
      <c r="L478" s="56"/>
      <c r="Q478" s="56"/>
      <c r="V478" s="56"/>
      <c r="AA478" s="52"/>
    </row>
    <row r="479" spans="2:27" ht="13.2" x14ac:dyDescent="0.25">
      <c r="B479" s="56"/>
      <c r="G479" s="56"/>
      <c r="L479" s="56"/>
      <c r="Q479" s="56"/>
      <c r="V479" s="56"/>
      <c r="AA479" s="52"/>
    </row>
    <row r="480" spans="2:27" ht="13.2" x14ac:dyDescent="0.25">
      <c r="B480" s="56"/>
      <c r="G480" s="56"/>
      <c r="L480" s="56"/>
      <c r="Q480" s="56"/>
      <c r="V480" s="56"/>
      <c r="AA480" s="52"/>
    </row>
    <row r="481" spans="2:27" ht="13.2" x14ac:dyDescent="0.25">
      <c r="B481" s="56"/>
      <c r="G481" s="56"/>
      <c r="L481" s="56"/>
      <c r="Q481" s="56"/>
      <c r="V481" s="56"/>
      <c r="AA481" s="52"/>
    </row>
    <row r="482" spans="2:27" ht="13.2" x14ac:dyDescent="0.25">
      <c r="B482" s="56"/>
      <c r="G482" s="56"/>
      <c r="L482" s="56"/>
      <c r="Q482" s="56"/>
      <c r="V482" s="56"/>
      <c r="AA482" s="52"/>
    </row>
    <row r="483" spans="2:27" ht="13.2" x14ac:dyDescent="0.25">
      <c r="B483" s="56"/>
      <c r="G483" s="56"/>
      <c r="L483" s="56"/>
      <c r="Q483" s="56"/>
      <c r="V483" s="56"/>
      <c r="AA483" s="52"/>
    </row>
    <row r="484" spans="2:27" ht="13.2" x14ac:dyDescent="0.25">
      <c r="B484" s="56"/>
      <c r="G484" s="56"/>
      <c r="L484" s="56"/>
      <c r="Q484" s="56"/>
      <c r="V484" s="56"/>
      <c r="AA484" s="52"/>
    </row>
    <row r="485" spans="2:27" ht="13.2" x14ac:dyDescent="0.25">
      <c r="B485" s="56"/>
      <c r="G485" s="56"/>
      <c r="L485" s="56"/>
      <c r="Q485" s="56"/>
      <c r="V485" s="56"/>
      <c r="AA485" s="52"/>
    </row>
    <row r="486" spans="2:27" ht="13.2" x14ac:dyDescent="0.25">
      <c r="B486" s="56"/>
      <c r="G486" s="56"/>
      <c r="L486" s="56"/>
      <c r="Q486" s="56"/>
      <c r="V486" s="56"/>
      <c r="AA486" s="52"/>
    </row>
    <row r="487" spans="2:27" ht="13.2" x14ac:dyDescent="0.25">
      <c r="B487" s="56"/>
      <c r="G487" s="56"/>
      <c r="L487" s="56"/>
      <c r="Q487" s="56"/>
      <c r="V487" s="56"/>
      <c r="AA487" s="52"/>
    </row>
    <row r="488" spans="2:27" ht="13.2" x14ac:dyDescent="0.25">
      <c r="B488" s="56"/>
      <c r="G488" s="56"/>
      <c r="L488" s="56"/>
      <c r="Q488" s="56"/>
      <c r="V488" s="56"/>
      <c r="AA488" s="52"/>
    </row>
    <row r="489" spans="2:27" ht="13.2" x14ac:dyDescent="0.25">
      <c r="B489" s="56"/>
      <c r="G489" s="56"/>
      <c r="L489" s="56"/>
      <c r="Q489" s="56"/>
      <c r="V489" s="56"/>
      <c r="AA489" s="52"/>
    </row>
    <row r="490" spans="2:27" ht="13.2" x14ac:dyDescent="0.25">
      <c r="B490" s="56"/>
      <c r="G490" s="56"/>
      <c r="L490" s="56"/>
      <c r="Q490" s="56"/>
      <c r="V490" s="56"/>
      <c r="AA490" s="52"/>
    </row>
    <row r="491" spans="2:27" ht="13.2" x14ac:dyDescent="0.25">
      <c r="B491" s="56"/>
      <c r="G491" s="56"/>
      <c r="L491" s="56"/>
      <c r="Q491" s="56"/>
      <c r="V491" s="56"/>
      <c r="AA491" s="52"/>
    </row>
    <row r="492" spans="2:27" ht="13.2" x14ac:dyDescent="0.25">
      <c r="B492" s="56"/>
      <c r="G492" s="56"/>
      <c r="L492" s="56"/>
      <c r="Q492" s="56"/>
      <c r="V492" s="56"/>
      <c r="AA492" s="52"/>
    </row>
    <row r="493" spans="2:27" ht="13.2" x14ac:dyDescent="0.25">
      <c r="B493" s="56"/>
      <c r="G493" s="56"/>
      <c r="L493" s="56"/>
      <c r="Q493" s="56"/>
      <c r="V493" s="56"/>
      <c r="AA493" s="52"/>
    </row>
    <row r="494" spans="2:27" ht="13.2" x14ac:dyDescent="0.25">
      <c r="B494" s="56"/>
      <c r="G494" s="56"/>
      <c r="L494" s="56"/>
      <c r="Q494" s="56"/>
      <c r="V494" s="56"/>
      <c r="AA494" s="52"/>
    </row>
    <row r="495" spans="2:27" ht="13.2" x14ac:dyDescent="0.25">
      <c r="B495" s="56"/>
      <c r="G495" s="56"/>
      <c r="L495" s="56"/>
      <c r="Q495" s="56"/>
      <c r="V495" s="56"/>
      <c r="AA495" s="52"/>
    </row>
    <row r="496" spans="2:27" ht="13.2" x14ac:dyDescent="0.25">
      <c r="B496" s="56"/>
      <c r="G496" s="56"/>
      <c r="L496" s="56"/>
      <c r="Q496" s="56"/>
      <c r="V496" s="56"/>
      <c r="AA496" s="52"/>
    </row>
    <row r="497" spans="2:27" ht="13.2" x14ac:dyDescent="0.25">
      <c r="B497" s="56"/>
      <c r="G497" s="56"/>
      <c r="L497" s="56"/>
      <c r="Q497" s="56"/>
      <c r="V497" s="56"/>
      <c r="AA497" s="52"/>
    </row>
    <row r="498" spans="2:27" ht="13.2" x14ac:dyDescent="0.25">
      <c r="B498" s="56"/>
      <c r="G498" s="56"/>
      <c r="L498" s="56"/>
      <c r="Q498" s="56"/>
      <c r="V498" s="56"/>
      <c r="AA498" s="52"/>
    </row>
    <row r="499" spans="2:27" ht="13.2" x14ac:dyDescent="0.25">
      <c r="B499" s="56"/>
      <c r="G499" s="56"/>
      <c r="L499" s="56"/>
      <c r="Q499" s="56"/>
      <c r="V499" s="56"/>
      <c r="AA499" s="52"/>
    </row>
    <row r="500" spans="2:27" ht="13.2" x14ac:dyDescent="0.25">
      <c r="B500" s="56"/>
      <c r="G500" s="56"/>
      <c r="L500" s="56"/>
      <c r="Q500" s="56"/>
      <c r="V500" s="56"/>
      <c r="AA500" s="52"/>
    </row>
    <row r="501" spans="2:27" ht="13.2" x14ac:dyDescent="0.25">
      <c r="B501" s="56"/>
      <c r="G501" s="56"/>
      <c r="L501" s="56"/>
      <c r="Q501" s="56"/>
      <c r="V501" s="56"/>
      <c r="AA501" s="52"/>
    </row>
    <row r="502" spans="2:27" ht="13.2" x14ac:dyDescent="0.25">
      <c r="B502" s="56"/>
      <c r="G502" s="56"/>
      <c r="L502" s="56"/>
      <c r="Q502" s="56"/>
      <c r="V502" s="56"/>
      <c r="AA502" s="52"/>
    </row>
    <row r="503" spans="2:27" ht="13.2" x14ac:dyDescent="0.25">
      <c r="B503" s="56"/>
      <c r="G503" s="56"/>
      <c r="L503" s="56"/>
      <c r="Q503" s="56"/>
      <c r="V503" s="56"/>
      <c r="AA503" s="52"/>
    </row>
    <row r="504" spans="2:27" ht="13.2" x14ac:dyDescent="0.25">
      <c r="B504" s="56"/>
      <c r="G504" s="56"/>
      <c r="L504" s="56"/>
      <c r="Q504" s="56"/>
      <c r="V504" s="56"/>
      <c r="AA504" s="52"/>
    </row>
    <row r="505" spans="2:27" ht="13.2" x14ac:dyDescent="0.25">
      <c r="B505" s="56"/>
      <c r="G505" s="56"/>
      <c r="L505" s="56"/>
      <c r="Q505" s="56"/>
      <c r="V505" s="56"/>
      <c r="AA505" s="52"/>
    </row>
    <row r="506" spans="2:27" ht="13.2" x14ac:dyDescent="0.25">
      <c r="B506" s="56"/>
      <c r="G506" s="56"/>
      <c r="L506" s="56"/>
      <c r="Q506" s="56"/>
      <c r="V506" s="56"/>
      <c r="AA506" s="52"/>
    </row>
    <row r="507" spans="2:27" ht="13.2" x14ac:dyDescent="0.25">
      <c r="B507" s="56"/>
      <c r="G507" s="56"/>
      <c r="L507" s="56"/>
      <c r="Q507" s="56"/>
      <c r="V507" s="56"/>
      <c r="AA507" s="52"/>
    </row>
    <row r="508" spans="2:27" ht="13.2" x14ac:dyDescent="0.25">
      <c r="B508" s="56"/>
      <c r="G508" s="56"/>
      <c r="L508" s="56"/>
      <c r="Q508" s="56"/>
      <c r="V508" s="56"/>
      <c r="AA508" s="52"/>
    </row>
    <row r="509" spans="2:27" ht="13.2" x14ac:dyDescent="0.25">
      <c r="B509" s="56"/>
      <c r="G509" s="56"/>
      <c r="L509" s="56"/>
      <c r="Q509" s="56"/>
      <c r="V509" s="56"/>
      <c r="AA509" s="52"/>
    </row>
    <row r="510" spans="2:27" ht="13.2" x14ac:dyDescent="0.25">
      <c r="B510" s="56"/>
      <c r="G510" s="56"/>
      <c r="L510" s="56"/>
      <c r="Q510" s="56"/>
      <c r="V510" s="56"/>
      <c r="AA510" s="52"/>
    </row>
    <row r="511" spans="2:27" ht="13.2" x14ac:dyDescent="0.25">
      <c r="B511" s="56"/>
      <c r="G511" s="56"/>
      <c r="L511" s="56"/>
      <c r="Q511" s="56"/>
      <c r="V511" s="56"/>
      <c r="AA511" s="52"/>
    </row>
    <row r="512" spans="2:27" ht="13.2" x14ac:dyDescent="0.25">
      <c r="B512" s="56"/>
      <c r="G512" s="56"/>
      <c r="L512" s="56"/>
      <c r="Q512" s="56"/>
      <c r="V512" s="56"/>
      <c r="AA512" s="52"/>
    </row>
    <row r="513" spans="2:27" ht="13.2" x14ac:dyDescent="0.25">
      <c r="B513" s="56"/>
      <c r="G513" s="56"/>
      <c r="L513" s="56"/>
      <c r="Q513" s="56"/>
      <c r="V513" s="56"/>
      <c r="AA513" s="52"/>
    </row>
    <row r="514" spans="2:27" ht="13.2" x14ac:dyDescent="0.25">
      <c r="B514" s="56"/>
      <c r="G514" s="56"/>
      <c r="L514" s="56"/>
      <c r="Q514" s="56"/>
      <c r="V514" s="56"/>
      <c r="AA514" s="52"/>
    </row>
    <row r="515" spans="2:27" ht="13.2" x14ac:dyDescent="0.25">
      <c r="B515" s="56"/>
      <c r="G515" s="56"/>
      <c r="L515" s="56"/>
      <c r="Q515" s="56"/>
      <c r="V515" s="56"/>
      <c r="AA515" s="52"/>
    </row>
    <row r="516" spans="2:27" ht="13.2" x14ac:dyDescent="0.25">
      <c r="B516" s="56"/>
      <c r="G516" s="56"/>
      <c r="L516" s="56"/>
      <c r="Q516" s="56"/>
      <c r="V516" s="56"/>
      <c r="AA516" s="52"/>
    </row>
    <row r="517" spans="2:27" ht="13.2" x14ac:dyDescent="0.25">
      <c r="B517" s="56"/>
      <c r="G517" s="56"/>
      <c r="L517" s="56"/>
      <c r="Q517" s="56"/>
      <c r="V517" s="56"/>
      <c r="AA517" s="52"/>
    </row>
    <row r="518" spans="2:27" ht="13.2" x14ac:dyDescent="0.25">
      <c r="B518" s="56"/>
      <c r="G518" s="56"/>
      <c r="L518" s="56"/>
      <c r="Q518" s="56"/>
      <c r="V518" s="56"/>
      <c r="AA518" s="52"/>
    </row>
    <row r="519" spans="2:27" ht="13.2" x14ac:dyDescent="0.25">
      <c r="B519" s="56"/>
      <c r="G519" s="56"/>
      <c r="L519" s="56"/>
      <c r="Q519" s="56"/>
      <c r="V519" s="56"/>
      <c r="AA519" s="52"/>
    </row>
    <row r="520" spans="2:27" ht="13.2" x14ac:dyDescent="0.25">
      <c r="B520" s="56"/>
      <c r="G520" s="56"/>
      <c r="L520" s="56"/>
      <c r="Q520" s="56"/>
      <c r="V520" s="56"/>
      <c r="AA520" s="52"/>
    </row>
    <row r="521" spans="2:27" ht="13.2" x14ac:dyDescent="0.25">
      <c r="B521" s="56"/>
      <c r="G521" s="56"/>
      <c r="L521" s="56"/>
      <c r="Q521" s="56"/>
      <c r="V521" s="56"/>
      <c r="AA521" s="52"/>
    </row>
    <row r="522" spans="2:27" ht="13.2" x14ac:dyDescent="0.25">
      <c r="B522" s="56"/>
      <c r="G522" s="56"/>
      <c r="L522" s="56"/>
      <c r="Q522" s="56"/>
      <c r="V522" s="56"/>
      <c r="AA522" s="52"/>
    </row>
    <row r="523" spans="2:27" ht="13.2" x14ac:dyDescent="0.25">
      <c r="B523" s="56"/>
      <c r="G523" s="56"/>
      <c r="L523" s="56"/>
      <c r="Q523" s="56"/>
      <c r="V523" s="56"/>
      <c r="AA523" s="52"/>
    </row>
    <row r="524" spans="2:27" ht="13.2" x14ac:dyDescent="0.25">
      <c r="B524" s="56"/>
      <c r="G524" s="56"/>
      <c r="L524" s="56"/>
      <c r="Q524" s="56"/>
      <c r="V524" s="56"/>
      <c r="AA524" s="52"/>
    </row>
    <row r="525" spans="2:27" ht="13.2" x14ac:dyDescent="0.25">
      <c r="B525" s="56"/>
      <c r="G525" s="56"/>
      <c r="L525" s="56"/>
      <c r="Q525" s="56"/>
      <c r="V525" s="56"/>
      <c r="AA525" s="52"/>
    </row>
    <row r="526" spans="2:27" ht="13.2" x14ac:dyDescent="0.25">
      <c r="B526" s="56"/>
      <c r="G526" s="56"/>
      <c r="L526" s="56"/>
      <c r="Q526" s="56"/>
      <c r="V526" s="56"/>
      <c r="AA526" s="52"/>
    </row>
    <row r="527" spans="2:27" ht="13.2" x14ac:dyDescent="0.25">
      <c r="B527" s="56"/>
      <c r="G527" s="56"/>
      <c r="L527" s="56"/>
      <c r="Q527" s="56"/>
      <c r="V527" s="56"/>
      <c r="AA527" s="52"/>
    </row>
    <row r="528" spans="2:27" ht="13.2" x14ac:dyDescent="0.25">
      <c r="B528" s="56"/>
      <c r="G528" s="56"/>
      <c r="L528" s="56"/>
      <c r="Q528" s="56"/>
      <c r="V528" s="56"/>
      <c r="AA528" s="52"/>
    </row>
    <row r="529" spans="2:27" ht="13.2" x14ac:dyDescent="0.25">
      <c r="B529" s="56"/>
      <c r="G529" s="56"/>
      <c r="L529" s="56"/>
      <c r="Q529" s="56"/>
      <c r="V529" s="56"/>
      <c r="AA529" s="52"/>
    </row>
    <row r="530" spans="2:27" ht="13.2" x14ac:dyDescent="0.25">
      <c r="B530" s="56"/>
      <c r="G530" s="56"/>
      <c r="L530" s="56"/>
      <c r="Q530" s="56"/>
      <c r="V530" s="56"/>
      <c r="AA530" s="52"/>
    </row>
    <row r="531" spans="2:27" ht="13.2" x14ac:dyDescent="0.25">
      <c r="B531" s="56"/>
      <c r="G531" s="56"/>
      <c r="L531" s="56"/>
      <c r="Q531" s="56"/>
      <c r="V531" s="56"/>
      <c r="AA531" s="52"/>
    </row>
    <row r="532" spans="2:27" ht="13.2" x14ac:dyDescent="0.25">
      <c r="B532" s="56"/>
      <c r="G532" s="56"/>
      <c r="L532" s="56"/>
      <c r="Q532" s="56"/>
      <c r="V532" s="56"/>
      <c r="AA532" s="52"/>
    </row>
    <row r="533" spans="2:27" ht="13.2" x14ac:dyDescent="0.25">
      <c r="B533" s="56"/>
      <c r="G533" s="56"/>
      <c r="L533" s="56"/>
      <c r="Q533" s="56"/>
      <c r="V533" s="56"/>
      <c r="AA533" s="52"/>
    </row>
    <row r="534" spans="2:27" ht="13.2" x14ac:dyDescent="0.25">
      <c r="B534" s="56"/>
      <c r="G534" s="56"/>
      <c r="L534" s="56"/>
      <c r="Q534" s="56"/>
      <c r="V534" s="56"/>
      <c r="AA534" s="52"/>
    </row>
    <row r="535" spans="2:27" ht="13.2" x14ac:dyDescent="0.25">
      <c r="B535" s="56"/>
      <c r="G535" s="56"/>
      <c r="L535" s="56"/>
      <c r="Q535" s="56"/>
      <c r="V535" s="56"/>
      <c r="AA535" s="52"/>
    </row>
    <row r="536" spans="2:27" ht="13.2" x14ac:dyDescent="0.25">
      <c r="B536" s="56"/>
      <c r="G536" s="56"/>
      <c r="L536" s="56"/>
      <c r="Q536" s="56"/>
      <c r="V536" s="56"/>
      <c r="AA536" s="52"/>
    </row>
    <row r="537" spans="2:27" ht="13.2" x14ac:dyDescent="0.25">
      <c r="B537" s="56"/>
      <c r="G537" s="56"/>
      <c r="L537" s="56"/>
      <c r="Q537" s="56"/>
      <c r="V537" s="56"/>
      <c r="AA537" s="52"/>
    </row>
    <row r="538" spans="2:27" ht="13.2" x14ac:dyDescent="0.25">
      <c r="B538" s="56"/>
      <c r="G538" s="56"/>
      <c r="L538" s="56"/>
      <c r="Q538" s="56"/>
      <c r="V538" s="56"/>
      <c r="AA538" s="52"/>
    </row>
    <row r="539" spans="2:27" ht="13.2" x14ac:dyDescent="0.25">
      <c r="B539" s="56"/>
      <c r="G539" s="56"/>
      <c r="L539" s="56"/>
      <c r="Q539" s="56"/>
      <c r="V539" s="56"/>
      <c r="AA539" s="52"/>
    </row>
    <row r="540" spans="2:27" ht="13.2" x14ac:dyDescent="0.25">
      <c r="B540" s="56"/>
      <c r="G540" s="56"/>
      <c r="L540" s="56"/>
      <c r="Q540" s="56"/>
      <c r="V540" s="56"/>
      <c r="AA540" s="52"/>
    </row>
    <row r="541" spans="2:27" ht="13.2" x14ac:dyDescent="0.25">
      <c r="B541" s="56"/>
      <c r="G541" s="56"/>
      <c r="L541" s="56"/>
      <c r="Q541" s="56"/>
      <c r="V541" s="56"/>
      <c r="AA541" s="52"/>
    </row>
    <row r="542" spans="2:27" ht="13.2" x14ac:dyDescent="0.25">
      <c r="B542" s="56"/>
      <c r="G542" s="56"/>
      <c r="L542" s="56"/>
      <c r="Q542" s="56"/>
      <c r="V542" s="56"/>
      <c r="AA542" s="52"/>
    </row>
    <row r="543" spans="2:27" ht="13.2" x14ac:dyDescent="0.25">
      <c r="B543" s="56"/>
      <c r="G543" s="56"/>
      <c r="L543" s="56"/>
      <c r="Q543" s="56"/>
      <c r="V543" s="56"/>
      <c r="AA543" s="52"/>
    </row>
    <row r="544" spans="2:27" ht="13.2" x14ac:dyDescent="0.25">
      <c r="B544" s="56"/>
      <c r="G544" s="56"/>
      <c r="L544" s="56"/>
      <c r="Q544" s="56"/>
      <c r="V544" s="56"/>
      <c r="AA544" s="52"/>
    </row>
    <row r="545" spans="2:27" ht="13.2" x14ac:dyDescent="0.25">
      <c r="B545" s="56"/>
      <c r="G545" s="56"/>
      <c r="L545" s="56"/>
      <c r="Q545" s="56"/>
      <c r="V545" s="56"/>
      <c r="AA545" s="52"/>
    </row>
    <row r="546" spans="2:27" ht="13.2" x14ac:dyDescent="0.25">
      <c r="B546" s="56"/>
      <c r="G546" s="56"/>
      <c r="L546" s="56"/>
      <c r="Q546" s="56"/>
      <c r="V546" s="56"/>
      <c r="AA546" s="52"/>
    </row>
    <row r="547" spans="2:27" ht="13.2" x14ac:dyDescent="0.25">
      <c r="B547" s="56"/>
      <c r="G547" s="56"/>
      <c r="L547" s="56"/>
      <c r="Q547" s="56"/>
      <c r="V547" s="56"/>
      <c r="AA547" s="52"/>
    </row>
    <row r="548" spans="2:27" ht="13.2" x14ac:dyDescent="0.25">
      <c r="B548" s="56"/>
      <c r="G548" s="56"/>
      <c r="L548" s="56"/>
      <c r="Q548" s="56"/>
      <c r="V548" s="56"/>
      <c r="AA548" s="52"/>
    </row>
    <row r="549" spans="2:27" ht="13.2" x14ac:dyDescent="0.25">
      <c r="B549" s="56"/>
      <c r="G549" s="56"/>
      <c r="L549" s="56"/>
      <c r="Q549" s="56"/>
      <c r="V549" s="56"/>
      <c r="AA549" s="52"/>
    </row>
    <row r="550" spans="2:27" ht="13.2" x14ac:dyDescent="0.25">
      <c r="B550" s="56"/>
      <c r="G550" s="56"/>
      <c r="L550" s="56"/>
      <c r="Q550" s="56"/>
      <c r="V550" s="56"/>
      <c r="AA550" s="52"/>
    </row>
    <row r="551" spans="2:27" ht="13.2" x14ac:dyDescent="0.25">
      <c r="B551" s="56"/>
      <c r="G551" s="56"/>
      <c r="L551" s="56"/>
      <c r="Q551" s="56"/>
      <c r="V551" s="56"/>
      <c r="AA551" s="52"/>
    </row>
    <row r="552" spans="2:27" ht="13.2" x14ac:dyDescent="0.25">
      <c r="B552" s="56"/>
      <c r="G552" s="56"/>
      <c r="L552" s="56"/>
      <c r="Q552" s="56"/>
      <c r="V552" s="56"/>
      <c r="AA552" s="52"/>
    </row>
    <row r="553" spans="2:27" ht="13.2" x14ac:dyDescent="0.25">
      <c r="B553" s="56"/>
      <c r="G553" s="56"/>
      <c r="L553" s="56"/>
      <c r="Q553" s="56"/>
      <c r="V553" s="56"/>
      <c r="AA553" s="52"/>
    </row>
    <row r="554" spans="2:27" ht="13.2" x14ac:dyDescent="0.25">
      <c r="B554" s="56"/>
      <c r="G554" s="56"/>
      <c r="L554" s="56"/>
      <c r="Q554" s="56"/>
      <c r="V554" s="56"/>
      <c r="AA554" s="52"/>
    </row>
    <row r="555" spans="2:27" ht="13.2" x14ac:dyDescent="0.25">
      <c r="B555" s="56"/>
      <c r="G555" s="56"/>
      <c r="L555" s="56"/>
      <c r="Q555" s="56"/>
      <c r="V555" s="56"/>
      <c r="AA555" s="52"/>
    </row>
    <row r="556" spans="2:27" ht="13.2" x14ac:dyDescent="0.25">
      <c r="B556" s="56"/>
      <c r="G556" s="56"/>
      <c r="L556" s="56"/>
      <c r="Q556" s="56"/>
      <c r="V556" s="56"/>
      <c r="AA556" s="52"/>
    </row>
    <row r="557" spans="2:27" ht="13.2" x14ac:dyDescent="0.25">
      <c r="B557" s="56"/>
      <c r="G557" s="56"/>
      <c r="L557" s="56"/>
      <c r="Q557" s="56"/>
      <c r="V557" s="56"/>
      <c r="AA557" s="52"/>
    </row>
    <row r="558" spans="2:27" ht="13.2" x14ac:dyDescent="0.25">
      <c r="B558" s="56"/>
      <c r="G558" s="56"/>
      <c r="L558" s="56"/>
      <c r="Q558" s="56"/>
      <c r="V558" s="56"/>
      <c r="AA558" s="52"/>
    </row>
    <row r="559" spans="2:27" ht="13.2" x14ac:dyDescent="0.25">
      <c r="B559" s="56"/>
      <c r="G559" s="56"/>
      <c r="L559" s="56"/>
      <c r="Q559" s="56"/>
      <c r="V559" s="56"/>
      <c r="AA559" s="52"/>
    </row>
    <row r="560" spans="2:27" ht="13.2" x14ac:dyDescent="0.25">
      <c r="B560" s="56"/>
      <c r="G560" s="56"/>
      <c r="L560" s="56"/>
      <c r="Q560" s="56"/>
      <c r="V560" s="56"/>
      <c r="AA560" s="52"/>
    </row>
    <row r="561" spans="2:27" ht="13.2" x14ac:dyDescent="0.25">
      <c r="B561" s="56"/>
      <c r="G561" s="56"/>
      <c r="L561" s="56"/>
      <c r="Q561" s="56"/>
      <c r="V561" s="56"/>
      <c r="AA561" s="52"/>
    </row>
    <row r="562" spans="2:27" ht="13.2" x14ac:dyDescent="0.25">
      <c r="B562" s="56"/>
      <c r="G562" s="56"/>
      <c r="L562" s="56"/>
      <c r="Q562" s="56"/>
      <c r="V562" s="56"/>
      <c r="AA562" s="52"/>
    </row>
    <row r="563" spans="2:27" ht="13.2" x14ac:dyDescent="0.25">
      <c r="B563" s="56"/>
      <c r="G563" s="56"/>
      <c r="L563" s="56"/>
      <c r="Q563" s="56"/>
      <c r="V563" s="56"/>
      <c r="AA563" s="52"/>
    </row>
    <row r="564" spans="2:27" ht="13.2" x14ac:dyDescent="0.25">
      <c r="B564" s="56"/>
      <c r="G564" s="56"/>
      <c r="L564" s="56"/>
      <c r="Q564" s="56"/>
      <c r="V564" s="56"/>
      <c r="AA564" s="52"/>
    </row>
    <row r="565" spans="2:27" ht="13.2" x14ac:dyDescent="0.25">
      <c r="B565" s="56"/>
      <c r="G565" s="56"/>
      <c r="L565" s="56"/>
      <c r="Q565" s="56"/>
      <c r="V565" s="56"/>
      <c r="AA565" s="52"/>
    </row>
    <row r="566" spans="2:27" ht="13.2" x14ac:dyDescent="0.25">
      <c r="B566" s="56"/>
      <c r="G566" s="56"/>
      <c r="L566" s="56"/>
      <c r="Q566" s="56"/>
      <c r="V566" s="56"/>
      <c r="AA566" s="52"/>
    </row>
    <row r="567" spans="2:27" ht="13.2" x14ac:dyDescent="0.25">
      <c r="B567" s="56"/>
      <c r="G567" s="56"/>
      <c r="L567" s="56"/>
      <c r="Q567" s="56"/>
      <c r="V567" s="56"/>
      <c r="AA567" s="52"/>
    </row>
    <row r="568" spans="2:27" ht="13.2" x14ac:dyDescent="0.25">
      <c r="B568" s="56"/>
      <c r="G568" s="56"/>
      <c r="L568" s="56"/>
      <c r="Q568" s="56"/>
      <c r="V568" s="56"/>
      <c r="AA568" s="52"/>
    </row>
    <row r="569" spans="2:27" ht="13.2" x14ac:dyDescent="0.25">
      <c r="B569" s="56"/>
      <c r="G569" s="56"/>
      <c r="L569" s="56"/>
      <c r="Q569" s="56"/>
      <c r="V569" s="56"/>
      <c r="AA569" s="52"/>
    </row>
    <row r="570" spans="2:27" ht="13.2" x14ac:dyDescent="0.25">
      <c r="B570" s="56"/>
      <c r="G570" s="56"/>
      <c r="L570" s="56"/>
      <c r="Q570" s="56"/>
      <c r="V570" s="56"/>
      <c r="AA570" s="52"/>
    </row>
    <row r="571" spans="2:27" ht="13.2" x14ac:dyDescent="0.25">
      <c r="B571" s="56"/>
      <c r="G571" s="56"/>
      <c r="L571" s="56"/>
      <c r="Q571" s="56"/>
      <c r="V571" s="56"/>
      <c r="AA571" s="52"/>
    </row>
    <row r="572" spans="2:27" ht="13.2" x14ac:dyDescent="0.25">
      <c r="B572" s="56"/>
      <c r="G572" s="56"/>
      <c r="L572" s="56"/>
      <c r="Q572" s="56"/>
      <c r="V572" s="56"/>
      <c r="AA572" s="52"/>
    </row>
    <row r="573" spans="2:27" ht="13.2" x14ac:dyDescent="0.25">
      <c r="B573" s="56"/>
      <c r="G573" s="56"/>
      <c r="L573" s="56"/>
      <c r="Q573" s="56"/>
      <c r="V573" s="56"/>
      <c r="AA573" s="52"/>
    </row>
    <row r="574" spans="2:27" ht="13.2" x14ac:dyDescent="0.25">
      <c r="B574" s="56"/>
      <c r="G574" s="56"/>
      <c r="L574" s="56"/>
      <c r="Q574" s="56"/>
      <c r="V574" s="56"/>
      <c r="AA574" s="52"/>
    </row>
    <row r="575" spans="2:27" ht="13.2" x14ac:dyDescent="0.25">
      <c r="B575" s="56"/>
      <c r="G575" s="56"/>
      <c r="L575" s="56"/>
      <c r="Q575" s="56"/>
      <c r="V575" s="56"/>
      <c r="AA575" s="52"/>
    </row>
    <row r="576" spans="2:27" ht="13.2" x14ac:dyDescent="0.25">
      <c r="B576" s="56"/>
      <c r="G576" s="56"/>
      <c r="L576" s="56"/>
      <c r="Q576" s="56"/>
      <c r="V576" s="56"/>
      <c r="AA576" s="52"/>
    </row>
    <row r="577" spans="2:27" ht="13.2" x14ac:dyDescent="0.25">
      <c r="B577" s="56"/>
      <c r="G577" s="56"/>
      <c r="L577" s="56"/>
      <c r="Q577" s="56"/>
      <c r="V577" s="56"/>
      <c r="AA577" s="52"/>
    </row>
    <row r="578" spans="2:27" ht="13.2" x14ac:dyDescent="0.25">
      <c r="B578" s="56"/>
      <c r="G578" s="56"/>
      <c r="L578" s="56"/>
      <c r="Q578" s="56"/>
      <c r="V578" s="56"/>
      <c r="AA578" s="52"/>
    </row>
    <row r="579" spans="2:27" ht="13.2" x14ac:dyDescent="0.25">
      <c r="B579" s="56"/>
      <c r="G579" s="56"/>
      <c r="L579" s="56"/>
      <c r="Q579" s="56"/>
      <c r="V579" s="56"/>
      <c r="AA579" s="52"/>
    </row>
    <row r="580" spans="2:27" ht="13.2" x14ac:dyDescent="0.25">
      <c r="B580" s="56"/>
      <c r="G580" s="56"/>
      <c r="L580" s="56"/>
      <c r="Q580" s="56"/>
      <c r="V580" s="56"/>
      <c r="AA580" s="52"/>
    </row>
    <row r="581" spans="2:27" ht="13.2" x14ac:dyDescent="0.25">
      <c r="B581" s="56"/>
      <c r="G581" s="56"/>
      <c r="L581" s="56"/>
      <c r="Q581" s="56"/>
      <c r="V581" s="56"/>
      <c r="AA581" s="52"/>
    </row>
    <row r="582" spans="2:27" ht="13.2" x14ac:dyDescent="0.25">
      <c r="B582" s="56"/>
      <c r="G582" s="56"/>
      <c r="L582" s="56"/>
      <c r="Q582" s="56"/>
      <c r="V582" s="56"/>
      <c r="AA582" s="52"/>
    </row>
    <row r="583" spans="2:27" ht="13.2" x14ac:dyDescent="0.25">
      <c r="B583" s="56"/>
      <c r="G583" s="56"/>
      <c r="L583" s="56"/>
      <c r="Q583" s="56"/>
      <c r="V583" s="56"/>
      <c r="AA583" s="52"/>
    </row>
    <row r="584" spans="2:27" ht="13.2" x14ac:dyDescent="0.25">
      <c r="B584" s="56"/>
      <c r="G584" s="56"/>
      <c r="L584" s="56"/>
      <c r="Q584" s="56"/>
      <c r="V584" s="56"/>
      <c r="AA584" s="52"/>
    </row>
    <row r="585" spans="2:27" ht="13.2" x14ac:dyDescent="0.25">
      <c r="B585" s="56"/>
      <c r="G585" s="56"/>
      <c r="L585" s="56"/>
      <c r="Q585" s="56"/>
      <c r="V585" s="56"/>
      <c r="AA585" s="52"/>
    </row>
    <row r="586" spans="2:27" ht="13.2" x14ac:dyDescent="0.25">
      <c r="B586" s="56"/>
      <c r="G586" s="56"/>
      <c r="L586" s="56"/>
      <c r="Q586" s="56"/>
      <c r="V586" s="56"/>
      <c r="AA586" s="52"/>
    </row>
    <row r="587" spans="2:27" ht="13.2" x14ac:dyDescent="0.25">
      <c r="B587" s="56"/>
      <c r="G587" s="56"/>
      <c r="L587" s="56"/>
      <c r="Q587" s="56"/>
      <c r="V587" s="56"/>
      <c r="AA587" s="52"/>
    </row>
    <row r="588" spans="2:27" ht="13.2" x14ac:dyDescent="0.25">
      <c r="B588" s="56"/>
      <c r="G588" s="56"/>
      <c r="L588" s="56"/>
      <c r="Q588" s="56"/>
      <c r="V588" s="56"/>
      <c r="AA588" s="52"/>
    </row>
    <row r="589" spans="2:27" ht="13.2" x14ac:dyDescent="0.25">
      <c r="B589" s="56"/>
      <c r="G589" s="56"/>
      <c r="L589" s="56"/>
      <c r="Q589" s="56"/>
      <c r="V589" s="56"/>
      <c r="AA589" s="52"/>
    </row>
    <row r="590" spans="2:27" ht="13.2" x14ac:dyDescent="0.25">
      <c r="B590" s="56"/>
      <c r="G590" s="56"/>
      <c r="L590" s="56"/>
      <c r="Q590" s="56"/>
      <c r="V590" s="56"/>
      <c r="AA590" s="52"/>
    </row>
    <row r="591" spans="2:27" ht="13.2" x14ac:dyDescent="0.25">
      <c r="B591" s="56"/>
      <c r="G591" s="56"/>
      <c r="L591" s="56"/>
      <c r="Q591" s="56"/>
      <c r="V591" s="56"/>
      <c r="AA591" s="52"/>
    </row>
    <row r="592" spans="2:27" ht="13.2" x14ac:dyDescent="0.25">
      <c r="B592" s="56"/>
      <c r="G592" s="56"/>
      <c r="L592" s="56"/>
      <c r="Q592" s="56"/>
      <c r="V592" s="56"/>
      <c r="AA592" s="52"/>
    </row>
    <row r="593" spans="2:27" ht="13.2" x14ac:dyDescent="0.25">
      <c r="B593" s="56"/>
      <c r="G593" s="56"/>
      <c r="L593" s="56"/>
      <c r="Q593" s="56"/>
      <c r="V593" s="56"/>
      <c r="AA593" s="52"/>
    </row>
    <row r="594" spans="2:27" ht="13.2" x14ac:dyDescent="0.25">
      <c r="B594" s="56"/>
      <c r="G594" s="56"/>
      <c r="L594" s="56"/>
      <c r="Q594" s="56"/>
      <c r="V594" s="56"/>
      <c r="AA594" s="52"/>
    </row>
    <row r="595" spans="2:27" ht="13.2" x14ac:dyDescent="0.25">
      <c r="B595" s="56"/>
      <c r="G595" s="56"/>
      <c r="L595" s="56"/>
      <c r="Q595" s="56"/>
      <c r="V595" s="56"/>
      <c r="AA595" s="52"/>
    </row>
    <row r="596" spans="2:27" ht="13.2" x14ac:dyDescent="0.25">
      <c r="B596" s="56"/>
      <c r="G596" s="56"/>
      <c r="L596" s="56"/>
      <c r="Q596" s="56"/>
      <c r="V596" s="56"/>
      <c r="AA596" s="52"/>
    </row>
    <row r="597" spans="2:27" ht="13.2" x14ac:dyDescent="0.25">
      <c r="B597" s="56"/>
      <c r="G597" s="56"/>
      <c r="L597" s="56"/>
      <c r="Q597" s="56"/>
      <c r="V597" s="56"/>
      <c r="AA597" s="52"/>
    </row>
    <row r="598" spans="2:27" ht="13.2" x14ac:dyDescent="0.25">
      <c r="B598" s="56"/>
      <c r="G598" s="56"/>
      <c r="L598" s="56"/>
      <c r="Q598" s="56"/>
      <c r="V598" s="56"/>
      <c r="AA598" s="52"/>
    </row>
    <row r="599" spans="2:27" ht="13.2" x14ac:dyDescent="0.25">
      <c r="B599" s="56"/>
      <c r="G599" s="56"/>
      <c r="L599" s="56"/>
      <c r="Q599" s="56"/>
      <c r="V599" s="56"/>
      <c r="AA599" s="52"/>
    </row>
    <row r="600" spans="2:27" ht="13.2" x14ac:dyDescent="0.25">
      <c r="B600" s="56"/>
      <c r="G600" s="56"/>
      <c r="L600" s="56"/>
      <c r="Q600" s="56"/>
      <c r="V600" s="56"/>
      <c r="AA600" s="52"/>
    </row>
    <row r="601" spans="2:27" ht="13.2" x14ac:dyDescent="0.25">
      <c r="B601" s="56"/>
      <c r="G601" s="56"/>
      <c r="L601" s="56"/>
      <c r="Q601" s="56"/>
      <c r="V601" s="56"/>
      <c r="AA601" s="52"/>
    </row>
    <row r="602" spans="2:27" ht="13.2" x14ac:dyDescent="0.25">
      <c r="B602" s="56"/>
      <c r="G602" s="56"/>
      <c r="L602" s="56"/>
      <c r="Q602" s="56"/>
      <c r="V602" s="56"/>
      <c r="AA602" s="52"/>
    </row>
    <row r="603" spans="2:27" ht="13.2" x14ac:dyDescent="0.25">
      <c r="B603" s="56"/>
      <c r="G603" s="56"/>
      <c r="L603" s="56"/>
      <c r="Q603" s="56"/>
      <c r="V603" s="56"/>
      <c r="AA603" s="52"/>
    </row>
    <row r="604" spans="2:27" ht="13.2" x14ac:dyDescent="0.25">
      <c r="B604" s="56"/>
      <c r="G604" s="56"/>
      <c r="L604" s="56"/>
      <c r="Q604" s="56"/>
      <c r="V604" s="56"/>
      <c r="AA604" s="52"/>
    </row>
    <row r="605" spans="2:27" ht="13.2" x14ac:dyDescent="0.25">
      <c r="B605" s="56"/>
      <c r="G605" s="56"/>
      <c r="L605" s="56"/>
      <c r="Q605" s="56"/>
      <c r="V605" s="56"/>
      <c r="AA605" s="52"/>
    </row>
    <row r="606" spans="2:27" ht="13.2" x14ac:dyDescent="0.25">
      <c r="B606" s="56"/>
      <c r="G606" s="56"/>
      <c r="L606" s="56"/>
      <c r="Q606" s="56"/>
      <c r="V606" s="56"/>
      <c r="AA606" s="52"/>
    </row>
    <row r="607" spans="2:27" ht="13.2" x14ac:dyDescent="0.25">
      <c r="B607" s="56"/>
      <c r="G607" s="56"/>
      <c r="L607" s="56"/>
      <c r="Q607" s="56"/>
      <c r="V607" s="56"/>
      <c r="AA607" s="52"/>
    </row>
    <row r="608" spans="2:27" ht="13.2" x14ac:dyDescent="0.25">
      <c r="B608" s="56"/>
      <c r="G608" s="56"/>
      <c r="L608" s="56"/>
      <c r="Q608" s="56"/>
      <c r="V608" s="56"/>
      <c r="AA608" s="52"/>
    </row>
    <row r="609" spans="2:27" ht="13.2" x14ac:dyDescent="0.25">
      <c r="B609" s="56"/>
      <c r="G609" s="56"/>
      <c r="L609" s="56"/>
      <c r="Q609" s="56"/>
      <c r="V609" s="56"/>
      <c r="AA609" s="52"/>
    </row>
    <row r="610" spans="2:27" ht="13.2" x14ac:dyDescent="0.25">
      <c r="B610" s="56"/>
      <c r="G610" s="56"/>
      <c r="L610" s="56"/>
      <c r="Q610" s="56"/>
      <c r="V610" s="56"/>
      <c r="AA610" s="52"/>
    </row>
    <row r="611" spans="2:27" ht="13.2" x14ac:dyDescent="0.25">
      <c r="B611" s="56"/>
      <c r="G611" s="56"/>
      <c r="L611" s="56"/>
      <c r="Q611" s="56"/>
      <c r="V611" s="56"/>
      <c r="AA611" s="52"/>
    </row>
    <row r="612" spans="2:27" ht="13.2" x14ac:dyDescent="0.25">
      <c r="B612" s="56"/>
      <c r="G612" s="56"/>
      <c r="L612" s="56"/>
      <c r="Q612" s="56"/>
      <c r="V612" s="56"/>
      <c r="AA612" s="52"/>
    </row>
    <row r="613" spans="2:27" ht="13.2" x14ac:dyDescent="0.25">
      <c r="B613" s="56"/>
      <c r="G613" s="56"/>
      <c r="L613" s="56"/>
      <c r="Q613" s="56"/>
      <c r="V613" s="56"/>
      <c r="AA613" s="52"/>
    </row>
    <row r="614" spans="2:27" ht="13.2" x14ac:dyDescent="0.25">
      <c r="B614" s="56"/>
      <c r="G614" s="56"/>
      <c r="L614" s="56"/>
      <c r="Q614" s="56"/>
      <c r="V614" s="56"/>
      <c r="AA614" s="52"/>
    </row>
    <row r="615" spans="2:27" ht="13.2" x14ac:dyDescent="0.25">
      <c r="B615" s="56"/>
      <c r="G615" s="56"/>
      <c r="L615" s="56"/>
      <c r="Q615" s="56"/>
      <c r="V615" s="56"/>
      <c r="AA615" s="52"/>
    </row>
    <row r="616" spans="2:27" ht="13.2" x14ac:dyDescent="0.25">
      <c r="B616" s="56"/>
      <c r="G616" s="56"/>
      <c r="L616" s="56"/>
      <c r="Q616" s="56"/>
      <c r="V616" s="56"/>
      <c r="AA616" s="52"/>
    </row>
    <row r="617" spans="2:27" ht="13.2" x14ac:dyDescent="0.25">
      <c r="B617" s="56"/>
      <c r="G617" s="56"/>
      <c r="L617" s="56"/>
      <c r="Q617" s="56"/>
      <c r="V617" s="56"/>
      <c r="AA617" s="52"/>
    </row>
    <row r="618" spans="2:27" ht="13.2" x14ac:dyDescent="0.25">
      <c r="B618" s="56"/>
      <c r="G618" s="56"/>
      <c r="L618" s="56"/>
      <c r="Q618" s="56"/>
      <c r="V618" s="56"/>
      <c r="AA618" s="52"/>
    </row>
    <row r="619" spans="2:27" ht="13.2" x14ac:dyDescent="0.25">
      <c r="B619" s="56"/>
      <c r="G619" s="56"/>
      <c r="L619" s="56"/>
      <c r="Q619" s="56"/>
      <c r="V619" s="56"/>
      <c r="AA619" s="52"/>
    </row>
    <row r="620" spans="2:27" ht="13.2" x14ac:dyDescent="0.25">
      <c r="B620" s="56"/>
      <c r="G620" s="56"/>
      <c r="L620" s="56"/>
      <c r="Q620" s="56"/>
      <c r="V620" s="56"/>
      <c r="AA620" s="52"/>
    </row>
    <row r="621" spans="2:27" ht="13.2" x14ac:dyDescent="0.25">
      <c r="B621" s="56"/>
      <c r="G621" s="56"/>
      <c r="L621" s="56"/>
      <c r="Q621" s="56"/>
      <c r="V621" s="56"/>
      <c r="AA621" s="52"/>
    </row>
    <row r="622" spans="2:27" ht="13.2" x14ac:dyDescent="0.25">
      <c r="B622" s="56"/>
      <c r="G622" s="56"/>
      <c r="L622" s="56"/>
      <c r="Q622" s="56"/>
      <c r="V622" s="56"/>
      <c r="AA622" s="52"/>
    </row>
    <row r="623" spans="2:27" ht="13.2" x14ac:dyDescent="0.25">
      <c r="B623" s="56"/>
      <c r="G623" s="56"/>
      <c r="L623" s="56"/>
      <c r="Q623" s="56"/>
      <c r="V623" s="56"/>
      <c r="AA623" s="52"/>
    </row>
    <row r="624" spans="2:27" ht="13.2" x14ac:dyDescent="0.25">
      <c r="B624" s="56"/>
      <c r="G624" s="56"/>
      <c r="L624" s="56"/>
      <c r="Q624" s="56"/>
      <c r="V624" s="56"/>
      <c r="AA624" s="52"/>
    </row>
    <row r="625" spans="2:27" ht="13.2" x14ac:dyDescent="0.25">
      <c r="B625" s="56"/>
      <c r="G625" s="56"/>
      <c r="L625" s="56"/>
      <c r="Q625" s="56"/>
      <c r="V625" s="56"/>
      <c r="AA625" s="52"/>
    </row>
    <row r="626" spans="2:27" ht="13.2" x14ac:dyDescent="0.25">
      <c r="B626" s="56"/>
      <c r="G626" s="56"/>
      <c r="L626" s="56"/>
      <c r="Q626" s="56"/>
      <c r="V626" s="56"/>
      <c r="AA626" s="52"/>
    </row>
    <row r="627" spans="2:27" ht="13.2" x14ac:dyDescent="0.25">
      <c r="B627" s="56"/>
      <c r="G627" s="56"/>
      <c r="L627" s="56"/>
      <c r="Q627" s="56"/>
      <c r="V627" s="56"/>
      <c r="AA627" s="52"/>
    </row>
    <row r="628" spans="2:27" ht="13.2" x14ac:dyDescent="0.25">
      <c r="B628" s="56"/>
      <c r="G628" s="56"/>
      <c r="L628" s="56"/>
      <c r="Q628" s="56"/>
      <c r="V628" s="56"/>
      <c r="AA628" s="52"/>
    </row>
    <row r="629" spans="2:27" ht="13.2" x14ac:dyDescent="0.25">
      <c r="B629" s="56"/>
      <c r="G629" s="56"/>
      <c r="L629" s="56"/>
      <c r="Q629" s="56"/>
      <c r="V629" s="56"/>
      <c r="AA629" s="52"/>
    </row>
    <row r="630" spans="2:27" ht="13.2" x14ac:dyDescent="0.25">
      <c r="B630" s="56"/>
      <c r="G630" s="56"/>
      <c r="L630" s="56"/>
      <c r="Q630" s="56"/>
      <c r="V630" s="56"/>
      <c r="AA630" s="52"/>
    </row>
    <row r="631" spans="2:27" ht="13.2" x14ac:dyDescent="0.25">
      <c r="B631" s="56"/>
      <c r="G631" s="56"/>
      <c r="L631" s="56"/>
      <c r="Q631" s="56"/>
      <c r="V631" s="56"/>
      <c r="AA631" s="52"/>
    </row>
    <row r="632" spans="2:27" ht="13.2" x14ac:dyDescent="0.25">
      <c r="B632" s="56"/>
      <c r="G632" s="56"/>
      <c r="L632" s="56"/>
      <c r="Q632" s="56"/>
      <c r="V632" s="56"/>
      <c r="AA632" s="52"/>
    </row>
    <row r="633" spans="2:27" ht="13.2" x14ac:dyDescent="0.25">
      <c r="B633" s="56"/>
      <c r="G633" s="56"/>
      <c r="L633" s="56"/>
      <c r="Q633" s="56"/>
      <c r="V633" s="56"/>
      <c r="AA633" s="52"/>
    </row>
    <row r="634" spans="2:27" ht="13.2" x14ac:dyDescent="0.25">
      <c r="B634" s="56"/>
      <c r="G634" s="56"/>
      <c r="L634" s="56"/>
      <c r="Q634" s="56"/>
      <c r="V634" s="56"/>
      <c r="AA634" s="52"/>
    </row>
    <row r="635" spans="2:27" ht="13.2" x14ac:dyDescent="0.25">
      <c r="B635" s="56"/>
      <c r="G635" s="56"/>
      <c r="L635" s="56"/>
      <c r="Q635" s="56"/>
      <c r="V635" s="56"/>
      <c r="AA635" s="52"/>
    </row>
    <row r="636" spans="2:27" ht="13.2" x14ac:dyDescent="0.25">
      <c r="B636" s="56"/>
      <c r="G636" s="56"/>
      <c r="L636" s="56"/>
      <c r="Q636" s="56"/>
      <c r="V636" s="56"/>
      <c r="AA636" s="52"/>
    </row>
    <row r="637" spans="2:27" ht="13.2" x14ac:dyDescent="0.25">
      <c r="B637" s="56"/>
      <c r="G637" s="56"/>
      <c r="L637" s="56"/>
      <c r="Q637" s="56"/>
      <c r="V637" s="56"/>
      <c r="AA637" s="52"/>
    </row>
    <row r="638" spans="2:27" ht="13.2" x14ac:dyDescent="0.25">
      <c r="B638" s="56"/>
      <c r="G638" s="56"/>
      <c r="L638" s="56"/>
      <c r="Q638" s="56"/>
      <c r="V638" s="56"/>
      <c r="AA638" s="52"/>
    </row>
    <row r="639" spans="2:27" ht="13.2" x14ac:dyDescent="0.25">
      <c r="B639" s="56"/>
      <c r="G639" s="56"/>
      <c r="L639" s="56"/>
      <c r="Q639" s="56"/>
      <c r="V639" s="56"/>
      <c r="AA639" s="52"/>
    </row>
    <row r="640" spans="2:27" ht="13.2" x14ac:dyDescent="0.25">
      <c r="B640" s="56"/>
      <c r="G640" s="56"/>
      <c r="L640" s="56"/>
      <c r="Q640" s="56"/>
      <c r="V640" s="56"/>
      <c r="AA640" s="52"/>
    </row>
    <row r="641" spans="2:27" ht="13.2" x14ac:dyDescent="0.25">
      <c r="B641" s="56"/>
      <c r="G641" s="56"/>
      <c r="L641" s="56"/>
      <c r="Q641" s="56"/>
      <c r="V641" s="56"/>
      <c r="AA641" s="52"/>
    </row>
    <row r="642" spans="2:27" ht="13.2" x14ac:dyDescent="0.25">
      <c r="B642" s="56"/>
      <c r="G642" s="56"/>
      <c r="L642" s="56"/>
      <c r="Q642" s="56"/>
      <c r="V642" s="56"/>
      <c r="AA642" s="52"/>
    </row>
    <row r="643" spans="2:27" ht="13.2" x14ac:dyDescent="0.25">
      <c r="B643" s="56"/>
      <c r="G643" s="56"/>
      <c r="L643" s="56"/>
      <c r="Q643" s="56"/>
      <c r="V643" s="56"/>
      <c r="AA643" s="52"/>
    </row>
    <row r="644" spans="2:27" ht="13.2" x14ac:dyDescent="0.25">
      <c r="B644" s="56"/>
      <c r="G644" s="56"/>
      <c r="L644" s="56"/>
      <c r="Q644" s="56"/>
      <c r="V644" s="56"/>
      <c r="AA644" s="52"/>
    </row>
    <row r="645" spans="2:27" ht="13.2" x14ac:dyDescent="0.25">
      <c r="B645" s="56"/>
      <c r="G645" s="56"/>
      <c r="L645" s="56"/>
      <c r="Q645" s="56"/>
      <c r="V645" s="56"/>
      <c r="AA645" s="52"/>
    </row>
    <row r="646" spans="2:27" ht="13.2" x14ac:dyDescent="0.25">
      <c r="B646" s="56"/>
      <c r="G646" s="56"/>
      <c r="L646" s="56"/>
      <c r="Q646" s="56"/>
      <c r="V646" s="56"/>
      <c r="AA646" s="52"/>
    </row>
    <row r="647" spans="2:27" ht="13.2" x14ac:dyDescent="0.25">
      <c r="B647" s="56"/>
      <c r="G647" s="56"/>
      <c r="L647" s="56"/>
      <c r="Q647" s="56"/>
      <c r="V647" s="56"/>
      <c r="AA647" s="52"/>
    </row>
    <row r="648" spans="2:27" ht="13.2" x14ac:dyDescent="0.25">
      <c r="B648" s="56"/>
      <c r="G648" s="56"/>
      <c r="L648" s="56"/>
      <c r="Q648" s="56"/>
      <c r="V648" s="56"/>
      <c r="AA648" s="52"/>
    </row>
    <row r="649" spans="2:27" ht="13.2" x14ac:dyDescent="0.25">
      <c r="B649" s="56"/>
      <c r="G649" s="56"/>
      <c r="L649" s="56"/>
      <c r="Q649" s="56"/>
      <c r="V649" s="56"/>
      <c r="AA649" s="52"/>
    </row>
    <row r="650" spans="2:27" ht="13.2" x14ac:dyDescent="0.25">
      <c r="B650" s="56"/>
      <c r="G650" s="56"/>
      <c r="L650" s="56"/>
      <c r="Q650" s="56"/>
      <c r="V650" s="56"/>
      <c r="AA650" s="52"/>
    </row>
    <row r="651" spans="2:27" ht="13.2" x14ac:dyDescent="0.25">
      <c r="B651" s="56"/>
      <c r="G651" s="56"/>
      <c r="L651" s="56"/>
      <c r="Q651" s="56"/>
      <c r="V651" s="56"/>
      <c r="AA651" s="52"/>
    </row>
    <row r="652" spans="2:27" ht="13.2" x14ac:dyDescent="0.25">
      <c r="B652" s="56"/>
      <c r="G652" s="56"/>
      <c r="L652" s="56"/>
      <c r="Q652" s="56"/>
      <c r="V652" s="56"/>
      <c r="AA652" s="52"/>
    </row>
    <row r="653" spans="2:27" ht="13.2" x14ac:dyDescent="0.25">
      <c r="B653" s="56"/>
      <c r="G653" s="56"/>
      <c r="L653" s="56"/>
      <c r="Q653" s="56"/>
      <c r="V653" s="56"/>
      <c r="AA653" s="52"/>
    </row>
    <row r="654" spans="2:27" ht="13.2" x14ac:dyDescent="0.25">
      <c r="B654" s="56"/>
      <c r="G654" s="56"/>
      <c r="L654" s="56"/>
      <c r="Q654" s="56"/>
      <c r="V654" s="56"/>
      <c r="AA654" s="52"/>
    </row>
    <row r="655" spans="2:27" ht="13.2" x14ac:dyDescent="0.25">
      <c r="B655" s="56"/>
      <c r="G655" s="56"/>
      <c r="L655" s="56"/>
      <c r="Q655" s="56"/>
      <c r="V655" s="56"/>
      <c r="AA655" s="52"/>
    </row>
    <row r="656" spans="2:27" ht="13.2" x14ac:dyDescent="0.25">
      <c r="B656" s="56"/>
      <c r="G656" s="56"/>
      <c r="L656" s="56"/>
      <c r="Q656" s="56"/>
      <c r="V656" s="56"/>
      <c r="AA656" s="52"/>
    </row>
    <row r="657" spans="2:27" ht="13.2" x14ac:dyDescent="0.25">
      <c r="B657" s="56"/>
      <c r="G657" s="56"/>
      <c r="L657" s="56"/>
      <c r="Q657" s="56"/>
      <c r="V657" s="56"/>
      <c r="AA657" s="52"/>
    </row>
    <row r="658" spans="2:27" ht="13.2" x14ac:dyDescent="0.25">
      <c r="B658" s="56"/>
      <c r="G658" s="56"/>
      <c r="L658" s="56"/>
      <c r="Q658" s="56"/>
      <c r="V658" s="56"/>
      <c r="AA658" s="52"/>
    </row>
    <row r="659" spans="2:27" ht="13.2" x14ac:dyDescent="0.25">
      <c r="B659" s="56"/>
      <c r="G659" s="56"/>
      <c r="L659" s="56"/>
      <c r="Q659" s="56"/>
      <c r="V659" s="56"/>
      <c r="AA659" s="52"/>
    </row>
    <row r="660" spans="2:27" ht="13.2" x14ac:dyDescent="0.25">
      <c r="B660" s="56"/>
      <c r="G660" s="56"/>
      <c r="L660" s="56"/>
      <c r="Q660" s="56"/>
      <c r="V660" s="56"/>
      <c r="AA660" s="52"/>
    </row>
    <row r="661" spans="2:27" ht="13.2" x14ac:dyDescent="0.25">
      <c r="B661" s="56"/>
      <c r="G661" s="56"/>
      <c r="L661" s="56"/>
      <c r="Q661" s="56"/>
      <c r="V661" s="56"/>
      <c r="AA661" s="52"/>
    </row>
    <row r="662" spans="2:27" ht="13.2" x14ac:dyDescent="0.25">
      <c r="B662" s="56"/>
      <c r="G662" s="56"/>
      <c r="L662" s="56"/>
      <c r="Q662" s="56"/>
      <c r="V662" s="56"/>
      <c r="AA662" s="52"/>
    </row>
    <row r="663" spans="2:27" ht="13.2" x14ac:dyDescent="0.25">
      <c r="B663" s="56"/>
      <c r="G663" s="56"/>
      <c r="L663" s="56"/>
      <c r="Q663" s="56"/>
      <c r="V663" s="56"/>
      <c r="AA663" s="52"/>
    </row>
    <row r="664" spans="2:27" ht="13.2" x14ac:dyDescent="0.25">
      <c r="B664" s="56"/>
      <c r="G664" s="56"/>
      <c r="L664" s="56"/>
      <c r="Q664" s="56"/>
      <c r="V664" s="56"/>
      <c r="AA664" s="52"/>
    </row>
    <row r="665" spans="2:27" ht="13.2" x14ac:dyDescent="0.25">
      <c r="B665" s="56"/>
      <c r="G665" s="56"/>
      <c r="L665" s="56"/>
      <c r="Q665" s="56"/>
      <c r="V665" s="56"/>
      <c r="AA665" s="52"/>
    </row>
    <row r="666" spans="2:27" ht="13.2" x14ac:dyDescent="0.25">
      <c r="B666" s="56"/>
      <c r="G666" s="56"/>
      <c r="L666" s="56"/>
      <c r="Q666" s="56"/>
      <c r="V666" s="56"/>
      <c r="AA666" s="52"/>
    </row>
    <row r="667" spans="2:27" ht="13.2" x14ac:dyDescent="0.25">
      <c r="B667" s="56"/>
      <c r="G667" s="56"/>
      <c r="L667" s="56"/>
      <c r="Q667" s="56"/>
      <c r="V667" s="56"/>
      <c r="AA667" s="52"/>
    </row>
    <row r="668" spans="2:27" ht="13.2" x14ac:dyDescent="0.25">
      <c r="B668" s="56"/>
      <c r="G668" s="56"/>
      <c r="L668" s="56"/>
      <c r="Q668" s="56"/>
      <c r="V668" s="56"/>
      <c r="AA668" s="52"/>
    </row>
    <row r="669" spans="2:27" ht="13.2" x14ac:dyDescent="0.25">
      <c r="B669" s="56"/>
      <c r="G669" s="56"/>
      <c r="L669" s="56"/>
      <c r="Q669" s="56"/>
      <c r="V669" s="56"/>
      <c r="AA669" s="52"/>
    </row>
    <row r="670" spans="2:27" ht="13.2" x14ac:dyDescent="0.25">
      <c r="B670" s="56"/>
      <c r="G670" s="56"/>
      <c r="L670" s="56"/>
      <c r="Q670" s="56"/>
      <c r="V670" s="56"/>
      <c r="AA670" s="52"/>
    </row>
    <row r="671" spans="2:27" ht="13.2" x14ac:dyDescent="0.25">
      <c r="B671" s="56"/>
      <c r="G671" s="56"/>
      <c r="L671" s="56"/>
      <c r="Q671" s="56"/>
      <c r="V671" s="56"/>
      <c r="AA671" s="52"/>
    </row>
    <row r="672" spans="2:27" ht="13.2" x14ac:dyDescent="0.25">
      <c r="B672" s="56"/>
      <c r="G672" s="56"/>
      <c r="L672" s="56"/>
      <c r="Q672" s="56"/>
      <c r="V672" s="56"/>
      <c r="AA672" s="52"/>
    </row>
    <row r="673" spans="2:27" ht="13.2" x14ac:dyDescent="0.25">
      <c r="B673" s="56"/>
      <c r="G673" s="56"/>
      <c r="L673" s="56"/>
      <c r="Q673" s="56"/>
      <c r="V673" s="56"/>
      <c r="AA673" s="52"/>
    </row>
    <row r="674" spans="2:27" ht="13.2" x14ac:dyDescent="0.25">
      <c r="B674" s="56"/>
      <c r="G674" s="56"/>
      <c r="L674" s="56"/>
      <c r="Q674" s="56"/>
      <c r="V674" s="56"/>
      <c r="AA674" s="52"/>
    </row>
    <row r="675" spans="2:27" ht="13.2" x14ac:dyDescent="0.25">
      <c r="B675" s="56"/>
      <c r="G675" s="56"/>
      <c r="L675" s="56"/>
      <c r="Q675" s="56"/>
      <c r="V675" s="56"/>
      <c r="AA675" s="52"/>
    </row>
    <row r="676" spans="2:27" ht="13.2" x14ac:dyDescent="0.25">
      <c r="B676" s="56"/>
      <c r="G676" s="56"/>
      <c r="L676" s="56"/>
      <c r="Q676" s="56"/>
      <c r="V676" s="56"/>
      <c r="AA676" s="52"/>
    </row>
    <row r="677" spans="2:27" ht="13.2" x14ac:dyDescent="0.25">
      <c r="B677" s="56"/>
      <c r="G677" s="56"/>
      <c r="L677" s="56"/>
      <c r="Q677" s="56"/>
      <c r="V677" s="56"/>
      <c r="AA677" s="52"/>
    </row>
    <row r="678" spans="2:27" ht="13.2" x14ac:dyDescent="0.25">
      <c r="B678" s="56"/>
      <c r="G678" s="56"/>
      <c r="L678" s="56"/>
      <c r="Q678" s="56"/>
      <c r="V678" s="56"/>
      <c r="AA678" s="52"/>
    </row>
    <row r="679" spans="2:27" ht="13.2" x14ac:dyDescent="0.25">
      <c r="B679" s="56"/>
      <c r="G679" s="56"/>
      <c r="L679" s="56"/>
      <c r="Q679" s="56"/>
      <c r="V679" s="56"/>
      <c r="AA679" s="52"/>
    </row>
    <row r="680" spans="2:27" ht="13.2" x14ac:dyDescent="0.25">
      <c r="B680" s="56"/>
      <c r="G680" s="56"/>
      <c r="L680" s="56"/>
      <c r="Q680" s="56"/>
      <c r="V680" s="56"/>
      <c r="AA680" s="52"/>
    </row>
    <row r="681" spans="2:27" ht="13.2" x14ac:dyDescent="0.25">
      <c r="B681" s="56"/>
      <c r="G681" s="56"/>
      <c r="L681" s="56"/>
      <c r="Q681" s="56"/>
      <c r="V681" s="56"/>
      <c r="AA681" s="52"/>
    </row>
    <row r="682" spans="2:27" ht="13.2" x14ac:dyDescent="0.25">
      <c r="B682" s="56"/>
      <c r="G682" s="56"/>
      <c r="L682" s="56"/>
      <c r="Q682" s="56"/>
      <c r="V682" s="56"/>
      <c r="AA682" s="52"/>
    </row>
    <row r="683" spans="2:27" ht="13.2" x14ac:dyDescent="0.25">
      <c r="B683" s="56"/>
      <c r="G683" s="56"/>
      <c r="L683" s="56"/>
      <c r="Q683" s="56"/>
      <c r="V683" s="56"/>
      <c r="AA683" s="52"/>
    </row>
    <row r="684" spans="2:27" ht="13.2" x14ac:dyDescent="0.25">
      <c r="B684" s="56"/>
      <c r="G684" s="56"/>
      <c r="L684" s="56"/>
      <c r="Q684" s="56"/>
      <c r="V684" s="56"/>
      <c r="AA684" s="52"/>
    </row>
    <row r="685" spans="2:27" ht="13.2" x14ac:dyDescent="0.25">
      <c r="B685" s="56"/>
      <c r="G685" s="56"/>
      <c r="L685" s="56"/>
      <c r="Q685" s="56"/>
      <c r="V685" s="56"/>
      <c r="AA685" s="52"/>
    </row>
    <row r="686" spans="2:27" ht="13.2" x14ac:dyDescent="0.25">
      <c r="B686" s="56"/>
      <c r="G686" s="56"/>
      <c r="L686" s="56"/>
      <c r="Q686" s="56"/>
      <c r="V686" s="56"/>
      <c r="AA686" s="52"/>
    </row>
    <row r="687" spans="2:27" ht="13.2" x14ac:dyDescent="0.25">
      <c r="B687" s="56"/>
      <c r="G687" s="56"/>
      <c r="L687" s="56"/>
      <c r="Q687" s="56"/>
      <c r="V687" s="56"/>
      <c r="AA687" s="52"/>
    </row>
    <row r="688" spans="2:27" ht="13.2" x14ac:dyDescent="0.25">
      <c r="B688" s="56"/>
      <c r="G688" s="56"/>
      <c r="L688" s="56"/>
      <c r="Q688" s="56"/>
      <c r="V688" s="56"/>
      <c r="AA688" s="52"/>
    </row>
    <row r="689" spans="2:27" ht="13.2" x14ac:dyDescent="0.25">
      <c r="B689" s="56"/>
      <c r="G689" s="56"/>
      <c r="L689" s="56"/>
      <c r="Q689" s="56"/>
      <c r="V689" s="56"/>
      <c r="AA689" s="52"/>
    </row>
    <row r="690" spans="2:27" ht="13.2" x14ac:dyDescent="0.25">
      <c r="B690" s="56"/>
      <c r="G690" s="56"/>
      <c r="L690" s="56"/>
      <c r="Q690" s="56"/>
      <c r="V690" s="56"/>
      <c r="AA690" s="52"/>
    </row>
    <row r="691" spans="2:27" ht="13.2" x14ac:dyDescent="0.25">
      <c r="B691" s="56"/>
      <c r="G691" s="56"/>
      <c r="L691" s="56"/>
      <c r="Q691" s="56"/>
      <c r="V691" s="56"/>
      <c r="AA691" s="52"/>
    </row>
    <row r="692" spans="2:27" ht="13.2" x14ac:dyDescent="0.25">
      <c r="B692" s="56"/>
      <c r="G692" s="56"/>
      <c r="L692" s="56"/>
      <c r="Q692" s="56"/>
      <c r="V692" s="56"/>
      <c r="AA692" s="52"/>
    </row>
    <row r="693" spans="2:27" ht="13.2" x14ac:dyDescent="0.25">
      <c r="B693" s="56"/>
      <c r="G693" s="56"/>
      <c r="L693" s="56"/>
      <c r="Q693" s="56"/>
      <c r="V693" s="56"/>
      <c r="AA693" s="52"/>
    </row>
    <row r="694" spans="2:27" ht="13.2" x14ac:dyDescent="0.25">
      <c r="B694" s="56"/>
      <c r="G694" s="56"/>
      <c r="L694" s="56"/>
      <c r="Q694" s="56"/>
      <c r="V694" s="56"/>
      <c r="AA694" s="52"/>
    </row>
    <row r="695" spans="2:27" ht="13.2" x14ac:dyDescent="0.25">
      <c r="B695" s="56"/>
      <c r="G695" s="56"/>
      <c r="L695" s="56"/>
      <c r="Q695" s="56"/>
      <c r="V695" s="56"/>
      <c r="AA695" s="52"/>
    </row>
    <row r="696" spans="2:27" ht="13.2" x14ac:dyDescent="0.25">
      <c r="B696" s="56"/>
      <c r="G696" s="56"/>
      <c r="L696" s="56"/>
      <c r="Q696" s="56"/>
      <c r="V696" s="56"/>
      <c r="AA696" s="52"/>
    </row>
    <row r="697" spans="2:27" ht="13.2" x14ac:dyDescent="0.25">
      <c r="B697" s="56"/>
      <c r="G697" s="56"/>
      <c r="L697" s="56"/>
      <c r="Q697" s="56"/>
      <c r="V697" s="56"/>
      <c r="AA697" s="52"/>
    </row>
    <row r="698" spans="2:27" ht="13.2" x14ac:dyDescent="0.25">
      <c r="B698" s="56"/>
      <c r="G698" s="56"/>
      <c r="L698" s="56"/>
      <c r="Q698" s="56"/>
      <c r="V698" s="56"/>
      <c r="AA698" s="52"/>
    </row>
    <row r="699" spans="2:27" ht="13.2" x14ac:dyDescent="0.25">
      <c r="B699" s="56"/>
      <c r="G699" s="56"/>
      <c r="L699" s="56"/>
      <c r="Q699" s="56"/>
      <c r="V699" s="56"/>
      <c r="AA699" s="52"/>
    </row>
    <row r="700" spans="2:27" ht="13.2" x14ac:dyDescent="0.25">
      <c r="B700" s="56"/>
      <c r="G700" s="56"/>
      <c r="L700" s="56"/>
      <c r="Q700" s="56"/>
      <c r="V700" s="56"/>
      <c r="AA700" s="52"/>
    </row>
    <row r="701" spans="2:27" ht="13.2" x14ac:dyDescent="0.25">
      <c r="B701" s="56"/>
      <c r="G701" s="56"/>
      <c r="L701" s="56"/>
      <c r="Q701" s="56"/>
      <c r="V701" s="56"/>
      <c r="AA701" s="52"/>
    </row>
    <row r="702" spans="2:27" ht="13.2" x14ac:dyDescent="0.25">
      <c r="B702" s="56"/>
      <c r="G702" s="56"/>
      <c r="L702" s="56"/>
      <c r="Q702" s="56"/>
      <c r="V702" s="56"/>
      <c r="AA702" s="52"/>
    </row>
    <row r="703" spans="2:27" ht="13.2" x14ac:dyDescent="0.25">
      <c r="B703" s="56"/>
      <c r="G703" s="56"/>
      <c r="L703" s="56"/>
      <c r="Q703" s="56"/>
      <c r="V703" s="56"/>
      <c r="AA703" s="52"/>
    </row>
    <row r="704" spans="2:27" ht="13.2" x14ac:dyDescent="0.25">
      <c r="B704" s="56"/>
      <c r="G704" s="56"/>
      <c r="L704" s="56"/>
      <c r="Q704" s="56"/>
      <c r="V704" s="56"/>
      <c r="AA704" s="52"/>
    </row>
    <row r="705" spans="2:27" ht="13.2" x14ac:dyDescent="0.25">
      <c r="B705" s="56"/>
      <c r="G705" s="56"/>
      <c r="L705" s="56"/>
      <c r="Q705" s="56"/>
      <c r="V705" s="56"/>
      <c r="AA705" s="52"/>
    </row>
    <row r="706" spans="2:27" ht="13.2" x14ac:dyDescent="0.25">
      <c r="B706" s="56"/>
      <c r="G706" s="56"/>
      <c r="L706" s="56"/>
      <c r="Q706" s="56"/>
      <c r="V706" s="56"/>
      <c r="AA706" s="52"/>
    </row>
    <row r="707" spans="2:27" ht="13.2" x14ac:dyDescent="0.25">
      <c r="B707" s="56"/>
      <c r="G707" s="56"/>
      <c r="L707" s="56"/>
      <c r="Q707" s="56"/>
      <c r="V707" s="56"/>
      <c r="AA707" s="52"/>
    </row>
    <row r="708" spans="2:27" ht="13.2" x14ac:dyDescent="0.25">
      <c r="B708" s="56"/>
      <c r="G708" s="56"/>
      <c r="L708" s="56"/>
      <c r="Q708" s="56"/>
      <c r="V708" s="56"/>
      <c r="AA708" s="52"/>
    </row>
    <row r="709" spans="2:27" ht="13.2" x14ac:dyDescent="0.25">
      <c r="B709" s="56"/>
      <c r="G709" s="56"/>
      <c r="L709" s="56"/>
      <c r="Q709" s="56"/>
      <c r="V709" s="56"/>
      <c r="AA709" s="52"/>
    </row>
    <row r="710" spans="2:27" ht="13.2" x14ac:dyDescent="0.25">
      <c r="B710" s="56"/>
      <c r="G710" s="56"/>
      <c r="L710" s="56"/>
      <c r="Q710" s="56"/>
      <c r="V710" s="56"/>
      <c r="AA710" s="52"/>
    </row>
    <row r="711" spans="2:27" ht="13.2" x14ac:dyDescent="0.25">
      <c r="B711" s="56"/>
      <c r="G711" s="56"/>
      <c r="L711" s="56"/>
      <c r="Q711" s="56"/>
      <c r="V711" s="56"/>
      <c r="AA711" s="52"/>
    </row>
    <row r="712" spans="2:27" ht="13.2" x14ac:dyDescent="0.25">
      <c r="B712" s="56"/>
      <c r="G712" s="56"/>
      <c r="L712" s="56"/>
      <c r="Q712" s="56"/>
      <c r="V712" s="56"/>
      <c r="AA712" s="52"/>
    </row>
    <row r="713" spans="2:27" ht="13.2" x14ac:dyDescent="0.25">
      <c r="B713" s="56"/>
      <c r="G713" s="56"/>
      <c r="L713" s="56"/>
      <c r="Q713" s="56"/>
      <c r="V713" s="56"/>
      <c r="AA713" s="52"/>
    </row>
    <row r="714" spans="2:27" ht="13.2" x14ac:dyDescent="0.25">
      <c r="B714" s="56"/>
      <c r="G714" s="56"/>
      <c r="L714" s="56"/>
      <c r="Q714" s="56"/>
      <c r="V714" s="56"/>
      <c r="AA714" s="52"/>
    </row>
    <row r="715" spans="2:27" ht="13.2" x14ac:dyDescent="0.25">
      <c r="B715" s="56"/>
      <c r="G715" s="56"/>
      <c r="L715" s="56"/>
      <c r="Q715" s="56"/>
      <c r="V715" s="56"/>
      <c r="AA715" s="52"/>
    </row>
    <row r="716" spans="2:27" ht="13.2" x14ac:dyDescent="0.25">
      <c r="B716" s="56"/>
      <c r="G716" s="56"/>
      <c r="L716" s="56"/>
      <c r="Q716" s="56"/>
      <c r="V716" s="56"/>
      <c r="AA716" s="52"/>
    </row>
    <row r="717" spans="2:27" ht="13.2" x14ac:dyDescent="0.25">
      <c r="B717" s="56"/>
      <c r="G717" s="56"/>
      <c r="L717" s="56"/>
      <c r="Q717" s="56"/>
      <c r="V717" s="56"/>
      <c r="AA717" s="52"/>
    </row>
    <row r="718" spans="2:27" ht="13.2" x14ac:dyDescent="0.25">
      <c r="B718" s="56"/>
      <c r="G718" s="56"/>
      <c r="L718" s="56"/>
      <c r="Q718" s="56"/>
      <c r="V718" s="56"/>
      <c r="AA718" s="52"/>
    </row>
    <row r="719" spans="2:27" ht="13.2" x14ac:dyDescent="0.25">
      <c r="B719" s="56"/>
      <c r="G719" s="56"/>
      <c r="L719" s="56"/>
      <c r="Q719" s="56"/>
      <c r="V719" s="56"/>
      <c r="AA719" s="52"/>
    </row>
    <row r="720" spans="2:27" ht="13.2" x14ac:dyDescent="0.25">
      <c r="B720" s="56"/>
      <c r="G720" s="56"/>
      <c r="L720" s="56"/>
      <c r="Q720" s="56"/>
      <c r="V720" s="56"/>
      <c r="AA720" s="52"/>
    </row>
    <row r="721" spans="2:27" ht="13.2" x14ac:dyDescent="0.25">
      <c r="B721" s="56"/>
      <c r="G721" s="56"/>
      <c r="L721" s="56"/>
      <c r="Q721" s="56"/>
      <c r="V721" s="56"/>
      <c r="AA721" s="52"/>
    </row>
    <row r="722" spans="2:27" ht="13.2" x14ac:dyDescent="0.25">
      <c r="B722" s="56"/>
      <c r="G722" s="56"/>
      <c r="L722" s="56"/>
      <c r="Q722" s="56"/>
      <c r="V722" s="56"/>
      <c r="AA722" s="52"/>
    </row>
    <row r="723" spans="2:27" ht="13.2" x14ac:dyDescent="0.25">
      <c r="B723" s="56"/>
      <c r="G723" s="56"/>
      <c r="L723" s="56"/>
      <c r="Q723" s="56"/>
      <c r="V723" s="56"/>
      <c r="AA723" s="52"/>
    </row>
    <row r="724" spans="2:27" ht="13.2" x14ac:dyDescent="0.25">
      <c r="B724" s="56"/>
      <c r="G724" s="56"/>
      <c r="L724" s="56"/>
      <c r="Q724" s="56"/>
      <c r="V724" s="56"/>
      <c r="AA724" s="52"/>
    </row>
    <row r="725" spans="2:27" ht="13.2" x14ac:dyDescent="0.25">
      <c r="B725" s="56"/>
      <c r="G725" s="56"/>
      <c r="L725" s="56"/>
      <c r="Q725" s="56"/>
      <c r="V725" s="56"/>
      <c r="AA725" s="52"/>
    </row>
    <row r="726" spans="2:27" ht="13.2" x14ac:dyDescent="0.25">
      <c r="B726" s="56"/>
      <c r="G726" s="56"/>
      <c r="L726" s="56"/>
      <c r="Q726" s="56"/>
      <c r="V726" s="56"/>
      <c r="AA726" s="52"/>
    </row>
    <row r="727" spans="2:27" ht="13.2" x14ac:dyDescent="0.25">
      <c r="B727" s="56"/>
      <c r="G727" s="56"/>
      <c r="L727" s="56"/>
      <c r="Q727" s="56"/>
      <c r="V727" s="56"/>
      <c r="AA727" s="52"/>
    </row>
    <row r="728" spans="2:27" ht="13.2" x14ac:dyDescent="0.25">
      <c r="B728" s="56"/>
      <c r="G728" s="56"/>
      <c r="L728" s="56"/>
      <c r="Q728" s="56"/>
      <c r="V728" s="56"/>
      <c r="AA728" s="52"/>
    </row>
    <row r="729" spans="2:27" ht="13.2" x14ac:dyDescent="0.25">
      <c r="B729" s="56"/>
      <c r="G729" s="56"/>
      <c r="L729" s="56"/>
      <c r="Q729" s="56"/>
      <c r="V729" s="56"/>
      <c r="AA729" s="52"/>
    </row>
    <row r="730" spans="2:27" ht="13.2" x14ac:dyDescent="0.25">
      <c r="B730" s="56"/>
      <c r="G730" s="56"/>
      <c r="L730" s="56"/>
      <c r="Q730" s="56"/>
      <c r="V730" s="56"/>
      <c r="AA730" s="52"/>
    </row>
    <row r="731" spans="2:27" ht="13.2" x14ac:dyDescent="0.25">
      <c r="B731" s="56"/>
      <c r="G731" s="56"/>
      <c r="L731" s="56"/>
      <c r="Q731" s="56"/>
      <c r="V731" s="56"/>
      <c r="AA731" s="52"/>
    </row>
    <row r="732" spans="2:27" ht="13.2" x14ac:dyDescent="0.25">
      <c r="B732" s="56"/>
      <c r="G732" s="56"/>
      <c r="L732" s="56"/>
      <c r="Q732" s="56"/>
      <c r="V732" s="56"/>
      <c r="AA732" s="52"/>
    </row>
    <row r="733" spans="2:27" ht="13.2" x14ac:dyDescent="0.25">
      <c r="B733" s="56"/>
      <c r="G733" s="56"/>
      <c r="L733" s="56"/>
      <c r="Q733" s="56"/>
      <c r="V733" s="56"/>
      <c r="AA733" s="52"/>
    </row>
    <row r="734" spans="2:27" ht="13.2" x14ac:dyDescent="0.25">
      <c r="B734" s="56"/>
      <c r="G734" s="56"/>
      <c r="L734" s="56"/>
      <c r="Q734" s="56"/>
      <c r="V734" s="56"/>
      <c r="AA734" s="52"/>
    </row>
    <row r="735" spans="2:27" ht="13.2" x14ac:dyDescent="0.25">
      <c r="B735" s="56"/>
      <c r="G735" s="56"/>
      <c r="L735" s="56"/>
      <c r="Q735" s="56"/>
      <c r="V735" s="56"/>
      <c r="AA735" s="52"/>
    </row>
    <row r="736" spans="2:27" ht="13.2" x14ac:dyDescent="0.25">
      <c r="B736" s="56"/>
      <c r="G736" s="56"/>
      <c r="L736" s="56"/>
      <c r="Q736" s="56"/>
      <c r="V736" s="56"/>
      <c r="AA736" s="52"/>
    </row>
    <row r="737" spans="2:27" ht="13.2" x14ac:dyDescent="0.25">
      <c r="B737" s="56"/>
      <c r="G737" s="56"/>
      <c r="L737" s="56"/>
      <c r="Q737" s="56"/>
      <c r="V737" s="56"/>
      <c r="AA737" s="52"/>
    </row>
    <row r="738" spans="2:27" ht="13.2" x14ac:dyDescent="0.25">
      <c r="B738" s="56"/>
      <c r="G738" s="56"/>
      <c r="L738" s="56"/>
      <c r="Q738" s="56"/>
      <c r="V738" s="56"/>
      <c r="AA738" s="52"/>
    </row>
    <row r="739" spans="2:27" ht="13.2" x14ac:dyDescent="0.25">
      <c r="B739" s="56"/>
      <c r="G739" s="56"/>
      <c r="L739" s="56"/>
      <c r="Q739" s="56"/>
      <c r="V739" s="56"/>
      <c r="AA739" s="52"/>
    </row>
    <row r="740" spans="2:27" ht="13.2" x14ac:dyDescent="0.25">
      <c r="B740" s="56"/>
      <c r="G740" s="56"/>
      <c r="L740" s="56"/>
      <c r="Q740" s="56"/>
      <c r="V740" s="56"/>
      <c r="AA740" s="52"/>
    </row>
    <row r="741" spans="2:27" ht="13.2" x14ac:dyDescent="0.25">
      <c r="B741" s="56"/>
      <c r="G741" s="56"/>
      <c r="L741" s="56"/>
      <c r="Q741" s="56"/>
      <c r="V741" s="56"/>
      <c r="AA741" s="52"/>
    </row>
    <row r="742" spans="2:27" ht="13.2" x14ac:dyDescent="0.25">
      <c r="B742" s="56"/>
      <c r="G742" s="56"/>
      <c r="L742" s="56"/>
      <c r="Q742" s="56"/>
      <c r="V742" s="56"/>
      <c r="AA742" s="52"/>
    </row>
    <row r="743" spans="2:27" ht="13.2" x14ac:dyDescent="0.25">
      <c r="B743" s="56"/>
      <c r="G743" s="56"/>
      <c r="L743" s="56"/>
      <c r="Q743" s="56"/>
      <c r="V743" s="56"/>
      <c r="AA743" s="52"/>
    </row>
    <row r="744" spans="2:27" ht="13.2" x14ac:dyDescent="0.25">
      <c r="B744" s="56"/>
      <c r="G744" s="56"/>
      <c r="L744" s="56"/>
      <c r="Q744" s="56"/>
      <c r="V744" s="56"/>
      <c r="AA744" s="52"/>
    </row>
    <row r="745" spans="2:27" ht="13.2" x14ac:dyDescent="0.25">
      <c r="B745" s="56"/>
      <c r="G745" s="56"/>
      <c r="L745" s="56"/>
      <c r="Q745" s="56"/>
      <c r="V745" s="56"/>
      <c r="AA745" s="52"/>
    </row>
    <row r="746" spans="2:27" ht="13.2" x14ac:dyDescent="0.25">
      <c r="B746" s="56"/>
      <c r="G746" s="56"/>
      <c r="L746" s="56"/>
      <c r="Q746" s="56"/>
      <c r="V746" s="56"/>
      <c r="AA746" s="52"/>
    </row>
    <row r="747" spans="2:27" ht="13.2" x14ac:dyDescent="0.25">
      <c r="B747" s="56"/>
      <c r="G747" s="56"/>
      <c r="L747" s="56"/>
      <c r="Q747" s="56"/>
      <c r="V747" s="56"/>
      <c r="AA747" s="52"/>
    </row>
    <row r="748" spans="2:27" ht="13.2" x14ac:dyDescent="0.25">
      <c r="B748" s="56"/>
      <c r="G748" s="56"/>
      <c r="L748" s="56"/>
      <c r="Q748" s="56"/>
      <c r="V748" s="56"/>
      <c r="AA748" s="52"/>
    </row>
    <row r="749" spans="2:27" ht="13.2" x14ac:dyDescent="0.25">
      <c r="B749" s="56"/>
      <c r="G749" s="56"/>
      <c r="L749" s="56"/>
      <c r="Q749" s="56"/>
      <c r="V749" s="56"/>
      <c r="AA749" s="52"/>
    </row>
    <row r="750" spans="2:27" ht="13.2" x14ac:dyDescent="0.25">
      <c r="B750" s="56"/>
      <c r="G750" s="56"/>
      <c r="L750" s="56"/>
      <c r="Q750" s="56"/>
      <c r="V750" s="56"/>
      <c r="AA750" s="52"/>
    </row>
    <row r="751" spans="2:27" ht="13.2" x14ac:dyDescent="0.25">
      <c r="B751" s="56"/>
      <c r="G751" s="56"/>
      <c r="L751" s="56"/>
      <c r="Q751" s="56"/>
      <c r="V751" s="56"/>
      <c r="AA751" s="52"/>
    </row>
    <row r="752" spans="2:27" ht="13.2" x14ac:dyDescent="0.25">
      <c r="B752" s="56"/>
      <c r="G752" s="56"/>
      <c r="L752" s="56"/>
      <c r="Q752" s="56"/>
      <c r="V752" s="56"/>
      <c r="AA752" s="52"/>
    </row>
    <row r="753" spans="2:27" ht="13.2" x14ac:dyDescent="0.25">
      <c r="B753" s="56"/>
      <c r="G753" s="56"/>
      <c r="L753" s="56"/>
      <c r="Q753" s="56"/>
      <c r="V753" s="56"/>
      <c r="AA753" s="52"/>
    </row>
    <row r="754" spans="2:27" ht="13.2" x14ac:dyDescent="0.25">
      <c r="B754" s="56"/>
      <c r="G754" s="56"/>
      <c r="L754" s="56"/>
      <c r="Q754" s="56"/>
      <c r="V754" s="56"/>
      <c r="AA754" s="52"/>
    </row>
    <row r="755" spans="2:27" ht="13.2" x14ac:dyDescent="0.25">
      <c r="B755" s="56"/>
      <c r="G755" s="56"/>
      <c r="L755" s="56"/>
      <c r="Q755" s="56"/>
      <c r="V755" s="56"/>
      <c r="AA755" s="52"/>
    </row>
    <row r="756" spans="2:27" ht="13.2" x14ac:dyDescent="0.25">
      <c r="B756" s="56"/>
      <c r="G756" s="56"/>
      <c r="L756" s="56"/>
      <c r="Q756" s="56"/>
      <c r="V756" s="56"/>
      <c r="AA756" s="52"/>
    </row>
    <row r="757" spans="2:27" ht="13.2" x14ac:dyDescent="0.25">
      <c r="B757" s="56"/>
      <c r="G757" s="56"/>
      <c r="L757" s="56"/>
      <c r="Q757" s="56"/>
      <c r="V757" s="56"/>
      <c r="AA757" s="52"/>
    </row>
    <row r="758" spans="2:27" ht="13.2" x14ac:dyDescent="0.25">
      <c r="B758" s="56"/>
      <c r="G758" s="56"/>
      <c r="L758" s="56"/>
      <c r="Q758" s="56"/>
      <c r="V758" s="56"/>
      <c r="AA758" s="52"/>
    </row>
    <row r="759" spans="2:27" ht="13.2" x14ac:dyDescent="0.25">
      <c r="B759" s="56"/>
      <c r="G759" s="56"/>
      <c r="L759" s="56"/>
      <c r="Q759" s="56"/>
      <c r="V759" s="56"/>
      <c r="AA759" s="52"/>
    </row>
    <row r="760" spans="2:27" ht="13.2" x14ac:dyDescent="0.25">
      <c r="B760" s="56"/>
      <c r="G760" s="56"/>
      <c r="L760" s="56"/>
      <c r="Q760" s="56"/>
      <c r="V760" s="56"/>
      <c r="AA760" s="52"/>
    </row>
    <row r="761" spans="2:27" ht="13.2" x14ac:dyDescent="0.25">
      <c r="B761" s="56"/>
      <c r="G761" s="56"/>
      <c r="L761" s="56"/>
      <c r="Q761" s="56"/>
      <c r="V761" s="56"/>
      <c r="AA761" s="52"/>
    </row>
    <row r="762" spans="2:27" ht="13.2" x14ac:dyDescent="0.25">
      <c r="B762" s="56"/>
      <c r="G762" s="56"/>
      <c r="L762" s="56"/>
      <c r="Q762" s="56"/>
      <c r="V762" s="56"/>
      <c r="AA762" s="52"/>
    </row>
    <row r="763" spans="2:27" ht="13.2" x14ac:dyDescent="0.25">
      <c r="B763" s="56"/>
      <c r="G763" s="56"/>
      <c r="L763" s="56"/>
      <c r="Q763" s="56"/>
      <c r="V763" s="56"/>
      <c r="AA763" s="52"/>
    </row>
    <row r="764" spans="2:27" ht="13.2" x14ac:dyDescent="0.25">
      <c r="B764" s="56"/>
      <c r="G764" s="56"/>
      <c r="L764" s="56"/>
      <c r="Q764" s="56"/>
      <c r="V764" s="56"/>
      <c r="AA764" s="52"/>
    </row>
    <row r="765" spans="2:27" ht="13.2" x14ac:dyDescent="0.25">
      <c r="B765" s="56"/>
      <c r="G765" s="56"/>
      <c r="L765" s="56"/>
      <c r="Q765" s="56"/>
      <c r="V765" s="56"/>
      <c r="AA765" s="52"/>
    </row>
    <row r="766" spans="2:27" ht="13.2" x14ac:dyDescent="0.25">
      <c r="B766" s="56"/>
      <c r="G766" s="56"/>
      <c r="L766" s="56"/>
      <c r="Q766" s="56"/>
      <c r="V766" s="56"/>
      <c r="AA766" s="52"/>
    </row>
    <row r="767" spans="2:27" ht="13.2" x14ac:dyDescent="0.25">
      <c r="B767" s="56"/>
      <c r="G767" s="56"/>
      <c r="L767" s="56"/>
      <c r="Q767" s="56"/>
      <c r="V767" s="56"/>
      <c r="AA767" s="52"/>
    </row>
    <row r="768" spans="2:27" ht="13.2" x14ac:dyDescent="0.25">
      <c r="B768" s="56"/>
      <c r="G768" s="56"/>
      <c r="L768" s="56"/>
      <c r="Q768" s="56"/>
      <c r="V768" s="56"/>
      <c r="AA768" s="52"/>
    </row>
    <row r="769" spans="2:27" ht="13.2" x14ac:dyDescent="0.25">
      <c r="B769" s="56"/>
      <c r="G769" s="56"/>
      <c r="L769" s="56"/>
      <c r="Q769" s="56"/>
      <c r="V769" s="56"/>
      <c r="AA769" s="52"/>
    </row>
    <row r="770" spans="2:27" ht="13.2" x14ac:dyDescent="0.25">
      <c r="B770" s="56"/>
      <c r="G770" s="56"/>
      <c r="L770" s="56"/>
      <c r="Q770" s="56"/>
      <c r="V770" s="56"/>
      <c r="AA770" s="52"/>
    </row>
    <row r="771" spans="2:27" ht="13.2" x14ac:dyDescent="0.25">
      <c r="B771" s="56"/>
      <c r="G771" s="56"/>
      <c r="L771" s="56"/>
      <c r="Q771" s="56"/>
      <c r="V771" s="56"/>
      <c r="AA771" s="52"/>
    </row>
    <row r="772" spans="2:27" ht="13.2" x14ac:dyDescent="0.25">
      <c r="B772" s="56"/>
      <c r="G772" s="56"/>
      <c r="L772" s="56"/>
      <c r="Q772" s="56"/>
      <c r="V772" s="56"/>
      <c r="AA772" s="52"/>
    </row>
    <row r="773" spans="2:27" ht="13.2" x14ac:dyDescent="0.25">
      <c r="B773" s="56"/>
      <c r="G773" s="56"/>
      <c r="L773" s="56"/>
      <c r="Q773" s="56"/>
      <c r="V773" s="56"/>
      <c r="AA773" s="52"/>
    </row>
    <row r="774" spans="2:27" ht="13.2" x14ac:dyDescent="0.25">
      <c r="B774" s="56"/>
      <c r="G774" s="56"/>
      <c r="L774" s="56"/>
      <c r="Q774" s="56"/>
      <c r="V774" s="56"/>
      <c r="AA774" s="52"/>
    </row>
    <row r="775" spans="2:27" ht="13.2" x14ac:dyDescent="0.25">
      <c r="B775" s="56"/>
      <c r="G775" s="56"/>
      <c r="L775" s="56"/>
      <c r="Q775" s="56"/>
      <c r="V775" s="56"/>
      <c r="AA775" s="52"/>
    </row>
    <row r="776" spans="2:27" ht="13.2" x14ac:dyDescent="0.25">
      <c r="B776" s="56"/>
      <c r="G776" s="56"/>
      <c r="L776" s="56"/>
      <c r="Q776" s="56"/>
      <c r="V776" s="56"/>
      <c r="AA776" s="52"/>
    </row>
    <row r="777" spans="2:27" ht="13.2" x14ac:dyDescent="0.25">
      <c r="B777" s="56"/>
      <c r="G777" s="56"/>
      <c r="L777" s="56"/>
      <c r="Q777" s="56"/>
      <c r="V777" s="56"/>
      <c r="AA777" s="52"/>
    </row>
    <row r="778" spans="2:27" ht="13.2" x14ac:dyDescent="0.25">
      <c r="B778" s="56"/>
      <c r="G778" s="56"/>
      <c r="L778" s="56"/>
      <c r="Q778" s="56"/>
      <c r="V778" s="56"/>
      <c r="AA778" s="52"/>
    </row>
    <row r="779" spans="2:27" ht="13.2" x14ac:dyDescent="0.25">
      <c r="B779" s="56"/>
      <c r="G779" s="56"/>
      <c r="L779" s="56"/>
      <c r="Q779" s="56"/>
      <c r="V779" s="56"/>
      <c r="AA779" s="52"/>
    </row>
    <row r="780" spans="2:27" ht="13.2" x14ac:dyDescent="0.25">
      <c r="B780" s="56"/>
      <c r="G780" s="56"/>
      <c r="L780" s="56"/>
      <c r="Q780" s="56"/>
      <c r="V780" s="56"/>
      <c r="AA780" s="52"/>
    </row>
    <row r="781" spans="2:27" ht="13.2" x14ac:dyDescent="0.25">
      <c r="B781" s="56"/>
      <c r="G781" s="56"/>
      <c r="L781" s="56"/>
      <c r="Q781" s="56"/>
      <c r="V781" s="56"/>
      <c r="AA781" s="52"/>
    </row>
    <row r="782" spans="2:27" ht="13.2" x14ac:dyDescent="0.25">
      <c r="B782" s="56"/>
      <c r="G782" s="56"/>
      <c r="L782" s="56"/>
      <c r="Q782" s="56"/>
      <c r="V782" s="56"/>
      <c r="AA782" s="52"/>
    </row>
    <row r="783" spans="2:27" ht="13.2" x14ac:dyDescent="0.25">
      <c r="B783" s="56"/>
      <c r="G783" s="56"/>
      <c r="L783" s="56"/>
      <c r="Q783" s="56"/>
      <c r="V783" s="56"/>
      <c r="AA783" s="52"/>
    </row>
    <row r="784" spans="2:27" ht="13.2" x14ac:dyDescent="0.25">
      <c r="B784" s="56"/>
      <c r="G784" s="56"/>
      <c r="L784" s="56"/>
      <c r="Q784" s="56"/>
      <c r="V784" s="56"/>
      <c r="AA784" s="52"/>
    </row>
    <row r="785" spans="2:27" ht="13.2" x14ac:dyDescent="0.25">
      <c r="B785" s="56"/>
      <c r="G785" s="56"/>
      <c r="L785" s="56"/>
      <c r="Q785" s="56"/>
      <c r="V785" s="56"/>
      <c r="AA785" s="52"/>
    </row>
    <row r="786" spans="2:27" ht="13.2" x14ac:dyDescent="0.25">
      <c r="B786" s="56"/>
      <c r="G786" s="56"/>
      <c r="L786" s="56"/>
      <c r="Q786" s="56"/>
      <c r="V786" s="56"/>
      <c r="AA786" s="52"/>
    </row>
    <row r="787" spans="2:27" ht="13.2" x14ac:dyDescent="0.25">
      <c r="B787" s="56"/>
      <c r="G787" s="56"/>
      <c r="L787" s="56"/>
      <c r="Q787" s="56"/>
      <c r="V787" s="56"/>
      <c r="AA787" s="52"/>
    </row>
    <row r="788" spans="2:27" ht="13.2" x14ac:dyDescent="0.25">
      <c r="B788" s="56"/>
      <c r="G788" s="56"/>
      <c r="L788" s="56"/>
      <c r="Q788" s="56"/>
      <c r="V788" s="56"/>
      <c r="AA788" s="52"/>
    </row>
    <row r="789" spans="2:27" ht="13.2" x14ac:dyDescent="0.25">
      <c r="B789" s="56"/>
      <c r="G789" s="56"/>
      <c r="L789" s="56"/>
      <c r="Q789" s="56"/>
      <c r="V789" s="56"/>
      <c r="AA789" s="52"/>
    </row>
    <row r="790" spans="2:27" ht="13.2" x14ac:dyDescent="0.25">
      <c r="B790" s="56"/>
      <c r="G790" s="56"/>
      <c r="L790" s="56"/>
      <c r="Q790" s="56"/>
      <c r="V790" s="56"/>
      <c r="AA790" s="52"/>
    </row>
    <row r="791" spans="2:27" ht="13.2" x14ac:dyDescent="0.25">
      <c r="B791" s="56"/>
      <c r="G791" s="56"/>
      <c r="L791" s="56"/>
      <c r="Q791" s="56"/>
      <c r="V791" s="56"/>
      <c r="AA791" s="52"/>
    </row>
    <row r="792" spans="2:27" ht="13.2" x14ac:dyDescent="0.25">
      <c r="B792" s="56"/>
      <c r="G792" s="56"/>
      <c r="L792" s="56"/>
      <c r="Q792" s="56"/>
      <c r="V792" s="56"/>
      <c r="AA792" s="52"/>
    </row>
    <row r="793" spans="2:27" ht="13.2" x14ac:dyDescent="0.25">
      <c r="B793" s="56"/>
      <c r="G793" s="56"/>
      <c r="L793" s="56"/>
      <c r="Q793" s="56"/>
      <c r="V793" s="56"/>
      <c r="AA793" s="52"/>
    </row>
    <row r="794" spans="2:27" ht="13.2" x14ac:dyDescent="0.25">
      <c r="B794" s="56"/>
      <c r="G794" s="56"/>
      <c r="L794" s="56"/>
      <c r="Q794" s="56"/>
      <c r="V794" s="56"/>
      <c r="AA794" s="52"/>
    </row>
    <row r="795" spans="2:27" ht="13.2" x14ac:dyDescent="0.25">
      <c r="B795" s="56"/>
      <c r="G795" s="56"/>
      <c r="L795" s="56"/>
      <c r="Q795" s="56"/>
      <c r="V795" s="56"/>
      <c r="AA795" s="52"/>
    </row>
    <row r="796" spans="2:27" ht="13.2" x14ac:dyDescent="0.25">
      <c r="B796" s="56"/>
      <c r="G796" s="56"/>
      <c r="L796" s="56"/>
      <c r="Q796" s="56"/>
      <c r="V796" s="56"/>
      <c r="AA796" s="52"/>
    </row>
    <row r="797" spans="2:27" ht="13.2" x14ac:dyDescent="0.25">
      <c r="B797" s="56"/>
      <c r="G797" s="56"/>
      <c r="L797" s="56"/>
      <c r="Q797" s="56"/>
      <c r="V797" s="56"/>
      <c r="AA797" s="52"/>
    </row>
    <row r="798" spans="2:27" ht="13.2" x14ac:dyDescent="0.25">
      <c r="B798" s="56"/>
      <c r="G798" s="56"/>
      <c r="L798" s="56"/>
      <c r="Q798" s="56"/>
      <c r="V798" s="56"/>
      <c r="AA798" s="52"/>
    </row>
    <row r="799" spans="2:27" ht="13.2" x14ac:dyDescent="0.25">
      <c r="B799" s="56"/>
      <c r="G799" s="56"/>
      <c r="L799" s="56"/>
      <c r="Q799" s="56"/>
      <c r="V799" s="56"/>
      <c r="AA799" s="52"/>
    </row>
    <row r="800" spans="2:27" ht="13.2" x14ac:dyDescent="0.25">
      <c r="B800" s="56"/>
      <c r="G800" s="56"/>
      <c r="L800" s="56"/>
      <c r="Q800" s="56"/>
      <c r="V800" s="56"/>
      <c r="AA800" s="52"/>
    </row>
    <row r="801" spans="2:27" ht="13.2" x14ac:dyDescent="0.25">
      <c r="B801" s="56"/>
      <c r="G801" s="56"/>
      <c r="L801" s="56"/>
      <c r="Q801" s="56"/>
      <c r="V801" s="56"/>
      <c r="AA801" s="52"/>
    </row>
    <row r="802" spans="2:27" ht="13.2" x14ac:dyDescent="0.25">
      <c r="B802" s="56"/>
      <c r="G802" s="56"/>
      <c r="L802" s="56"/>
      <c r="Q802" s="56"/>
      <c r="V802" s="56"/>
      <c r="AA802" s="52"/>
    </row>
    <row r="803" spans="2:27" ht="13.2" x14ac:dyDescent="0.25">
      <c r="B803" s="56"/>
      <c r="G803" s="56"/>
      <c r="L803" s="56"/>
      <c r="Q803" s="56"/>
      <c r="V803" s="56"/>
      <c r="AA803" s="52"/>
    </row>
    <row r="804" spans="2:27" ht="13.2" x14ac:dyDescent="0.25">
      <c r="B804" s="56"/>
      <c r="G804" s="56"/>
      <c r="L804" s="56"/>
      <c r="Q804" s="56"/>
      <c r="V804" s="56"/>
      <c r="AA804" s="52"/>
    </row>
    <row r="805" spans="2:27" ht="13.2" x14ac:dyDescent="0.25">
      <c r="B805" s="56"/>
      <c r="G805" s="56"/>
      <c r="L805" s="56"/>
      <c r="Q805" s="56"/>
      <c r="V805" s="56"/>
      <c r="AA805" s="52"/>
    </row>
    <row r="806" spans="2:27" ht="13.2" x14ac:dyDescent="0.25">
      <c r="B806" s="56"/>
      <c r="G806" s="56"/>
      <c r="L806" s="56"/>
      <c r="Q806" s="56"/>
      <c r="V806" s="56"/>
      <c r="AA806" s="52"/>
    </row>
    <row r="807" spans="2:27" ht="13.2" x14ac:dyDescent="0.25">
      <c r="B807" s="56"/>
      <c r="G807" s="56"/>
      <c r="L807" s="56"/>
      <c r="Q807" s="56"/>
      <c r="V807" s="56"/>
      <c r="AA807" s="52"/>
    </row>
    <row r="808" spans="2:27" ht="13.2" x14ac:dyDescent="0.25">
      <c r="B808" s="56"/>
      <c r="G808" s="56"/>
      <c r="L808" s="56"/>
      <c r="Q808" s="56"/>
      <c r="V808" s="56"/>
      <c r="AA808" s="52"/>
    </row>
    <row r="809" spans="2:27" ht="13.2" x14ac:dyDescent="0.25">
      <c r="B809" s="56"/>
      <c r="G809" s="56"/>
      <c r="L809" s="56"/>
      <c r="Q809" s="56"/>
      <c r="V809" s="56"/>
      <c r="AA809" s="52"/>
    </row>
    <row r="810" spans="2:27" ht="13.2" x14ac:dyDescent="0.25">
      <c r="B810" s="56"/>
      <c r="G810" s="56"/>
      <c r="L810" s="56"/>
      <c r="Q810" s="56"/>
      <c r="V810" s="56"/>
      <c r="AA810" s="52"/>
    </row>
    <row r="811" spans="2:27" ht="13.2" x14ac:dyDescent="0.25">
      <c r="B811" s="56"/>
      <c r="G811" s="56"/>
      <c r="L811" s="56"/>
      <c r="Q811" s="56"/>
      <c r="V811" s="56"/>
      <c r="AA811" s="52"/>
    </row>
    <row r="812" spans="2:27" ht="13.2" x14ac:dyDescent="0.25">
      <c r="B812" s="56"/>
      <c r="G812" s="56"/>
      <c r="L812" s="56"/>
      <c r="Q812" s="56"/>
      <c r="V812" s="56"/>
      <c r="AA812" s="52"/>
    </row>
    <row r="813" spans="2:27" ht="13.2" x14ac:dyDescent="0.25">
      <c r="B813" s="56"/>
      <c r="G813" s="56"/>
      <c r="L813" s="56"/>
      <c r="Q813" s="56"/>
      <c r="V813" s="56"/>
      <c r="AA813" s="52"/>
    </row>
    <row r="814" spans="2:27" ht="13.2" x14ac:dyDescent="0.25">
      <c r="B814" s="56"/>
      <c r="G814" s="56"/>
      <c r="L814" s="56"/>
      <c r="Q814" s="56"/>
      <c r="V814" s="56"/>
      <c r="AA814" s="52"/>
    </row>
    <row r="815" spans="2:27" ht="13.2" x14ac:dyDescent="0.25">
      <c r="B815" s="56"/>
      <c r="G815" s="56"/>
      <c r="L815" s="56"/>
      <c r="Q815" s="56"/>
      <c r="V815" s="56"/>
      <c r="AA815" s="52"/>
    </row>
    <row r="816" spans="2:27" ht="13.2" x14ac:dyDescent="0.25">
      <c r="B816" s="56"/>
      <c r="G816" s="56"/>
      <c r="L816" s="56"/>
      <c r="Q816" s="56"/>
      <c r="V816" s="56"/>
      <c r="AA816" s="52"/>
    </row>
    <row r="817" spans="2:27" ht="13.2" x14ac:dyDescent="0.25">
      <c r="B817" s="56"/>
      <c r="G817" s="56"/>
      <c r="L817" s="56"/>
      <c r="Q817" s="56"/>
      <c r="V817" s="56"/>
      <c r="AA817" s="52"/>
    </row>
    <row r="818" spans="2:27" ht="13.2" x14ac:dyDescent="0.25">
      <c r="B818" s="56"/>
      <c r="G818" s="56"/>
      <c r="L818" s="56"/>
      <c r="Q818" s="56"/>
      <c r="V818" s="56"/>
      <c r="AA818" s="52"/>
    </row>
    <row r="819" spans="2:27" ht="13.2" x14ac:dyDescent="0.25">
      <c r="B819" s="56"/>
      <c r="G819" s="56"/>
      <c r="L819" s="56"/>
      <c r="Q819" s="56"/>
      <c r="V819" s="56"/>
      <c r="AA819" s="52"/>
    </row>
    <row r="820" spans="2:27" ht="13.2" x14ac:dyDescent="0.25">
      <c r="B820" s="56"/>
      <c r="G820" s="56"/>
      <c r="L820" s="56"/>
      <c r="Q820" s="56"/>
      <c r="V820" s="56"/>
      <c r="AA820" s="52"/>
    </row>
    <row r="821" spans="2:27" ht="13.2" x14ac:dyDescent="0.25">
      <c r="B821" s="56"/>
      <c r="G821" s="56"/>
      <c r="L821" s="56"/>
      <c r="Q821" s="56"/>
      <c r="V821" s="56"/>
      <c r="AA821" s="52"/>
    </row>
    <row r="822" spans="2:27" ht="13.2" x14ac:dyDescent="0.25">
      <c r="B822" s="56"/>
      <c r="G822" s="56"/>
      <c r="L822" s="56"/>
      <c r="Q822" s="56"/>
      <c r="V822" s="56"/>
      <c r="AA822" s="52"/>
    </row>
    <row r="823" spans="2:27" ht="13.2" x14ac:dyDescent="0.25">
      <c r="B823" s="56"/>
      <c r="G823" s="56"/>
      <c r="L823" s="56"/>
      <c r="Q823" s="56"/>
      <c r="V823" s="56"/>
      <c r="AA823" s="52"/>
    </row>
    <row r="824" spans="2:27" ht="13.2" x14ac:dyDescent="0.25">
      <c r="B824" s="56"/>
      <c r="G824" s="56"/>
      <c r="L824" s="56"/>
      <c r="Q824" s="56"/>
      <c r="V824" s="56"/>
      <c r="AA824" s="52"/>
    </row>
    <row r="825" spans="2:27" ht="13.2" x14ac:dyDescent="0.25">
      <c r="B825" s="56"/>
      <c r="G825" s="56"/>
      <c r="L825" s="56"/>
      <c r="Q825" s="56"/>
      <c r="V825" s="56"/>
      <c r="AA825" s="52"/>
    </row>
    <row r="826" spans="2:27" ht="13.2" x14ac:dyDescent="0.25">
      <c r="B826" s="56"/>
      <c r="G826" s="56"/>
      <c r="L826" s="56"/>
      <c r="Q826" s="56"/>
      <c r="V826" s="56"/>
      <c r="AA826" s="52"/>
    </row>
    <row r="827" spans="2:27" ht="13.2" x14ac:dyDescent="0.25">
      <c r="B827" s="56"/>
      <c r="G827" s="56"/>
      <c r="L827" s="56"/>
      <c r="Q827" s="56"/>
      <c r="V827" s="56"/>
      <c r="AA827" s="52"/>
    </row>
    <row r="828" spans="2:27" ht="13.2" x14ac:dyDescent="0.25">
      <c r="B828" s="56"/>
      <c r="G828" s="56"/>
      <c r="L828" s="56"/>
      <c r="Q828" s="56"/>
      <c r="V828" s="56"/>
      <c r="AA828" s="52"/>
    </row>
    <row r="829" spans="2:27" ht="13.2" x14ac:dyDescent="0.25">
      <c r="B829" s="56"/>
      <c r="G829" s="56"/>
      <c r="L829" s="56"/>
      <c r="Q829" s="56"/>
      <c r="V829" s="56"/>
      <c r="AA829" s="52"/>
    </row>
    <row r="830" spans="2:27" ht="13.2" x14ac:dyDescent="0.25">
      <c r="B830" s="56"/>
      <c r="G830" s="56"/>
      <c r="L830" s="56"/>
      <c r="Q830" s="56"/>
      <c r="V830" s="56"/>
      <c r="AA830" s="52"/>
    </row>
    <row r="831" spans="2:27" ht="13.2" x14ac:dyDescent="0.25">
      <c r="B831" s="56"/>
      <c r="G831" s="56"/>
      <c r="L831" s="56"/>
      <c r="Q831" s="56"/>
      <c r="V831" s="56"/>
      <c r="AA831" s="52"/>
    </row>
    <row r="832" spans="2:27" ht="13.2" x14ac:dyDescent="0.25">
      <c r="B832" s="56"/>
      <c r="G832" s="56"/>
      <c r="L832" s="56"/>
      <c r="Q832" s="56"/>
      <c r="V832" s="56"/>
      <c r="AA832" s="52"/>
    </row>
    <row r="833" spans="2:27" ht="13.2" x14ac:dyDescent="0.25">
      <c r="B833" s="56"/>
      <c r="G833" s="56"/>
      <c r="L833" s="56"/>
      <c r="Q833" s="56"/>
      <c r="V833" s="56"/>
      <c r="AA833" s="52"/>
    </row>
    <row r="834" spans="2:27" ht="13.2" x14ac:dyDescent="0.25">
      <c r="B834" s="56"/>
      <c r="G834" s="56"/>
      <c r="L834" s="56"/>
      <c r="Q834" s="56"/>
      <c r="V834" s="56"/>
      <c r="AA834" s="52"/>
    </row>
    <row r="835" spans="2:27" ht="13.2" x14ac:dyDescent="0.25">
      <c r="B835" s="56"/>
      <c r="G835" s="56"/>
      <c r="L835" s="56"/>
      <c r="Q835" s="56"/>
      <c r="V835" s="56"/>
      <c r="AA835" s="52"/>
    </row>
    <row r="836" spans="2:27" ht="13.2" x14ac:dyDescent="0.25">
      <c r="B836" s="56"/>
      <c r="G836" s="56"/>
      <c r="L836" s="56"/>
      <c r="Q836" s="56"/>
      <c r="V836" s="56"/>
      <c r="AA836" s="52"/>
    </row>
    <row r="837" spans="2:27" ht="13.2" x14ac:dyDescent="0.25">
      <c r="B837" s="56"/>
      <c r="G837" s="56"/>
      <c r="L837" s="56"/>
      <c r="Q837" s="56"/>
      <c r="V837" s="56"/>
      <c r="AA837" s="52"/>
    </row>
    <row r="838" spans="2:27" ht="13.2" x14ac:dyDescent="0.25">
      <c r="B838" s="56"/>
      <c r="G838" s="56"/>
      <c r="L838" s="56"/>
      <c r="Q838" s="56"/>
      <c r="V838" s="56"/>
      <c r="AA838" s="52"/>
    </row>
    <row r="839" spans="2:27" ht="13.2" x14ac:dyDescent="0.25">
      <c r="B839" s="56"/>
      <c r="G839" s="56"/>
      <c r="L839" s="56"/>
      <c r="Q839" s="56"/>
      <c r="V839" s="56"/>
      <c r="AA839" s="52"/>
    </row>
    <row r="840" spans="2:27" ht="13.2" x14ac:dyDescent="0.25">
      <c r="B840" s="56"/>
      <c r="G840" s="56"/>
      <c r="L840" s="56"/>
      <c r="Q840" s="56"/>
      <c r="V840" s="56"/>
      <c r="AA840" s="52"/>
    </row>
    <row r="841" spans="2:27" ht="13.2" x14ac:dyDescent="0.25">
      <c r="B841" s="56"/>
      <c r="G841" s="56"/>
      <c r="L841" s="56"/>
      <c r="Q841" s="56"/>
      <c r="V841" s="56"/>
      <c r="AA841" s="52"/>
    </row>
    <row r="842" spans="2:27" ht="13.2" x14ac:dyDescent="0.25">
      <c r="B842" s="56"/>
      <c r="G842" s="56"/>
      <c r="L842" s="56"/>
      <c r="Q842" s="56"/>
      <c r="V842" s="56"/>
      <c r="AA842" s="52"/>
    </row>
    <row r="843" spans="2:27" ht="13.2" x14ac:dyDescent="0.25">
      <c r="B843" s="56"/>
      <c r="G843" s="56"/>
      <c r="L843" s="56"/>
      <c r="Q843" s="56"/>
      <c r="V843" s="56"/>
      <c r="AA843" s="52"/>
    </row>
    <row r="844" spans="2:27" ht="13.2" x14ac:dyDescent="0.25">
      <c r="B844" s="56"/>
      <c r="G844" s="56"/>
      <c r="L844" s="56"/>
      <c r="Q844" s="56"/>
      <c r="V844" s="56"/>
      <c r="AA844" s="52"/>
    </row>
    <row r="845" spans="2:27" ht="13.2" x14ac:dyDescent="0.25">
      <c r="B845" s="56"/>
      <c r="G845" s="56"/>
      <c r="L845" s="56"/>
      <c r="Q845" s="56"/>
      <c r="V845" s="56"/>
      <c r="AA845" s="52"/>
    </row>
    <row r="846" spans="2:27" ht="13.2" x14ac:dyDescent="0.25">
      <c r="B846" s="56"/>
      <c r="G846" s="56"/>
      <c r="L846" s="56"/>
      <c r="Q846" s="56"/>
      <c r="V846" s="56"/>
      <c r="AA846" s="52"/>
    </row>
    <row r="847" spans="2:27" ht="13.2" x14ac:dyDescent="0.25">
      <c r="B847" s="56"/>
      <c r="G847" s="56"/>
      <c r="L847" s="56"/>
      <c r="Q847" s="56"/>
      <c r="V847" s="56"/>
      <c r="AA847" s="52"/>
    </row>
    <row r="848" spans="2:27" ht="13.2" x14ac:dyDescent="0.25">
      <c r="B848" s="56"/>
      <c r="G848" s="56"/>
      <c r="L848" s="56"/>
      <c r="Q848" s="56"/>
      <c r="V848" s="56"/>
      <c r="AA848" s="52"/>
    </row>
    <row r="849" spans="2:27" ht="13.2" x14ac:dyDescent="0.25">
      <c r="B849" s="56"/>
      <c r="G849" s="56"/>
      <c r="L849" s="56"/>
      <c r="Q849" s="56"/>
      <c r="V849" s="56"/>
      <c r="AA849" s="52"/>
    </row>
    <row r="850" spans="2:27" ht="13.2" x14ac:dyDescent="0.25">
      <c r="B850" s="56"/>
      <c r="G850" s="56"/>
      <c r="L850" s="56"/>
      <c r="Q850" s="56"/>
      <c r="V850" s="56"/>
      <c r="AA850" s="52"/>
    </row>
    <row r="851" spans="2:27" ht="13.2" x14ac:dyDescent="0.25">
      <c r="B851" s="56"/>
      <c r="G851" s="56"/>
      <c r="L851" s="56"/>
      <c r="Q851" s="56"/>
      <c r="V851" s="56"/>
      <c r="AA851" s="52"/>
    </row>
    <row r="852" spans="2:27" ht="13.2" x14ac:dyDescent="0.25">
      <c r="B852" s="56"/>
      <c r="G852" s="56"/>
      <c r="L852" s="56"/>
      <c r="Q852" s="56"/>
      <c r="V852" s="56"/>
      <c r="AA852" s="52"/>
    </row>
    <row r="853" spans="2:27" ht="13.2" x14ac:dyDescent="0.25">
      <c r="B853" s="56"/>
      <c r="G853" s="56"/>
      <c r="L853" s="56"/>
      <c r="Q853" s="56"/>
      <c r="V853" s="56"/>
      <c r="AA853" s="52"/>
    </row>
    <row r="854" spans="2:27" ht="13.2" x14ac:dyDescent="0.25">
      <c r="B854" s="56"/>
      <c r="G854" s="56"/>
      <c r="L854" s="56"/>
      <c r="Q854" s="56"/>
      <c r="V854" s="56"/>
      <c r="AA854" s="52"/>
    </row>
    <row r="855" spans="2:27" ht="13.2" x14ac:dyDescent="0.25">
      <c r="B855" s="56"/>
      <c r="G855" s="56"/>
      <c r="L855" s="56"/>
      <c r="Q855" s="56"/>
      <c r="V855" s="56"/>
      <c r="AA855" s="52"/>
    </row>
    <row r="856" spans="2:27" ht="13.2" x14ac:dyDescent="0.25">
      <c r="B856" s="56"/>
      <c r="G856" s="56"/>
      <c r="L856" s="56"/>
      <c r="Q856" s="56"/>
      <c r="V856" s="56"/>
      <c r="AA856" s="52"/>
    </row>
    <row r="857" spans="2:27" ht="13.2" x14ac:dyDescent="0.25">
      <c r="B857" s="56"/>
      <c r="G857" s="56"/>
      <c r="L857" s="56"/>
      <c r="Q857" s="56"/>
      <c r="V857" s="56"/>
      <c r="AA857" s="52"/>
    </row>
    <row r="858" spans="2:27" ht="13.2" x14ac:dyDescent="0.25">
      <c r="B858" s="56"/>
      <c r="G858" s="56"/>
      <c r="L858" s="56"/>
      <c r="Q858" s="56"/>
      <c r="V858" s="56"/>
      <c r="AA858" s="52"/>
    </row>
    <row r="859" spans="2:27" ht="13.2" x14ac:dyDescent="0.25">
      <c r="B859" s="56"/>
      <c r="G859" s="56"/>
      <c r="L859" s="56"/>
      <c r="Q859" s="56"/>
      <c r="V859" s="56"/>
      <c r="AA859" s="52"/>
    </row>
    <row r="860" spans="2:27" ht="13.2" x14ac:dyDescent="0.25">
      <c r="B860" s="56"/>
      <c r="G860" s="56"/>
      <c r="L860" s="56"/>
      <c r="Q860" s="56"/>
      <c r="V860" s="56"/>
      <c r="AA860" s="52"/>
    </row>
    <row r="861" spans="2:27" ht="13.2" x14ac:dyDescent="0.25">
      <c r="B861" s="56"/>
      <c r="G861" s="56"/>
      <c r="L861" s="56"/>
      <c r="Q861" s="56"/>
      <c r="V861" s="56"/>
      <c r="AA861" s="52"/>
    </row>
    <row r="862" spans="2:27" ht="13.2" x14ac:dyDescent="0.25">
      <c r="B862" s="56"/>
      <c r="G862" s="56"/>
      <c r="L862" s="56"/>
      <c r="Q862" s="56"/>
      <c r="V862" s="56"/>
      <c r="AA862" s="52"/>
    </row>
    <row r="863" spans="2:27" ht="13.2" x14ac:dyDescent="0.25">
      <c r="B863" s="56"/>
      <c r="G863" s="56"/>
      <c r="L863" s="56"/>
      <c r="Q863" s="56"/>
      <c r="V863" s="56"/>
      <c r="AA863" s="52"/>
    </row>
    <row r="864" spans="2:27" ht="13.2" x14ac:dyDescent="0.25">
      <c r="B864" s="56"/>
      <c r="G864" s="56"/>
      <c r="L864" s="56"/>
      <c r="Q864" s="56"/>
      <c r="V864" s="56"/>
      <c r="AA864" s="52"/>
    </row>
    <row r="865" spans="2:27" ht="13.2" x14ac:dyDescent="0.25">
      <c r="B865" s="56"/>
      <c r="G865" s="56"/>
      <c r="L865" s="56"/>
      <c r="Q865" s="56"/>
      <c r="V865" s="56"/>
      <c r="AA865" s="52"/>
    </row>
    <row r="866" spans="2:27" ht="13.2" x14ac:dyDescent="0.25">
      <c r="B866" s="56"/>
      <c r="G866" s="56"/>
      <c r="L866" s="56"/>
      <c r="Q866" s="56"/>
      <c r="V866" s="56"/>
      <c r="AA866" s="52"/>
    </row>
    <row r="867" spans="2:27" ht="13.2" x14ac:dyDescent="0.25">
      <c r="B867" s="56"/>
      <c r="G867" s="56"/>
      <c r="L867" s="56"/>
      <c r="Q867" s="56"/>
      <c r="V867" s="56"/>
      <c r="AA867" s="52"/>
    </row>
    <row r="868" spans="2:27" ht="13.2" x14ac:dyDescent="0.25">
      <c r="B868" s="56"/>
      <c r="G868" s="56"/>
      <c r="L868" s="56"/>
      <c r="Q868" s="56"/>
      <c r="V868" s="56"/>
      <c r="AA868" s="52"/>
    </row>
    <row r="869" spans="2:27" ht="13.2" x14ac:dyDescent="0.25">
      <c r="B869" s="56"/>
      <c r="G869" s="56"/>
      <c r="L869" s="56"/>
      <c r="Q869" s="56"/>
      <c r="V869" s="56"/>
      <c r="AA869" s="52"/>
    </row>
    <row r="870" spans="2:27" ht="13.2" x14ac:dyDescent="0.25">
      <c r="B870" s="56"/>
      <c r="G870" s="56"/>
      <c r="L870" s="56"/>
      <c r="Q870" s="56"/>
      <c r="V870" s="56"/>
      <c r="AA870" s="52"/>
    </row>
    <row r="871" spans="2:27" ht="13.2" x14ac:dyDescent="0.25">
      <c r="B871" s="56"/>
      <c r="G871" s="56"/>
      <c r="L871" s="56"/>
      <c r="Q871" s="56"/>
      <c r="V871" s="56"/>
      <c r="AA871" s="52"/>
    </row>
    <row r="872" spans="2:27" ht="13.2" x14ac:dyDescent="0.25">
      <c r="B872" s="56"/>
      <c r="G872" s="56"/>
      <c r="L872" s="56"/>
      <c r="Q872" s="56"/>
      <c r="V872" s="56"/>
      <c r="AA872" s="52"/>
    </row>
    <row r="873" spans="2:27" ht="13.2" x14ac:dyDescent="0.25">
      <c r="B873" s="56"/>
      <c r="G873" s="56"/>
      <c r="L873" s="56"/>
      <c r="Q873" s="56"/>
      <c r="V873" s="56"/>
      <c r="AA873" s="52"/>
    </row>
    <row r="874" spans="2:27" ht="13.2" x14ac:dyDescent="0.25">
      <c r="B874" s="56"/>
      <c r="G874" s="56"/>
      <c r="L874" s="56"/>
      <c r="Q874" s="56"/>
      <c r="V874" s="56"/>
      <c r="AA874" s="52"/>
    </row>
    <row r="875" spans="2:27" ht="13.2" x14ac:dyDescent="0.25">
      <c r="B875" s="56"/>
      <c r="G875" s="56"/>
      <c r="L875" s="56"/>
      <c r="Q875" s="56"/>
      <c r="V875" s="56"/>
      <c r="AA875" s="52"/>
    </row>
    <row r="876" spans="2:27" ht="13.2" x14ac:dyDescent="0.25">
      <c r="B876" s="56"/>
      <c r="G876" s="56"/>
      <c r="L876" s="56"/>
      <c r="Q876" s="56"/>
      <c r="V876" s="56"/>
      <c r="AA876" s="52"/>
    </row>
    <row r="877" spans="2:27" ht="13.2" x14ac:dyDescent="0.25">
      <c r="B877" s="56"/>
      <c r="G877" s="56"/>
      <c r="L877" s="56"/>
      <c r="Q877" s="56"/>
      <c r="V877" s="56"/>
      <c r="AA877" s="52"/>
    </row>
    <row r="878" spans="2:27" ht="13.2" x14ac:dyDescent="0.25">
      <c r="B878" s="56"/>
      <c r="G878" s="56"/>
      <c r="L878" s="56"/>
      <c r="Q878" s="56"/>
      <c r="V878" s="56"/>
      <c r="AA878" s="52"/>
    </row>
    <row r="879" spans="2:27" ht="13.2" x14ac:dyDescent="0.25">
      <c r="B879" s="56"/>
      <c r="G879" s="56"/>
      <c r="L879" s="56"/>
      <c r="Q879" s="56"/>
      <c r="V879" s="56"/>
      <c r="AA879" s="52"/>
    </row>
    <row r="880" spans="2:27" ht="13.2" x14ac:dyDescent="0.25">
      <c r="B880" s="56"/>
      <c r="G880" s="56"/>
      <c r="L880" s="56"/>
      <c r="Q880" s="56"/>
      <c r="V880" s="56"/>
      <c r="AA880" s="52"/>
    </row>
    <row r="881" spans="2:27" ht="13.2" x14ac:dyDescent="0.25">
      <c r="B881" s="56"/>
      <c r="G881" s="56"/>
      <c r="L881" s="56"/>
      <c r="Q881" s="56"/>
      <c r="V881" s="56"/>
      <c r="AA881" s="52"/>
    </row>
    <row r="882" spans="2:27" ht="13.2" x14ac:dyDescent="0.25">
      <c r="B882" s="56"/>
      <c r="G882" s="56"/>
      <c r="L882" s="56"/>
      <c r="Q882" s="56"/>
      <c r="V882" s="56"/>
      <c r="AA882" s="52"/>
    </row>
    <row r="883" spans="2:27" ht="13.2" x14ac:dyDescent="0.25">
      <c r="B883" s="56"/>
      <c r="G883" s="56"/>
      <c r="L883" s="56"/>
      <c r="Q883" s="56"/>
      <c r="V883" s="56"/>
      <c r="AA883" s="52"/>
    </row>
    <row r="884" spans="2:27" ht="13.2" x14ac:dyDescent="0.25">
      <c r="B884" s="56"/>
      <c r="G884" s="56"/>
      <c r="L884" s="56"/>
      <c r="Q884" s="56"/>
      <c r="V884" s="56"/>
      <c r="AA884" s="52"/>
    </row>
    <row r="885" spans="2:27" ht="13.2" x14ac:dyDescent="0.25">
      <c r="B885" s="56"/>
      <c r="G885" s="56"/>
      <c r="L885" s="56"/>
      <c r="Q885" s="56"/>
      <c r="V885" s="56"/>
      <c r="AA885" s="52"/>
    </row>
    <row r="886" spans="2:27" ht="13.2" x14ac:dyDescent="0.25">
      <c r="B886" s="56"/>
      <c r="G886" s="56"/>
      <c r="L886" s="56"/>
      <c r="Q886" s="56"/>
      <c r="V886" s="56"/>
      <c r="AA886" s="52"/>
    </row>
    <row r="887" spans="2:27" ht="13.2" x14ac:dyDescent="0.25">
      <c r="B887" s="56"/>
      <c r="G887" s="56"/>
      <c r="L887" s="56"/>
      <c r="Q887" s="56"/>
      <c r="V887" s="56"/>
      <c r="AA887" s="52"/>
    </row>
    <row r="888" spans="2:27" ht="13.2" x14ac:dyDescent="0.25">
      <c r="B888" s="56"/>
      <c r="G888" s="56"/>
      <c r="L888" s="56"/>
      <c r="Q888" s="56"/>
      <c r="V888" s="56"/>
      <c r="AA888" s="52"/>
    </row>
    <row r="889" spans="2:27" ht="13.2" x14ac:dyDescent="0.25">
      <c r="B889" s="56"/>
      <c r="G889" s="56"/>
      <c r="L889" s="56"/>
      <c r="Q889" s="56"/>
      <c r="V889" s="56"/>
      <c r="AA889" s="52"/>
    </row>
    <row r="890" spans="2:27" ht="13.2" x14ac:dyDescent="0.25">
      <c r="B890" s="56"/>
      <c r="G890" s="56"/>
      <c r="L890" s="56"/>
      <c r="Q890" s="56"/>
      <c r="V890" s="56"/>
      <c r="AA890" s="52"/>
    </row>
    <row r="891" spans="2:27" ht="13.2" x14ac:dyDescent="0.25">
      <c r="B891" s="56"/>
      <c r="G891" s="56"/>
      <c r="L891" s="56"/>
      <c r="Q891" s="56"/>
      <c r="V891" s="56"/>
      <c r="AA891" s="52"/>
    </row>
    <row r="892" spans="2:27" ht="13.2" x14ac:dyDescent="0.25">
      <c r="B892" s="56"/>
      <c r="G892" s="56"/>
      <c r="L892" s="56"/>
      <c r="Q892" s="56"/>
      <c r="V892" s="56"/>
      <c r="AA892" s="52"/>
    </row>
    <row r="893" spans="2:27" ht="13.2" x14ac:dyDescent="0.25">
      <c r="B893" s="56"/>
      <c r="G893" s="56"/>
      <c r="L893" s="56"/>
      <c r="Q893" s="56"/>
      <c r="V893" s="56"/>
      <c r="AA893" s="52"/>
    </row>
    <row r="894" spans="2:27" ht="13.2" x14ac:dyDescent="0.25">
      <c r="B894" s="56"/>
      <c r="G894" s="56"/>
      <c r="L894" s="56"/>
      <c r="Q894" s="56"/>
      <c r="V894" s="56"/>
      <c r="AA894" s="52"/>
    </row>
    <row r="895" spans="2:27" ht="13.2" x14ac:dyDescent="0.25">
      <c r="B895" s="56"/>
      <c r="G895" s="56"/>
      <c r="L895" s="56"/>
      <c r="Q895" s="56"/>
      <c r="V895" s="56"/>
      <c r="AA895" s="52"/>
    </row>
    <row r="896" spans="2:27" ht="13.2" x14ac:dyDescent="0.25">
      <c r="B896" s="56"/>
      <c r="G896" s="56"/>
      <c r="L896" s="56"/>
      <c r="Q896" s="56"/>
      <c r="V896" s="56"/>
      <c r="AA896" s="52"/>
    </row>
    <row r="897" spans="2:27" ht="13.2" x14ac:dyDescent="0.25">
      <c r="B897" s="56"/>
      <c r="G897" s="56"/>
      <c r="L897" s="56"/>
      <c r="Q897" s="56"/>
      <c r="V897" s="56"/>
      <c r="AA897" s="52"/>
    </row>
    <row r="898" spans="2:27" ht="13.2" x14ac:dyDescent="0.25">
      <c r="B898" s="56"/>
      <c r="G898" s="56"/>
      <c r="L898" s="56"/>
      <c r="Q898" s="56"/>
      <c r="V898" s="56"/>
      <c r="AA898" s="52"/>
    </row>
    <row r="899" spans="2:27" ht="13.2" x14ac:dyDescent="0.25">
      <c r="B899" s="56"/>
      <c r="G899" s="56"/>
      <c r="L899" s="56"/>
      <c r="Q899" s="56"/>
      <c r="V899" s="56"/>
      <c r="AA899" s="52"/>
    </row>
    <row r="900" spans="2:27" ht="13.2" x14ac:dyDescent="0.25">
      <c r="B900" s="56"/>
      <c r="G900" s="56"/>
      <c r="L900" s="56"/>
      <c r="Q900" s="56"/>
      <c r="V900" s="56"/>
      <c r="AA900" s="52"/>
    </row>
    <row r="901" spans="2:27" ht="13.2" x14ac:dyDescent="0.25">
      <c r="B901" s="56"/>
      <c r="G901" s="56"/>
      <c r="L901" s="56"/>
      <c r="Q901" s="56"/>
      <c r="V901" s="56"/>
      <c r="AA901" s="52"/>
    </row>
    <row r="902" spans="2:27" ht="13.2" x14ac:dyDescent="0.25">
      <c r="B902" s="56"/>
      <c r="G902" s="56"/>
      <c r="L902" s="56"/>
      <c r="Q902" s="56"/>
      <c r="V902" s="56"/>
      <c r="AA902" s="52"/>
    </row>
    <row r="903" spans="2:27" ht="13.2" x14ac:dyDescent="0.25">
      <c r="B903" s="56"/>
      <c r="G903" s="56"/>
      <c r="L903" s="56"/>
      <c r="Q903" s="56"/>
      <c r="V903" s="56"/>
      <c r="AA903" s="52"/>
    </row>
    <row r="904" spans="2:27" ht="13.2" x14ac:dyDescent="0.25">
      <c r="B904" s="56"/>
      <c r="G904" s="56"/>
      <c r="L904" s="56"/>
      <c r="Q904" s="56"/>
      <c r="V904" s="56"/>
      <c r="AA904" s="52"/>
    </row>
    <row r="905" spans="2:27" ht="13.2" x14ac:dyDescent="0.25">
      <c r="B905" s="56"/>
      <c r="G905" s="56"/>
      <c r="L905" s="56"/>
      <c r="Q905" s="56"/>
      <c r="V905" s="56"/>
      <c r="AA905" s="52"/>
    </row>
    <row r="906" spans="2:27" ht="13.2" x14ac:dyDescent="0.25">
      <c r="B906" s="56"/>
      <c r="G906" s="56"/>
      <c r="L906" s="56"/>
      <c r="Q906" s="56"/>
      <c r="V906" s="56"/>
      <c r="AA906" s="52"/>
    </row>
    <row r="907" spans="2:27" ht="13.2" x14ac:dyDescent="0.25">
      <c r="B907" s="56"/>
      <c r="G907" s="56"/>
      <c r="L907" s="56"/>
      <c r="Q907" s="56"/>
      <c r="V907" s="56"/>
      <c r="AA907" s="52"/>
    </row>
    <row r="908" spans="2:27" ht="13.2" x14ac:dyDescent="0.25">
      <c r="B908" s="56"/>
      <c r="G908" s="56"/>
      <c r="L908" s="56"/>
      <c r="Q908" s="56"/>
      <c r="V908" s="56"/>
      <c r="AA908" s="52"/>
    </row>
    <row r="909" spans="2:27" ht="13.2" x14ac:dyDescent="0.25">
      <c r="B909" s="56"/>
      <c r="G909" s="56"/>
      <c r="L909" s="56"/>
      <c r="Q909" s="56"/>
      <c r="V909" s="56"/>
      <c r="AA909" s="52"/>
    </row>
    <row r="910" spans="2:27" ht="13.2" x14ac:dyDescent="0.25">
      <c r="B910" s="56"/>
      <c r="G910" s="56"/>
      <c r="L910" s="56"/>
      <c r="Q910" s="56"/>
      <c r="V910" s="56"/>
      <c r="AA910" s="52"/>
    </row>
    <row r="911" spans="2:27" ht="13.2" x14ac:dyDescent="0.25">
      <c r="B911" s="56"/>
      <c r="G911" s="56"/>
      <c r="L911" s="56"/>
      <c r="Q911" s="56"/>
      <c r="V911" s="56"/>
      <c r="AA911" s="52"/>
    </row>
    <row r="912" spans="2:27" ht="13.2" x14ac:dyDescent="0.25">
      <c r="B912" s="56"/>
      <c r="G912" s="56"/>
      <c r="L912" s="56"/>
      <c r="Q912" s="56"/>
      <c r="V912" s="56"/>
      <c r="AA912" s="52"/>
    </row>
    <row r="913" spans="2:27" ht="13.2" x14ac:dyDescent="0.25">
      <c r="B913" s="56"/>
      <c r="G913" s="56"/>
      <c r="L913" s="56"/>
      <c r="Q913" s="56"/>
      <c r="V913" s="56"/>
      <c r="AA913" s="52"/>
    </row>
    <row r="914" spans="2:27" ht="13.2" x14ac:dyDescent="0.25">
      <c r="B914" s="56"/>
      <c r="G914" s="56"/>
      <c r="L914" s="56"/>
      <c r="Q914" s="56"/>
      <c r="V914" s="56"/>
      <c r="AA914" s="52"/>
    </row>
    <row r="915" spans="2:27" ht="13.2" x14ac:dyDescent="0.25">
      <c r="B915" s="56"/>
      <c r="G915" s="56"/>
      <c r="L915" s="56"/>
      <c r="Q915" s="56"/>
      <c r="V915" s="56"/>
      <c r="AA915" s="52"/>
    </row>
    <row r="916" spans="2:27" ht="13.2" x14ac:dyDescent="0.25">
      <c r="B916" s="56"/>
      <c r="G916" s="56"/>
      <c r="L916" s="56"/>
      <c r="Q916" s="56"/>
      <c r="V916" s="56"/>
      <c r="AA916" s="52"/>
    </row>
    <row r="917" spans="2:27" ht="13.2" x14ac:dyDescent="0.25">
      <c r="B917" s="56"/>
      <c r="G917" s="56"/>
      <c r="L917" s="56"/>
      <c r="Q917" s="56"/>
      <c r="V917" s="56"/>
      <c r="AA917" s="52"/>
    </row>
    <row r="918" spans="2:27" ht="13.2" x14ac:dyDescent="0.25">
      <c r="B918" s="56"/>
      <c r="G918" s="56"/>
      <c r="L918" s="56"/>
      <c r="Q918" s="56"/>
      <c r="V918" s="56"/>
      <c r="AA918" s="52"/>
    </row>
    <row r="919" spans="2:27" ht="13.2" x14ac:dyDescent="0.25">
      <c r="B919" s="56"/>
      <c r="G919" s="56"/>
      <c r="L919" s="56"/>
      <c r="Q919" s="56"/>
      <c r="V919" s="56"/>
      <c r="AA919" s="52"/>
    </row>
    <row r="920" spans="2:27" ht="13.2" x14ac:dyDescent="0.25">
      <c r="B920" s="56"/>
      <c r="G920" s="56"/>
      <c r="L920" s="56"/>
      <c r="Q920" s="56"/>
      <c r="V920" s="56"/>
      <c r="AA920" s="52"/>
    </row>
    <row r="921" spans="2:27" ht="13.2" x14ac:dyDescent="0.25">
      <c r="B921" s="56"/>
      <c r="G921" s="56"/>
      <c r="L921" s="56"/>
      <c r="Q921" s="56"/>
      <c r="V921" s="56"/>
      <c r="AA921" s="52"/>
    </row>
    <row r="922" spans="2:27" ht="13.2" x14ac:dyDescent="0.25">
      <c r="B922" s="56"/>
      <c r="G922" s="56"/>
      <c r="L922" s="56"/>
      <c r="Q922" s="56"/>
      <c r="V922" s="56"/>
      <c r="AA922" s="52"/>
    </row>
    <row r="923" spans="2:27" ht="13.2" x14ac:dyDescent="0.25">
      <c r="B923" s="56"/>
      <c r="G923" s="56"/>
      <c r="L923" s="56"/>
      <c r="Q923" s="56"/>
      <c r="V923" s="56"/>
      <c r="AA923" s="52"/>
    </row>
    <row r="924" spans="2:27" ht="13.2" x14ac:dyDescent="0.25">
      <c r="B924" s="56"/>
      <c r="G924" s="56"/>
      <c r="L924" s="56"/>
      <c r="Q924" s="56"/>
      <c r="V924" s="56"/>
      <c r="AA924" s="52"/>
    </row>
    <row r="925" spans="2:27" ht="13.2" x14ac:dyDescent="0.25">
      <c r="B925" s="56"/>
      <c r="G925" s="56"/>
      <c r="L925" s="56"/>
      <c r="Q925" s="56"/>
      <c r="V925" s="56"/>
      <c r="AA925" s="52"/>
    </row>
    <row r="926" spans="2:27" ht="13.2" x14ac:dyDescent="0.25">
      <c r="B926" s="56"/>
      <c r="G926" s="56"/>
      <c r="L926" s="56"/>
      <c r="Q926" s="56"/>
      <c r="V926" s="56"/>
      <c r="AA926" s="52"/>
    </row>
    <row r="927" spans="2:27" ht="13.2" x14ac:dyDescent="0.25">
      <c r="B927" s="56"/>
      <c r="G927" s="56"/>
      <c r="L927" s="56"/>
      <c r="Q927" s="56"/>
      <c r="V927" s="56"/>
      <c r="AA927" s="52"/>
    </row>
    <row r="928" spans="2:27" ht="13.2" x14ac:dyDescent="0.25">
      <c r="B928" s="56"/>
      <c r="G928" s="56"/>
      <c r="L928" s="56"/>
      <c r="Q928" s="56"/>
      <c r="V928" s="56"/>
      <c r="AA928" s="52"/>
    </row>
    <row r="929" spans="2:27" ht="13.2" x14ac:dyDescent="0.25">
      <c r="B929" s="56"/>
      <c r="G929" s="56"/>
      <c r="L929" s="56"/>
      <c r="Q929" s="56"/>
      <c r="V929" s="56"/>
      <c r="AA929" s="52"/>
    </row>
    <row r="930" spans="2:27" ht="13.2" x14ac:dyDescent="0.25">
      <c r="B930" s="56"/>
      <c r="G930" s="56"/>
      <c r="L930" s="56"/>
      <c r="Q930" s="56"/>
      <c r="V930" s="56"/>
      <c r="AA930" s="52"/>
    </row>
    <row r="931" spans="2:27" ht="13.2" x14ac:dyDescent="0.25">
      <c r="B931" s="56"/>
      <c r="G931" s="56"/>
      <c r="L931" s="56"/>
      <c r="Q931" s="56"/>
      <c r="V931" s="56"/>
      <c r="AA931" s="52"/>
    </row>
    <row r="932" spans="2:27" ht="13.2" x14ac:dyDescent="0.25">
      <c r="B932" s="56"/>
      <c r="G932" s="56"/>
      <c r="L932" s="56"/>
      <c r="Q932" s="56"/>
      <c r="V932" s="56"/>
      <c r="AA932" s="52"/>
    </row>
    <row r="933" spans="2:27" ht="13.2" x14ac:dyDescent="0.25">
      <c r="B933" s="56"/>
      <c r="G933" s="56"/>
      <c r="L933" s="56"/>
      <c r="Q933" s="56"/>
      <c r="V933" s="56"/>
      <c r="AA933" s="52"/>
    </row>
    <row r="934" spans="2:27" ht="13.2" x14ac:dyDescent="0.25">
      <c r="B934" s="56"/>
      <c r="G934" s="56"/>
      <c r="L934" s="56"/>
      <c r="Q934" s="56"/>
      <c r="V934" s="56"/>
      <c r="AA934" s="52"/>
    </row>
    <row r="935" spans="2:27" ht="13.2" x14ac:dyDescent="0.25">
      <c r="B935" s="56"/>
      <c r="G935" s="56"/>
      <c r="L935" s="56"/>
      <c r="Q935" s="56"/>
      <c r="V935" s="56"/>
      <c r="AA935" s="52"/>
    </row>
    <row r="936" spans="2:27" ht="13.2" x14ac:dyDescent="0.25">
      <c r="B936" s="56"/>
      <c r="G936" s="56"/>
      <c r="L936" s="56"/>
      <c r="Q936" s="56"/>
      <c r="V936" s="56"/>
      <c r="AA936" s="52"/>
    </row>
    <row r="937" spans="2:27" ht="13.2" x14ac:dyDescent="0.25">
      <c r="B937" s="56"/>
      <c r="G937" s="56"/>
      <c r="L937" s="56"/>
      <c r="Q937" s="56"/>
      <c r="V937" s="56"/>
      <c r="AA937" s="52"/>
    </row>
    <row r="938" spans="2:27" ht="13.2" x14ac:dyDescent="0.25">
      <c r="B938" s="56"/>
      <c r="G938" s="56"/>
      <c r="L938" s="56"/>
      <c r="Q938" s="56"/>
      <c r="V938" s="56"/>
      <c r="AA938" s="52"/>
    </row>
    <row r="939" spans="2:27" ht="13.2" x14ac:dyDescent="0.25">
      <c r="B939" s="56"/>
      <c r="G939" s="56"/>
      <c r="L939" s="56"/>
      <c r="Q939" s="56"/>
      <c r="V939" s="56"/>
      <c r="AA939" s="52"/>
    </row>
    <row r="940" spans="2:27" ht="13.2" x14ac:dyDescent="0.25">
      <c r="B940" s="56"/>
      <c r="G940" s="56"/>
      <c r="L940" s="56"/>
      <c r="Q940" s="56"/>
      <c r="V940" s="56"/>
      <c r="AA940" s="52"/>
    </row>
    <row r="941" spans="2:27" ht="13.2" x14ac:dyDescent="0.25">
      <c r="B941" s="56"/>
      <c r="G941" s="56"/>
      <c r="L941" s="56"/>
      <c r="Q941" s="56"/>
      <c r="V941" s="56"/>
      <c r="AA941" s="52"/>
    </row>
    <row r="942" spans="2:27" ht="13.2" x14ac:dyDescent="0.25">
      <c r="B942" s="56"/>
      <c r="G942" s="56"/>
      <c r="L942" s="56"/>
      <c r="Q942" s="56"/>
      <c r="V942" s="56"/>
      <c r="AA942" s="52"/>
    </row>
    <row r="943" spans="2:27" ht="13.2" x14ac:dyDescent="0.25">
      <c r="B943" s="56"/>
      <c r="G943" s="56"/>
      <c r="L943" s="56"/>
      <c r="Q943" s="56"/>
      <c r="V943" s="56"/>
      <c r="AA943" s="52"/>
    </row>
    <row r="944" spans="2:27" ht="13.2" x14ac:dyDescent="0.25">
      <c r="B944" s="56"/>
      <c r="G944" s="56"/>
      <c r="L944" s="56"/>
      <c r="Q944" s="56"/>
      <c r="V944" s="56"/>
      <c r="AA944" s="52"/>
    </row>
    <row r="945" spans="2:27" ht="13.2" x14ac:dyDescent="0.25">
      <c r="B945" s="56"/>
      <c r="G945" s="56"/>
      <c r="L945" s="56"/>
      <c r="Q945" s="56"/>
      <c r="V945" s="56"/>
      <c r="AA945" s="52"/>
    </row>
    <row r="946" spans="2:27" ht="13.2" x14ac:dyDescent="0.25">
      <c r="B946" s="56"/>
      <c r="G946" s="56"/>
      <c r="L946" s="56"/>
      <c r="Q946" s="56"/>
      <c r="V946" s="56"/>
      <c r="AA946" s="52"/>
    </row>
    <row r="947" spans="2:27" ht="13.2" x14ac:dyDescent="0.25">
      <c r="B947" s="56"/>
      <c r="G947" s="56"/>
      <c r="L947" s="56"/>
      <c r="Q947" s="56"/>
      <c r="V947" s="56"/>
      <c r="AA947" s="52"/>
    </row>
    <row r="948" spans="2:27" ht="13.2" x14ac:dyDescent="0.25">
      <c r="B948" s="56"/>
      <c r="G948" s="56"/>
      <c r="L948" s="56"/>
      <c r="Q948" s="56"/>
      <c r="V948" s="56"/>
      <c r="AA948" s="52"/>
    </row>
    <row r="949" spans="2:27" ht="13.2" x14ac:dyDescent="0.25">
      <c r="B949" s="56"/>
      <c r="G949" s="56"/>
      <c r="L949" s="56"/>
      <c r="Q949" s="56"/>
      <c r="V949" s="56"/>
      <c r="AA949" s="52"/>
    </row>
    <row r="950" spans="2:27" ht="13.2" x14ac:dyDescent="0.25">
      <c r="B950" s="56"/>
      <c r="G950" s="56"/>
      <c r="L950" s="56"/>
      <c r="Q950" s="56"/>
      <c r="V950" s="56"/>
      <c r="AA950" s="52"/>
    </row>
    <row r="951" spans="2:27" ht="13.2" x14ac:dyDescent="0.25">
      <c r="B951" s="56"/>
      <c r="G951" s="56"/>
      <c r="L951" s="56"/>
      <c r="Q951" s="56"/>
      <c r="V951" s="56"/>
      <c r="AA951" s="52"/>
    </row>
    <row r="952" spans="2:27" ht="13.2" x14ac:dyDescent="0.25">
      <c r="B952" s="56"/>
      <c r="G952" s="56"/>
      <c r="L952" s="56"/>
      <c r="Q952" s="56"/>
      <c r="V952" s="56"/>
      <c r="AA952" s="52"/>
    </row>
    <row r="953" spans="2:27" ht="13.2" x14ac:dyDescent="0.25">
      <c r="B953" s="56"/>
      <c r="G953" s="56"/>
      <c r="L953" s="56"/>
      <c r="Q953" s="56"/>
      <c r="V953" s="56"/>
      <c r="AA953" s="52"/>
    </row>
    <row r="954" spans="2:27" ht="13.2" x14ac:dyDescent="0.25">
      <c r="B954" s="56"/>
      <c r="G954" s="56"/>
      <c r="L954" s="56"/>
      <c r="Q954" s="56"/>
      <c r="V954" s="56"/>
      <c r="AA954" s="52"/>
    </row>
    <row r="955" spans="2:27" ht="13.2" x14ac:dyDescent="0.25">
      <c r="B955" s="56"/>
      <c r="G955" s="56"/>
      <c r="L955" s="56"/>
      <c r="Q955" s="56"/>
      <c r="V955" s="56"/>
      <c r="AA955" s="52"/>
    </row>
    <row r="956" spans="2:27" ht="13.2" x14ac:dyDescent="0.25">
      <c r="B956" s="56"/>
      <c r="G956" s="56"/>
      <c r="L956" s="56"/>
      <c r="Q956" s="56"/>
      <c r="V956" s="56"/>
      <c r="AA956" s="52"/>
    </row>
    <row r="957" spans="2:27" ht="13.2" x14ac:dyDescent="0.25">
      <c r="B957" s="56"/>
      <c r="G957" s="56"/>
      <c r="L957" s="56"/>
      <c r="Q957" s="56"/>
      <c r="V957" s="56"/>
      <c r="AA957" s="52"/>
    </row>
    <row r="958" spans="2:27" ht="13.2" x14ac:dyDescent="0.25">
      <c r="B958" s="56"/>
      <c r="G958" s="56"/>
      <c r="L958" s="56"/>
      <c r="Q958" s="56"/>
      <c r="V958" s="56"/>
      <c r="AA958" s="52"/>
    </row>
    <row r="959" spans="2:27" ht="13.2" x14ac:dyDescent="0.25">
      <c r="B959" s="56"/>
      <c r="G959" s="56"/>
      <c r="L959" s="56"/>
      <c r="Q959" s="56"/>
      <c r="V959" s="56"/>
      <c r="AA959" s="52"/>
    </row>
    <row r="960" spans="2:27" ht="13.2" x14ac:dyDescent="0.25">
      <c r="B960" s="56"/>
      <c r="G960" s="56"/>
      <c r="L960" s="56"/>
      <c r="Q960" s="56"/>
      <c r="V960" s="56"/>
      <c r="AA960" s="52"/>
    </row>
    <row r="961" spans="2:27" ht="13.2" x14ac:dyDescent="0.25">
      <c r="B961" s="56"/>
      <c r="G961" s="56"/>
      <c r="L961" s="56"/>
      <c r="Q961" s="56"/>
      <c r="V961" s="56"/>
      <c r="AA961" s="52"/>
    </row>
    <row r="962" spans="2:27" ht="13.2" x14ac:dyDescent="0.25">
      <c r="B962" s="56"/>
      <c r="G962" s="56"/>
      <c r="L962" s="56"/>
      <c r="Q962" s="56"/>
      <c r="V962" s="56"/>
      <c r="AA962" s="52"/>
    </row>
    <row r="963" spans="2:27" ht="13.2" x14ac:dyDescent="0.25">
      <c r="B963" s="56"/>
      <c r="G963" s="56"/>
      <c r="L963" s="56"/>
      <c r="Q963" s="56"/>
      <c r="V963" s="56"/>
      <c r="AA963" s="52"/>
    </row>
    <row r="964" spans="2:27" ht="13.2" x14ac:dyDescent="0.25">
      <c r="B964" s="56"/>
      <c r="G964" s="56"/>
      <c r="L964" s="56"/>
      <c r="Q964" s="56"/>
      <c r="V964" s="56"/>
      <c r="AA964" s="52"/>
    </row>
    <row r="965" spans="2:27" ht="13.2" x14ac:dyDescent="0.25">
      <c r="B965" s="56"/>
      <c r="G965" s="56"/>
      <c r="L965" s="56"/>
      <c r="Q965" s="56"/>
      <c r="V965" s="56"/>
      <c r="AA965" s="52"/>
    </row>
    <row r="966" spans="2:27" ht="13.2" x14ac:dyDescent="0.25">
      <c r="B966" s="56"/>
      <c r="G966" s="56"/>
      <c r="L966" s="56"/>
      <c r="Q966" s="56"/>
      <c r="V966" s="56"/>
      <c r="AA966" s="52"/>
    </row>
    <row r="967" spans="2:27" ht="13.2" x14ac:dyDescent="0.25">
      <c r="B967" s="56"/>
      <c r="G967" s="56"/>
      <c r="L967" s="56"/>
      <c r="Q967" s="56"/>
      <c r="V967" s="56"/>
      <c r="AA967" s="52"/>
    </row>
    <row r="968" spans="2:27" ht="13.2" x14ac:dyDescent="0.25">
      <c r="B968" s="56"/>
      <c r="G968" s="56"/>
      <c r="L968" s="56"/>
      <c r="Q968" s="56"/>
      <c r="V968" s="56"/>
      <c r="AA968" s="52"/>
    </row>
    <row r="969" spans="2:27" ht="13.2" x14ac:dyDescent="0.25">
      <c r="B969" s="56"/>
      <c r="G969" s="56"/>
      <c r="L969" s="56"/>
      <c r="Q969" s="56"/>
      <c r="V969" s="56"/>
      <c r="AA969" s="52"/>
    </row>
    <row r="970" spans="2:27" ht="13.2" x14ac:dyDescent="0.25">
      <c r="B970" s="56"/>
      <c r="G970" s="56"/>
      <c r="L970" s="56"/>
      <c r="Q970" s="56"/>
      <c r="V970" s="56"/>
      <c r="AA970" s="52"/>
    </row>
    <row r="971" spans="2:27" ht="13.2" x14ac:dyDescent="0.25">
      <c r="B971" s="56"/>
      <c r="G971" s="56"/>
      <c r="L971" s="56"/>
      <c r="Q971" s="56"/>
      <c r="V971" s="56"/>
      <c r="AA971" s="52"/>
    </row>
    <row r="972" spans="2:27" ht="13.2" x14ac:dyDescent="0.25">
      <c r="B972" s="56"/>
      <c r="G972" s="56"/>
      <c r="L972" s="56"/>
      <c r="Q972" s="56"/>
      <c r="V972" s="56"/>
      <c r="AA972" s="52"/>
    </row>
    <row r="973" spans="2:27" ht="13.2" x14ac:dyDescent="0.25">
      <c r="B973" s="56"/>
      <c r="G973" s="56"/>
      <c r="L973" s="56"/>
      <c r="Q973" s="56"/>
      <c r="V973" s="56"/>
      <c r="AA973" s="52"/>
    </row>
    <row r="974" spans="2:27" ht="13.2" x14ac:dyDescent="0.25">
      <c r="B974" s="56"/>
      <c r="G974" s="56"/>
      <c r="L974" s="56"/>
      <c r="Q974" s="56"/>
      <c r="V974" s="56"/>
      <c r="AA974" s="52"/>
    </row>
    <row r="975" spans="2:27" ht="13.2" x14ac:dyDescent="0.25">
      <c r="B975" s="56"/>
      <c r="G975" s="56"/>
      <c r="L975" s="56"/>
      <c r="Q975" s="56"/>
      <c r="V975" s="56"/>
      <c r="AA975" s="52"/>
    </row>
    <row r="976" spans="2:27" ht="13.2" x14ac:dyDescent="0.25">
      <c r="B976" s="56"/>
      <c r="G976" s="56"/>
      <c r="L976" s="56"/>
      <c r="Q976" s="56"/>
      <c r="V976" s="56"/>
      <c r="AA976" s="52"/>
    </row>
    <row r="977" spans="2:27" ht="13.2" x14ac:dyDescent="0.25">
      <c r="B977" s="56"/>
      <c r="G977" s="56"/>
      <c r="L977" s="56"/>
      <c r="Q977" s="56"/>
      <c r="V977" s="56"/>
      <c r="AA977" s="52"/>
    </row>
    <row r="978" spans="2:27" ht="13.2" x14ac:dyDescent="0.25">
      <c r="B978" s="56"/>
      <c r="G978" s="56"/>
      <c r="L978" s="56"/>
      <c r="Q978" s="56"/>
      <c r="V978" s="56"/>
      <c r="AA978" s="52"/>
    </row>
    <row r="979" spans="2:27" ht="13.2" x14ac:dyDescent="0.25">
      <c r="B979" s="56"/>
      <c r="G979" s="56"/>
      <c r="L979" s="56"/>
      <c r="Q979" s="56"/>
      <c r="V979" s="56"/>
      <c r="AA979" s="52"/>
    </row>
    <row r="980" spans="2:27" ht="13.2" x14ac:dyDescent="0.25">
      <c r="B980" s="56"/>
      <c r="G980" s="56"/>
      <c r="L980" s="56"/>
      <c r="Q980" s="56"/>
      <c r="V980" s="56"/>
      <c r="AA980" s="52"/>
    </row>
    <row r="981" spans="2:27" ht="13.2" x14ac:dyDescent="0.25">
      <c r="B981" s="56"/>
      <c r="G981" s="56"/>
      <c r="L981" s="56"/>
      <c r="Q981" s="56"/>
      <c r="V981" s="56"/>
      <c r="AA981" s="52"/>
    </row>
    <row r="982" spans="2:27" ht="13.2" x14ac:dyDescent="0.25">
      <c r="B982" s="56"/>
      <c r="G982" s="56"/>
      <c r="L982" s="56"/>
      <c r="Q982" s="56"/>
      <c r="V982" s="56"/>
      <c r="AA982" s="52"/>
    </row>
    <row r="983" spans="2:27" ht="13.2" x14ac:dyDescent="0.25">
      <c r="B983" s="56"/>
      <c r="G983" s="56"/>
      <c r="L983" s="56"/>
      <c r="Q983" s="56"/>
      <c r="V983" s="56"/>
      <c r="AA983" s="52"/>
    </row>
    <row r="984" spans="2:27" ht="13.2" x14ac:dyDescent="0.25">
      <c r="B984" s="56"/>
      <c r="G984" s="56"/>
      <c r="L984" s="56"/>
      <c r="Q984" s="56"/>
      <c r="V984" s="56"/>
      <c r="AA984" s="52"/>
    </row>
    <row r="985" spans="2:27" ht="13.2" x14ac:dyDescent="0.25">
      <c r="B985" s="56"/>
      <c r="G985" s="56"/>
      <c r="L985" s="56"/>
      <c r="Q985" s="56"/>
      <c r="V985" s="56"/>
      <c r="AA985" s="52"/>
    </row>
    <row r="986" spans="2:27" ht="13.2" x14ac:dyDescent="0.25">
      <c r="B986" s="56"/>
      <c r="G986" s="56"/>
      <c r="L986" s="56"/>
      <c r="Q986" s="56"/>
      <c r="V986" s="56"/>
      <c r="AA986" s="52"/>
    </row>
    <row r="987" spans="2:27" ht="13.2" x14ac:dyDescent="0.25">
      <c r="B987" s="56"/>
      <c r="G987" s="56"/>
      <c r="L987" s="56"/>
      <c r="Q987" s="56"/>
      <c r="V987" s="56"/>
      <c r="AA987" s="52"/>
    </row>
    <row r="988" spans="2:27" ht="13.2" x14ac:dyDescent="0.25">
      <c r="B988" s="56"/>
      <c r="G988" s="56"/>
      <c r="L988" s="56"/>
      <c r="Q988" s="56"/>
      <c r="V988" s="56"/>
      <c r="AA988" s="52"/>
    </row>
    <row r="989" spans="2:27" ht="13.2" x14ac:dyDescent="0.25">
      <c r="B989" s="56"/>
      <c r="G989" s="56"/>
      <c r="L989" s="56"/>
      <c r="Q989" s="56"/>
      <c r="V989" s="56"/>
      <c r="AA989" s="52"/>
    </row>
    <row r="990" spans="2:27" ht="13.2" x14ac:dyDescent="0.25">
      <c r="B990" s="56"/>
      <c r="G990" s="56"/>
      <c r="L990" s="56"/>
      <c r="Q990" s="56"/>
      <c r="V990" s="56"/>
      <c r="AA990" s="52"/>
    </row>
    <row r="991" spans="2:27" ht="13.2" x14ac:dyDescent="0.25">
      <c r="B991" s="56"/>
      <c r="G991" s="56"/>
      <c r="L991" s="56"/>
      <c r="Q991" s="56"/>
      <c r="V991" s="56"/>
      <c r="AA991" s="52"/>
    </row>
    <row r="992" spans="2:27" ht="13.2" x14ac:dyDescent="0.25">
      <c r="B992" s="56"/>
      <c r="G992" s="56"/>
      <c r="L992" s="56"/>
      <c r="Q992" s="56"/>
      <c r="V992" s="56"/>
      <c r="AA992" s="52"/>
    </row>
    <row r="993" spans="2:27" ht="13.2" x14ac:dyDescent="0.25">
      <c r="B993" s="56"/>
      <c r="G993" s="56"/>
      <c r="L993" s="56"/>
      <c r="Q993" s="56"/>
      <c r="V993" s="56"/>
      <c r="AA993" s="52"/>
    </row>
    <row r="994" spans="2:27" ht="13.2" x14ac:dyDescent="0.25">
      <c r="B994" s="56"/>
      <c r="G994" s="56"/>
      <c r="L994" s="56"/>
      <c r="Q994" s="56"/>
      <c r="V994" s="56"/>
      <c r="AA994" s="52"/>
    </row>
    <row r="995" spans="2:27" ht="13.2" x14ac:dyDescent="0.25">
      <c r="B995" s="56"/>
      <c r="G995" s="56"/>
      <c r="L995" s="56"/>
      <c r="Q995" s="56"/>
      <c r="V995" s="56"/>
      <c r="AA995" s="52"/>
    </row>
    <row r="996" spans="2:27" ht="13.2" x14ac:dyDescent="0.25">
      <c r="B996" s="56"/>
      <c r="G996" s="56"/>
      <c r="L996" s="56"/>
      <c r="Q996" s="56"/>
      <c r="V996" s="56"/>
      <c r="AA996" s="52"/>
    </row>
    <row r="997" spans="2:27" ht="13.2" x14ac:dyDescent="0.25">
      <c r="B997" s="56"/>
      <c r="G997" s="56"/>
      <c r="L997" s="56"/>
      <c r="Q997" s="56"/>
      <c r="V997" s="56"/>
      <c r="AA997" s="52"/>
    </row>
    <row r="998" spans="2:27" ht="13.2" x14ac:dyDescent="0.25">
      <c r="B998" s="56"/>
      <c r="G998" s="56"/>
      <c r="L998" s="56"/>
      <c r="Q998" s="56"/>
      <c r="V998" s="56"/>
      <c r="AA998" s="52"/>
    </row>
    <row r="999" spans="2:27" ht="13.2" x14ac:dyDescent="0.25">
      <c r="B999" s="56"/>
      <c r="G999" s="56"/>
      <c r="L999" s="56"/>
      <c r="Q999" s="56"/>
      <c r="V999" s="56"/>
      <c r="AA999" s="52"/>
    </row>
    <row r="1000" spans="2:27" ht="13.2" x14ac:dyDescent="0.25">
      <c r="B1000" s="56"/>
      <c r="G1000" s="56"/>
      <c r="L1000" s="56"/>
      <c r="Q1000" s="56"/>
      <c r="V1000" s="56"/>
      <c r="AA1000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7.6640625" customWidth="1"/>
  </cols>
  <sheetData>
    <row r="1" spans="1:8" ht="13.2" x14ac:dyDescent="0.25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 spans="1:8" ht="13.2" x14ac:dyDescent="0.25">
      <c r="A2" s="60">
        <v>1</v>
      </c>
      <c r="B2" s="61">
        <v>43917</v>
      </c>
      <c r="C2" s="60">
        <v>124</v>
      </c>
      <c r="D2" s="60">
        <v>10839</v>
      </c>
      <c r="E2" s="60">
        <f t="shared" ref="E2:E460" si="0">C2+D2</f>
        <v>10963</v>
      </c>
      <c r="F2" s="62">
        <f t="shared" ref="F2:F460" si="1">C2/E2</f>
        <v>1.131077259874122E-2</v>
      </c>
      <c r="H2" s="59" t="s">
        <v>69</v>
      </c>
    </row>
    <row r="3" spans="1:8" ht="13.2" x14ac:dyDescent="0.25">
      <c r="A3" s="60">
        <v>2</v>
      </c>
      <c r="B3" s="61">
        <v>43918</v>
      </c>
      <c r="C3" s="60">
        <v>149</v>
      </c>
      <c r="D3" s="60">
        <v>11858</v>
      </c>
      <c r="E3" s="60">
        <f t="shared" si="0"/>
        <v>12007</v>
      </c>
      <c r="F3" s="62">
        <f t="shared" si="1"/>
        <v>1.2409427833763639E-2</v>
      </c>
    </row>
    <row r="4" spans="1:8" ht="13.2" x14ac:dyDescent="0.25">
      <c r="A4" s="60">
        <v>3</v>
      </c>
      <c r="B4" s="61">
        <v>43919</v>
      </c>
      <c r="C4" s="60">
        <v>206</v>
      </c>
      <c r="D4" s="60">
        <v>14808</v>
      </c>
      <c r="E4" s="60">
        <f t="shared" si="0"/>
        <v>15014</v>
      </c>
      <c r="F4" s="62">
        <f t="shared" si="1"/>
        <v>1.3720527507659518E-2</v>
      </c>
    </row>
    <row r="5" spans="1:8" ht="13.2" x14ac:dyDescent="0.25">
      <c r="A5" s="60">
        <v>4</v>
      </c>
      <c r="B5" s="61">
        <v>43920</v>
      </c>
      <c r="C5" s="60">
        <v>290</v>
      </c>
      <c r="D5" s="60">
        <v>17619</v>
      </c>
      <c r="E5" s="60">
        <f t="shared" si="0"/>
        <v>17909</v>
      </c>
      <c r="F5" s="62">
        <f t="shared" si="1"/>
        <v>1.6192975598860907E-2</v>
      </c>
    </row>
    <row r="6" spans="1:8" ht="13.2" x14ac:dyDescent="0.25">
      <c r="A6" s="60">
        <v>5</v>
      </c>
      <c r="B6" s="61">
        <v>43921</v>
      </c>
      <c r="C6" s="60">
        <v>307</v>
      </c>
      <c r="D6" s="60">
        <v>18242</v>
      </c>
      <c r="E6" s="60">
        <f t="shared" si="0"/>
        <v>18549</v>
      </c>
      <c r="F6" s="62">
        <f t="shared" si="1"/>
        <v>1.6550757453231979E-2</v>
      </c>
    </row>
    <row r="7" spans="1:8" ht="13.2" x14ac:dyDescent="0.25">
      <c r="A7" s="60">
        <v>6</v>
      </c>
      <c r="B7" s="61">
        <v>43922</v>
      </c>
      <c r="C7" s="60">
        <v>360</v>
      </c>
      <c r="D7" s="60">
        <v>19190</v>
      </c>
      <c r="E7" s="60">
        <f t="shared" si="0"/>
        <v>19550</v>
      </c>
      <c r="F7" s="62">
        <f t="shared" si="1"/>
        <v>1.8414322250639385E-2</v>
      </c>
    </row>
    <row r="8" spans="1:8" ht="13.2" x14ac:dyDescent="0.25">
      <c r="A8" s="60">
        <v>7</v>
      </c>
      <c r="B8" s="61">
        <v>43923</v>
      </c>
      <c r="C8" s="60">
        <v>442</v>
      </c>
      <c r="D8" s="60">
        <v>20460</v>
      </c>
      <c r="E8" s="60">
        <f t="shared" si="0"/>
        <v>20902</v>
      </c>
      <c r="F8" s="62">
        <f t="shared" si="1"/>
        <v>2.1146301789302459E-2</v>
      </c>
    </row>
    <row r="9" spans="1:8" ht="13.2" x14ac:dyDescent="0.25">
      <c r="A9" s="60">
        <v>8</v>
      </c>
      <c r="B9" s="61">
        <v>43924</v>
      </c>
      <c r="C9" s="60">
        <v>541</v>
      </c>
      <c r="D9" s="60">
        <v>21962</v>
      </c>
      <c r="E9" s="60">
        <f t="shared" si="0"/>
        <v>22503</v>
      </c>
      <c r="F9" s="62">
        <f t="shared" si="1"/>
        <v>2.4041238945918322E-2</v>
      </c>
    </row>
    <row r="10" spans="1:8" ht="13.2" x14ac:dyDescent="0.25">
      <c r="A10" s="60">
        <v>9</v>
      </c>
      <c r="B10" s="61">
        <v>43925</v>
      </c>
      <c r="C10" s="60">
        <v>583</v>
      </c>
      <c r="D10" s="60">
        <v>23072</v>
      </c>
      <c r="E10" s="60">
        <f t="shared" si="0"/>
        <v>23655</v>
      </c>
      <c r="F10" s="62">
        <f t="shared" si="1"/>
        <v>2.4645952229972522E-2</v>
      </c>
    </row>
    <row r="11" spans="1:8" ht="13.2" x14ac:dyDescent="0.25">
      <c r="A11" s="60">
        <v>10</v>
      </c>
      <c r="B11" s="61">
        <v>43926</v>
      </c>
      <c r="C11" s="60">
        <v>589</v>
      </c>
      <c r="D11" s="60">
        <v>23426</v>
      </c>
      <c r="E11" s="60">
        <f t="shared" si="0"/>
        <v>24015</v>
      </c>
      <c r="F11" s="62">
        <f t="shared" si="1"/>
        <v>2.4526337705600667E-2</v>
      </c>
    </row>
    <row r="12" spans="1:8" ht="13.2" x14ac:dyDescent="0.25">
      <c r="A12" s="60">
        <v>11</v>
      </c>
      <c r="B12" s="61">
        <v>43927</v>
      </c>
      <c r="C12" s="60">
        <v>718</v>
      </c>
      <c r="D12" s="60">
        <v>25234</v>
      </c>
      <c r="E12" s="60">
        <f t="shared" si="0"/>
        <v>25952</v>
      </c>
      <c r="F12" s="62">
        <f t="shared" si="1"/>
        <v>2.7666461159062884E-2</v>
      </c>
    </row>
    <row r="13" spans="1:8" ht="13.2" x14ac:dyDescent="0.25">
      <c r="A13" s="60">
        <v>12</v>
      </c>
      <c r="B13" s="61">
        <v>43928</v>
      </c>
      <c r="C13" s="60">
        <v>829</v>
      </c>
      <c r="D13" s="60">
        <v>26867</v>
      </c>
      <c r="E13" s="60">
        <f t="shared" si="0"/>
        <v>27696</v>
      </c>
      <c r="F13" s="62">
        <f t="shared" si="1"/>
        <v>2.9932120161756209E-2</v>
      </c>
    </row>
    <row r="14" spans="1:8" ht="13.2" x14ac:dyDescent="0.25">
      <c r="A14" s="60">
        <v>13</v>
      </c>
      <c r="B14" s="61">
        <v>43929</v>
      </c>
      <c r="C14" s="60">
        <v>949</v>
      </c>
      <c r="D14" s="60">
        <v>29853</v>
      </c>
      <c r="E14" s="60">
        <f t="shared" si="0"/>
        <v>30802</v>
      </c>
      <c r="F14" s="62">
        <f t="shared" si="1"/>
        <v>3.0809687682618013E-2</v>
      </c>
    </row>
    <row r="15" spans="1:8" ht="13.2" x14ac:dyDescent="0.25">
      <c r="A15" s="60">
        <v>14</v>
      </c>
      <c r="B15" s="61">
        <v>43930</v>
      </c>
      <c r="C15" s="60">
        <v>1027</v>
      </c>
      <c r="D15" s="60">
        <v>34056</v>
      </c>
      <c r="E15" s="60">
        <f t="shared" si="0"/>
        <v>35083</v>
      </c>
      <c r="F15" s="62">
        <f t="shared" si="1"/>
        <v>2.92734372773138E-2</v>
      </c>
    </row>
    <row r="16" spans="1:8" ht="13.2" x14ac:dyDescent="0.25">
      <c r="A16" s="60">
        <v>15</v>
      </c>
      <c r="B16" s="61">
        <v>43931</v>
      </c>
      <c r="C16" s="60">
        <v>1065</v>
      </c>
      <c r="D16" s="60">
        <v>34704</v>
      </c>
      <c r="E16" s="60">
        <f t="shared" si="0"/>
        <v>35769</v>
      </c>
      <c r="F16" s="62">
        <f t="shared" si="1"/>
        <v>2.9774385641197686E-2</v>
      </c>
    </row>
    <row r="17" spans="1:6" ht="13.2" x14ac:dyDescent="0.25">
      <c r="A17" s="60">
        <v>16</v>
      </c>
      <c r="B17" s="61">
        <v>43932</v>
      </c>
      <c r="C17" s="60">
        <v>1148</v>
      </c>
      <c r="D17" s="60">
        <v>35245</v>
      </c>
      <c r="E17" s="60">
        <f t="shared" si="0"/>
        <v>36393</v>
      </c>
      <c r="F17" s="62">
        <f t="shared" si="1"/>
        <v>3.1544527793806502E-2</v>
      </c>
    </row>
    <row r="18" spans="1:6" ht="13.2" x14ac:dyDescent="0.25">
      <c r="A18" s="60">
        <v>17</v>
      </c>
      <c r="B18" s="61">
        <v>43933</v>
      </c>
      <c r="C18" s="60">
        <v>1203</v>
      </c>
      <c r="D18" s="60">
        <v>35760</v>
      </c>
      <c r="E18" s="60">
        <f t="shared" si="0"/>
        <v>36963</v>
      </c>
      <c r="F18" s="62">
        <f t="shared" si="1"/>
        <v>3.2546059573086601E-2</v>
      </c>
    </row>
    <row r="19" spans="1:6" ht="13.2" x14ac:dyDescent="0.25">
      <c r="A19" s="60">
        <v>18</v>
      </c>
      <c r="B19" s="61">
        <v>43934</v>
      </c>
      <c r="C19" s="60">
        <v>1314</v>
      </c>
      <c r="D19" s="60">
        <v>37560</v>
      </c>
      <c r="E19" s="60">
        <f t="shared" si="0"/>
        <v>38874</v>
      </c>
      <c r="F19" s="62">
        <f t="shared" si="1"/>
        <v>3.380151257910171E-2</v>
      </c>
    </row>
    <row r="20" spans="1:6" ht="13.2" x14ac:dyDescent="0.25">
      <c r="A20" s="60">
        <v>19</v>
      </c>
      <c r="B20" s="61">
        <v>43935</v>
      </c>
      <c r="C20" s="60">
        <v>1395</v>
      </c>
      <c r="D20" s="60">
        <v>39317</v>
      </c>
      <c r="E20" s="60">
        <f t="shared" si="0"/>
        <v>40712</v>
      </c>
      <c r="F20" s="62">
        <f t="shared" si="1"/>
        <v>3.4265081548437805E-2</v>
      </c>
    </row>
    <row r="21" spans="1:6" ht="13.2" x14ac:dyDescent="0.25">
      <c r="A21" s="60">
        <v>20</v>
      </c>
      <c r="B21" s="61">
        <v>43936</v>
      </c>
      <c r="C21" s="60">
        <v>1603</v>
      </c>
      <c r="D21" s="60">
        <v>43624</v>
      </c>
      <c r="E21" s="60">
        <f t="shared" si="0"/>
        <v>45227</v>
      </c>
      <c r="F21" s="62">
        <f t="shared" si="1"/>
        <v>3.5443429809626996E-2</v>
      </c>
    </row>
    <row r="22" spans="1:6" ht="13.2" x14ac:dyDescent="0.25">
      <c r="A22" s="60">
        <v>21</v>
      </c>
      <c r="B22" s="61">
        <v>43937</v>
      </c>
      <c r="C22" s="60">
        <v>1791</v>
      </c>
      <c r="D22" s="60">
        <v>45797</v>
      </c>
      <c r="E22" s="60">
        <f t="shared" si="0"/>
        <v>47588</v>
      </c>
      <c r="F22" s="62">
        <f t="shared" si="1"/>
        <v>3.7635538371017907E-2</v>
      </c>
    </row>
    <row r="23" spans="1:6" ht="13.2" x14ac:dyDescent="0.25">
      <c r="A23" s="60">
        <v>22</v>
      </c>
      <c r="B23" s="61">
        <v>43938</v>
      </c>
      <c r="C23" s="60">
        <v>2129</v>
      </c>
      <c r="D23" s="60">
        <v>53863</v>
      </c>
      <c r="E23" s="60">
        <f t="shared" si="0"/>
        <v>55992</v>
      </c>
      <c r="F23" s="62">
        <f t="shared" si="1"/>
        <v>3.8023289041291611E-2</v>
      </c>
    </row>
    <row r="24" spans="1:6" ht="13.2" x14ac:dyDescent="0.25">
      <c r="A24" s="60">
        <v>23</v>
      </c>
      <c r="B24" s="61">
        <v>43939</v>
      </c>
      <c r="C24" s="60">
        <v>2265</v>
      </c>
      <c r="D24" s="60">
        <v>56352</v>
      </c>
      <c r="E24" s="60">
        <f t="shared" si="0"/>
        <v>58617</v>
      </c>
      <c r="F24" s="62">
        <f t="shared" si="1"/>
        <v>3.8640667383182351E-2</v>
      </c>
    </row>
    <row r="25" spans="1:6" ht="13.2" x14ac:dyDescent="0.25">
      <c r="A25" s="60">
        <v>24</v>
      </c>
      <c r="B25" s="61">
        <v>43940</v>
      </c>
      <c r="C25" s="60">
        <v>2313</v>
      </c>
      <c r="D25" s="60">
        <v>56409</v>
      </c>
      <c r="E25" s="60">
        <f t="shared" si="0"/>
        <v>58722</v>
      </c>
      <c r="F25" s="62">
        <f t="shared" si="1"/>
        <v>3.9388985388781037E-2</v>
      </c>
    </row>
    <row r="26" spans="1:6" ht="13.2" x14ac:dyDescent="0.25">
      <c r="A26" s="60">
        <v>25</v>
      </c>
      <c r="B26" s="61">
        <v>43941</v>
      </c>
      <c r="C26" s="60">
        <v>2248</v>
      </c>
      <c r="D26" s="60">
        <v>59852</v>
      </c>
      <c r="E26" s="60">
        <f t="shared" si="0"/>
        <v>62100</v>
      </c>
      <c r="F26" s="62">
        <f t="shared" si="1"/>
        <v>3.6199677938808371E-2</v>
      </c>
    </row>
    <row r="27" spans="1:6" ht="13.2" x14ac:dyDescent="0.25">
      <c r="A27" s="60">
        <v>26</v>
      </c>
      <c r="B27" s="61">
        <v>43942</v>
      </c>
      <c r="C27" s="60">
        <v>2365</v>
      </c>
      <c r="D27" s="60">
        <v>61181</v>
      </c>
      <c r="E27" s="60">
        <f t="shared" si="0"/>
        <v>63546</v>
      </c>
      <c r="F27" s="62">
        <f t="shared" si="1"/>
        <v>3.7217134044629091E-2</v>
      </c>
    </row>
    <row r="28" spans="1:6" ht="13.2" x14ac:dyDescent="0.25">
      <c r="A28" s="60">
        <v>27</v>
      </c>
      <c r="B28" s="61">
        <v>43943</v>
      </c>
      <c r="C28" s="60">
        <v>2687</v>
      </c>
      <c r="D28" s="60">
        <v>66669</v>
      </c>
      <c r="E28" s="60">
        <f t="shared" si="0"/>
        <v>69356</v>
      </c>
      <c r="F28" s="62">
        <f t="shared" si="1"/>
        <v>3.8742141992041061E-2</v>
      </c>
    </row>
    <row r="29" spans="1:6" ht="13.2" x14ac:dyDescent="0.25">
      <c r="A29" s="60">
        <v>28</v>
      </c>
      <c r="B29" s="61">
        <v>43944</v>
      </c>
      <c r="C29" s="60">
        <v>2842</v>
      </c>
      <c r="D29" s="60">
        <v>67986</v>
      </c>
      <c r="E29" s="60">
        <f t="shared" si="0"/>
        <v>70828</v>
      </c>
      <c r="F29" s="62">
        <f t="shared" si="1"/>
        <v>4.0125374145818037E-2</v>
      </c>
    </row>
    <row r="30" spans="1:6" ht="13.2" x14ac:dyDescent="0.25">
      <c r="A30" s="60">
        <v>29</v>
      </c>
      <c r="B30" s="61">
        <v>43945</v>
      </c>
      <c r="C30" s="60">
        <v>2849</v>
      </c>
      <c r="D30" s="60">
        <v>69121</v>
      </c>
      <c r="E30" s="60">
        <f t="shared" si="0"/>
        <v>71970</v>
      </c>
      <c r="F30" s="62">
        <f t="shared" si="1"/>
        <v>3.9585938585521743E-2</v>
      </c>
    </row>
    <row r="31" spans="1:6" ht="13.2" x14ac:dyDescent="0.25">
      <c r="A31" s="60">
        <v>30</v>
      </c>
      <c r="B31" s="61">
        <v>43946</v>
      </c>
      <c r="C31" s="60">
        <v>2879</v>
      </c>
      <c r="D31" s="60">
        <v>69536</v>
      </c>
      <c r="E31" s="60">
        <f t="shared" si="0"/>
        <v>72415</v>
      </c>
      <c r="F31" s="62">
        <f t="shared" si="1"/>
        <v>3.9756956431678522E-2</v>
      </c>
    </row>
    <row r="32" spans="1:6" ht="13.2" x14ac:dyDescent="0.25">
      <c r="A32" s="60">
        <v>31</v>
      </c>
      <c r="B32" s="61">
        <v>43947</v>
      </c>
      <c r="C32" s="60">
        <v>2881</v>
      </c>
      <c r="D32" s="60">
        <v>69737</v>
      </c>
      <c r="E32" s="60">
        <f t="shared" si="0"/>
        <v>72618</v>
      </c>
      <c r="F32" s="62">
        <f t="shared" si="1"/>
        <v>3.9673359222231405E-2</v>
      </c>
    </row>
    <row r="33" spans="1:6" ht="13.2" x14ac:dyDescent="0.25">
      <c r="A33" s="60">
        <v>32</v>
      </c>
      <c r="B33" s="61">
        <v>43948</v>
      </c>
      <c r="C33" s="60">
        <v>2954</v>
      </c>
      <c r="D33" s="60">
        <v>71831</v>
      </c>
      <c r="E33" s="60">
        <f t="shared" si="0"/>
        <v>74785</v>
      </c>
      <c r="F33" s="62">
        <f t="shared" si="1"/>
        <v>3.9499899712509196E-2</v>
      </c>
    </row>
    <row r="34" spans="1:6" ht="13.2" x14ac:dyDescent="0.25">
      <c r="A34" s="60">
        <v>33</v>
      </c>
      <c r="B34" s="61">
        <v>43949</v>
      </c>
      <c r="C34" s="60">
        <v>2954</v>
      </c>
      <c r="D34" s="60">
        <v>73993</v>
      </c>
      <c r="E34" s="60">
        <f t="shared" si="0"/>
        <v>76947</v>
      </c>
      <c r="F34" s="62">
        <f t="shared" si="1"/>
        <v>3.8390060691125057E-2</v>
      </c>
    </row>
    <row r="35" spans="1:6" ht="13.2" x14ac:dyDescent="0.25">
      <c r="A35" s="60">
        <v>34</v>
      </c>
      <c r="B35" s="61">
        <v>43950</v>
      </c>
      <c r="C35" s="60">
        <v>2962</v>
      </c>
      <c r="D35" s="60">
        <v>74709</v>
      </c>
      <c r="E35" s="60">
        <f t="shared" si="0"/>
        <v>77671</v>
      </c>
      <c r="F35" s="62">
        <f t="shared" si="1"/>
        <v>3.8135211340139821E-2</v>
      </c>
    </row>
    <row r="36" spans="1:6" ht="13.2" x14ac:dyDescent="0.25">
      <c r="A36" s="60">
        <v>35</v>
      </c>
      <c r="B36" s="61">
        <v>43951</v>
      </c>
      <c r="C36" s="60">
        <v>3022</v>
      </c>
      <c r="D36" s="60">
        <v>76130</v>
      </c>
      <c r="E36" s="60">
        <f t="shared" si="0"/>
        <v>79152</v>
      </c>
      <c r="F36" s="62">
        <f t="shared" si="1"/>
        <v>3.8179704871639381E-2</v>
      </c>
    </row>
    <row r="37" spans="1:6" ht="13.2" x14ac:dyDescent="0.25">
      <c r="A37" s="60">
        <v>36</v>
      </c>
      <c r="B37" s="61">
        <v>43952</v>
      </c>
      <c r="C37" s="60">
        <v>3044</v>
      </c>
      <c r="D37" s="60">
        <v>76636</v>
      </c>
      <c r="E37" s="60">
        <f t="shared" si="0"/>
        <v>79680</v>
      </c>
      <c r="F37" s="62">
        <f t="shared" si="1"/>
        <v>3.8202811244979921E-2</v>
      </c>
    </row>
    <row r="38" spans="1:6" ht="13.2" x14ac:dyDescent="0.25">
      <c r="A38" s="60">
        <v>37</v>
      </c>
      <c r="B38" s="61">
        <v>43953</v>
      </c>
      <c r="C38" s="60">
        <v>3050</v>
      </c>
      <c r="D38" s="60">
        <v>76864</v>
      </c>
      <c r="E38" s="60">
        <f t="shared" si="0"/>
        <v>79914</v>
      </c>
      <c r="F38" s="62">
        <f t="shared" si="1"/>
        <v>3.8166028480616662E-2</v>
      </c>
    </row>
    <row r="39" spans="1:6" ht="13.2" x14ac:dyDescent="0.25">
      <c r="A39" s="60">
        <v>38</v>
      </c>
      <c r="B39" s="61">
        <v>43954</v>
      </c>
      <c r="C39" s="60">
        <v>3056</v>
      </c>
      <c r="D39" s="60">
        <v>77136</v>
      </c>
      <c r="E39" s="60">
        <f t="shared" si="0"/>
        <v>80192</v>
      </c>
      <c r="F39" s="62">
        <f t="shared" si="1"/>
        <v>3.8108539505187548E-2</v>
      </c>
    </row>
    <row r="40" spans="1:6" ht="13.2" x14ac:dyDescent="0.25">
      <c r="A40" s="60">
        <v>39</v>
      </c>
      <c r="B40" s="61">
        <v>43955</v>
      </c>
      <c r="C40" s="60">
        <v>3103</v>
      </c>
      <c r="D40" s="60">
        <v>78265</v>
      </c>
      <c r="E40" s="60">
        <f t="shared" si="0"/>
        <v>81368</v>
      </c>
      <c r="F40" s="62">
        <f t="shared" si="1"/>
        <v>3.8135384917903845E-2</v>
      </c>
    </row>
    <row r="41" spans="1:6" ht="13.2" x14ac:dyDescent="0.25">
      <c r="A41" s="60">
        <v>40</v>
      </c>
      <c r="B41" s="61">
        <v>43956</v>
      </c>
      <c r="C41" s="60">
        <v>3117</v>
      </c>
      <c r="D41" s="60">
        <v>79152</v>
      </c>
      <c r="E41" s="60">
        <f t="shared" si="0"/>
        <v>82269</v>
      </c>
      <c r="F41" s="62">
        <f t="shared" si="1"/>
        <v>3.7887904313897096E-2</v>
      </c>
    </row>
    <row r="42" spans="1:6" ht="13.2" x14ac:dyDescent="0.25">
      <c r="A42" s="60">
        <v>41</v>
      </c>
      <c r="B42" s="61">
        <v>43957</v>
      </c>
      <c r="C42" s="60">
        <v>3155</v>
      </c>
      <c r="D42" s="60">
        <v>79497</v>
      </c>
      <c r="E42" s="60">
        <f t="shared" si="0"/>
        <v>82652</v>
      </c>
      <c r="F42" s="62">
        <f t="shared" si="1"/>
        <v>3.817209504912162E-2</v>
      </c>
    </row>
    <row r="43" spans="1:6" ht="13.2" x14ac:dyDescent="0.25">
      <c r="A43" s="60">
        <v>42</v>
      </c>
      <c r="B43" s="61">
        <v>43958</v>
      </c>
      <c r="C43" s="60">
        <v>3176</v>
      </c>
      <c r="D43" s="60">
        <v>80016</v>
      </c>
      <c r="E43" s="60">
        <f t="shared" si="0"/>
        <v>83192</v>
      </c>
      <c r="F43" s="62">
        <f t="shared" si="1"/>
        <v>3.8176747764208097E-2</v>
      </c>
    </row>
    <row r="44" spans="1:6" ht="13.2" x14ac:dyDescent="0.25">
      <c r="A44" s="60">
        <v>43</v>
      </c>
      <c r="B44" s="61">
        <v>43959</v>
      </c>
      <c r="C44" s="60">
        <v>3358</v>
      </c>
      <c r="D44" s="60">
        <v>81466</v>
      </c>
      <c r="E44" s="60">
        <f t="shared" si="0"/>
        <v>84824</v>
      </c>
      <c r="F44" s="62">
        <f t="shared" si="1"/>
        <v>3.9587852494577004E-2</v>
      </c>
    </row>
    <row r="45" spans="1:6" ht="13.2" x14ac:dyDescent="0.25">
      <c r="A45" s="60">
        <v>44</v>
      </c>
      <c r="B45" s="61">
        <v>43960</v>
      </c>
      <c r="C45" s="60">
        <v>3480</v>
      </c>
      <c r="D45" s="60">
        <v>83534</v>
      </c>
      <c r="E45" s="60">
        <f t="shared" si="0"/>
        <v>87014</v>
      </c>
      <c r="F45" s="62">
        <f t="shared" si="1"/>
        <v>3.9993564254028086E-2</v>
      </c>
    </row>
    <row r="46" spans="1:6" ht="13.2" x14ac:dyDescent="0.25">
      <c r="A46" s="60">
        <v>45</v>
      </c>
      <c r="B46" s="61">
        <v>43961</v>
      </c>
      <c r="C46" s="60">
        <v>3505</v>
      </c>
      <c r="D46" s="60">
        <v>84447</v>
      </c>
      <c r="E46" s="60">
        <f t="shared" si="0"/>
        <v>87952</v>
      </c>
      <c r="F46" s="62">
        <f t="shared" si="1"/>
        <v>3.9851282517736945E-2</v>
      </c>
    </row>
    <row r="47" spans="1:6" ht="13.2" x14ac:dyDescent="0.25">
      <c r="A47" s="60">
        <v>46</v>
      </c>
      <c r="B47" s="61">
        <v>43962</v>
      </c>
      <c r="C47" s="60">
        <v>3646</v>
      </c>
      <c r="D47" s="60">
        <v>89780</v>
      </c>
      <c r="E47" s="60">
        <f t="shared" si="0"/>
        <v>93426</v>
      </c>
      <c r="F47" s="62">
        <f t="shared" si="1"/>
        <v>3.9025538929206002E-2</v>
      </c>
    </row>
    <row r="48" spans="1:6" ht="13.2" x14ac:dyDescent="0.25">
      <c r="A48" s="60">
        <v>47</v>
      </c>
      <c r="B48" s="61">
        <v>43963</v>
      </c>
      <c r="C48" s="60">
        <v>3671</v>
      </c>
      <c r="D48" s="60">
        <v>91630</v>
      </c>
      <c r="E48" s="60">
        <f t="shared" si="0"/>
        <v>95301</v>
      </c>
      <c r="F48" s="62">
        <f t="shared" si="1"/>
        <v>3.8520057502019915E-2</v>
      </c>
    </row>
    <row r="49" spans="1:6" ht="13.2" x14ac:dyDescent="0.25">
      <c r="A49" s="60">
        <v>48</v>
      </c>
      <c r="B49" s="61">
        <v>43964</v>
      </c>
      <c r="C49" s="60">
        <v>3703</v>
      </c>
      <c r="D49" s="60">
        <v>93045</v>
      </c>
      <c r="E49" s="60">
        <f t="shared" si="0"/>
        <v>96748</v>
      </c>
      <c r="F49" s="62">
        <f t="shared" si="1"/>
        <v>3.8274693016909909E-2</v>
      </c>
    </row>
    <row r="50" spans="1:6" ht="13.2" x14ac:dyDescent="0.25">
      <c r="A50" s="60">
        <v>49</v>
      </c>
      <c r="B50" s="61">
        <v>43965</v>
      </c>
      <c r="C50" s="60">
        <v>3745</v>
      </c>
      <c r="D50" s="60">
        <v>94083</v>
      </c>
      <c r="E50" s="60">
        <f t="shared" si="0"/>
        <v>97828</v>
      </c>
      <c r="F50" s="62">
        <f t="shared" si="1"/>
        <v>3.8281473606738357E-2</v>
      </c>
    </row>
    <row r="51" spans="1:6" ht="13.2" x14ac:dyDescent="0.25">
      <c r="A51" s="60">
        <v>50</v>
      </c>
      <c r="B51" s="61">
        <v>43966</v>
      </c>
      <c r="C51" s="60">
        <v>3804</v>
      </c>
      <c r="D51" s="60">
        <v>95412</v>
      </c>
      <c r="E51" s="60">
        <f t="shared" si="0"/>
        <v>99216</v>
      </c>
      <c r="F51" s="62">
        <f t="shared" si="1"/>
        <v>3.8340590227382683E-2</v>
      </c>
    </row>
    <row r="52" spans="1:6" ht="13.2" x14ac:dyDescent="0.25">
      <c r="A52" s="60">
        <v>51</v>
      </c>
      <c r="B52" s="61">
        <v>43967</v>
      </c>
      <c r="C52" s="60">
        <v>3808</v>
      </c>
      <c r="D52" s="60">
        <v>96007</v>
      </c>
      <c r="E52" s="60">
        <f t="shared" si="0"/>
        <v>99815</v>
      </c>
      <c r="F52" s="62">
        <f t="shared" si="1"/>
        <v>3.8150578570355156E-2</v>
      </c>
    </row>
    <row r="53" spans="1:6" ht="13.2" x14ac:dyDescent="0.25">
      <c r="A53" s="60">
        <v>52</v>
      </c>
      <c r="B53" s="61">
        <v>43968</v>
      </c>
      <c r="C53" s="60">
        <v>3842</v>
      </c>
      <c r="D53" s="60">
        <v>96521</v>
      </c>
      <c r="E53" s="60">
        <f t="shared" si="0"/>
        <v>100363</v>
      </c>
      <c r="F53" s="62">
        <f t="shared" si="1"/>
        <v>3.8281039825433676E-2</v>
      </c>
    </row>
    <row r="54" spans="1:6" ht="13.2" x14ac:dyDescent="0.25">
      <c r="A54" s="60">
        <v>53</v>
      </c>
      <c r="B54" s="61">
        <v>43969</v>
      </c>
      <c r="C54" s="60">
        <v>3918</v>
      </c>
      <c r="D54" s="60">
        <v>102289</v>
      </c>
      <c r="E54" s="60">
        <f t="shared" si="0"/>
        <v>106207</v>
      </c>
      <c r="F54" s="62">
        <f t="shared" si="1"/>
        <v>3.6890223808223564E-2</v>
      </c>
    </row>
    <row r="55" spans="1:6" ht="13.2" x14ac:dyDescent="0.25">
      <c r="A55" s="60">
        <v>54</v>
      </c>
      <c r="B55" s="61">
        <v>43970</v>
      </c>
      <c r="C55" s="60">
        <v>4153</v>
      </c>
      <c r="D55" s="60">
        <v>105937</v>
      </c>
      <c r="E55" s="60">
        <f t="shared" si="0"/>
        <v>110090</v>
      </c>
      <c r="F55" s="62">
        <f t="shared" si="1"/>
        <v>3.7723680624943232E-2</v>
      </c>
    </row>
    <row r="56" spans="1:6" ht="13.2" x14ac:dyDescent="0.25">
      <c r="A56" s="60">
        <v>55</v>
      </c>
      <c r="B56" s="61">
        <v>43971</v>
      </c>
      <c r="C56" s="60">
        <v>4213</v>
      </c>
      <c r="D56" s="60">
        <v>106929</v>
      </c>
      <c r="E56" s="60">
        <f t="shared" si="0"/>
        <v>111142</v>
      </c>
      <c r="F56" s="62">
        <f t="shared" si="1"/>
        <v>3.7906462003563013E-2</v>
      </c>
    </row>
    <row r="57" spans="1:6" ht="13.2" x14ac:dyDescent="0.25">
      <c r="A57" s="60">
        <v>56</v>
      </c>
      <c r="B57" s="61">
        <v>43972</v>
      </c>
      <c r="C57" s="60">
        <v>4329</v>
      </c>
      <c r="D57" s="60">
        <v>108976</v>
      </c>
      <c r="E57" s="60">
        <f t="shared" si="0"/>
        <v>113305</v>
      </c>
      <c r="F57" s="62">
        <f t="shared" si="1"/>
        <v>3.8206610476148449E-2</v>
      </c>
    </row>
    <row r="58" spans="1:6" ht="13.2" x14ac:dyDescent="0.25">
      <c r="A58" s="60">
        <v>57</v>
      </c>
      <c r="B58" s="61">
        <v>43973</v>
      </c>
      <c r="C58" s="60">
        <v>4411</v>
      </c>
      <c r="D58" s="60">
        <v>110529</v>
      </c>
      <c r="E58" s="60">
        <f t="shared" si="0"/>
        <v>114940</v>
      </c>
      <c r="F58" s="62">
        <f t="shared" si="1"/>
        <v>3.8376544283974245E-2</v>
      </c>
    </row>
    <row r="59" spans="1:6" ht="13.2" x14ac:dyDescent="0.25">
      <c r="A59" s="60">
        <v>58</v>
      </c>
      <c r="B59" s="61">
        <v>43974</v>
      </c>
      <c r="C59" s="60">
        <v>4421</v>
      </c>
      <c r="D59" s="60">
        <v>110621</v>
      </c>
      <c r="E59" s="60">
        <f t="shared" si="0"/>
        <v>115042</v>
      </c>
      <c r="F59" s="62">
        <f t="shared" si="1"/>
        <v>3.8429443159889429E-2</v>
      </c>
    </row>
    <row r="60" spans="1:6" ht="13.2" x14ac:dyDescent="0.25">
      <c r="A60" s="60">
        <v>59</v>
      </c>
      <c r="B60" s="61">
        <v>43975</v>
      </c>
      <c r="C60" s="60">
        <v>4439</v>
      </c>
      <c r="D60" s="60">
        <v>111423</v>
      </c>
      <c r="E60" s="60">
        <f t="shared" si="0"/>
        <v>115862</v>
      </c>
      <c r="F60" s="62">
        <f t="shared" si="1"/>
        <v>3.8312820424297872E-2</v>
      </c>
    </row>
    <row r="61" spans="1:6" ht="13.2" x14ac:dyDescent="0.25">
      <c r="A61" s="60">
        <v>60</v>
      </c>
      <c r="B61" s="61">
        <v>43976</v>
      </c>
      <c r="C61" s="60">
        <v>4494</v>
      </c>
      <c r="D61" s="60">
        <v>112442</v>
      </c>
      <c r="E61" s="60">
        <f t="shared" si="0"/>
        <v>116936</v>
      </c>
      <c r="F61" s="62">
        <f t="shared" si="1"/>
        <v>3.8431278648149415E-2</v>
      </c>
    </row>
    <row r="62" spans="1:6" ht="13.2" x14ac:dyDescent="0.25">
      <c r="A62" s="60">
        <v>61</v>
      </c>
      <c r="B62" s="61">
        <v>43977</v>
      </c>
      <c r="C62" s="60">
        <v>5627</v>
      </c>
      <c r="D62" s="60">
        <v>128227</v>
      </c>
      <c r="E62" s="60">
        <f t="shared" si="0"/>
        <v>133854</v>
      </c>
      <c r="F62" s="62">
        <f t="shared" si="1"/>
        <v>4.2038340281201909E-2</v>
      </c>
    </row>
    <row r="63" spans="1:6" ht="13.2" x14ac:dyDescent="0.25">
      <c r="A63" s="60">
        <v>62</v>
      </c>
      <c r="B63" s="61">
        <v>43978</v>
      </c>
      <c r="C63" s="60">
        <v>5665</v>
      </c>
      <c r="D63" s="60">
        <v>131189</v>
      </c>
      <c r="E63" s="60">
        <f t="shared" si="0"/>
        <v>136854</v>
      </c>
      <c r="F63" s="62">
        <f t="shared" si="1"/>
        <v>4.1394478787613077E-2</v>
      </c>
    </row>
    <row r="64" spans="1:6" ht="13.2" x14ac:dyDescent="0.25">
      <c r="A64" s="60">
        <v>63</v>
      </c>
      <c r="B64" s="61">
        <v>43979</v>
      </c>
      <c r="C64" s="60">
        <v>5665</v>
      </c>
      <c r="D64" s="60">
        <v>133489</v>
      </c>
      <c r="E64" s="60">
        <f t="shared" si="0"/>
        <v>139154</v>
      </c>
      <c r="F64" s="62">
        <f t="shared" si="1"/>
        <v>4.0710292194259597E-2</v>
      </c>
    </row>
    <row r="65" spans="1:6" ht="13.2" x14ac:dyDescent="0.25">
      <c r="A65" s="60">
        <v>64</v>
      </c>
      <c r="B65" s="61">
        <v>43980</v>
      </c>
      <c r="C65" s="60">
        <v>5675</v>
      </c>
      <c r="D65" s="60">
        <v>136007</v>
      </c>
      <c r="E65" s="60">
        <f t="shared" si="0"/>
        <v>141682</v>
      </c>
      <c r="F65" s="62">
        <f t="shared" si="1"/>
        <v>4.0054488220098529E-2</v>
      </c>
    </row>
    <row r="66" spans="1:6" ht="13.2" x14ac:dyDescent="0.25">
      <c r="A66" s="60">
        <v>65</v>
      </c>
      <c r="B66" s="61">
        <v>43981</v>
      </c>
      <c r="C66" s="60">
        <v>5675</v>
      </c>
      <c r="D66" s="60">
        <v>137077</v>
      </c>
      <c r="E66" s="60">
        <f t="shared" si="0"/>
        <v>142752</v>
      </c>
      <c r="F66" s="62">
        <f t="shared" si="1"/>
        <v>3.9754259134723156E-2</v>
      </c>
    </row>
    <row r="67" spans="1:6" ht="13.2" x14ac:dyDescent="0.25">
      <c r="A67" s="60">
        <v>66</v>
      </c>
      <c r="B67" s="61">
        <v>43982</v>
      </c>
      <c r="C67" s="60">
        <v>5682</v>
      </c>
      <c r="D67" s="60">
        <v>137409</v>
      </c>
      <c r="E67" s="60">
        <f t="shared" si="0"/>
        <v>143091</v>
      </c>
      <c r="F67" s="62">
        <f t="shared" si="1"/>
        <v>3.9708996372937504E-2</v>
      </c>
    </row>
    <row r="68" spans="1:6" ht="13.2" x14ac:dyDescent="0.25">
      <c r="A68" s="60">
        <v>67</v>
      </c>
      <c r="B68" s="61">
        <v>43983</v>
      </c>
      <c r="C68" s="60">
        <v>5683</v>
      </c>
      <c r="D68" s="60">
        <v>137684</v>
      </c>
      <c r="E68" s="60">
        <f t="shared" si="0"/>
        <v>143367</v>
      </c>
      <c r="F68" s="62">
        <f t="shared" si="1"/>
        <v>3.9639526529815089E-2</v>
      </c>
    </row>
    <row r="69" spans="1:6" ht="13.2" x14ac:dyDescent="0.25">
      <c r="A69" s="60">
        <v>68</v>
      </c>
      <c r="B69" s="61">
        <v>43984</v>
      </c>
      <c r="C69" s="60">
        <v>5974</v>
      </c>
      <c r="D69" s="60">
        <v>154257</v>
      </c>
      <c r="E69" s="60">
        <f t="shared" si="0"/>
        <v>160231</v>
      </c>
      <c r="F69" s="62">
        <f t="shared" si="1"/>
        <v>3.728367169898459E-2</v>
      </c>
    </row>
    <row r="70" spans="1:6" ht="13.2" x14ac:dyDescent="0.25">
      <c r="A70" s="60">
        <v>69</v>
      </c>
      <c r="B70" s="61">
        <v>43985</v>
      </c>
      <c r="C70" s="60">
        <v>5979</v>
      </c>
      <c r="D70" s="60">
        <v>155752</v>
      </c>
      <c r="E70" s="60">
        <f t="shared" si="0"/>
        <v>161731</v>
      </c>
      <c r="F70" s="62">
        <f t="shared" si="1"/>
        <v>3.6968793861411851E-2</v>
      </c>
    </row>
    <row r="71" spans="1:6" ht="13.2" x14ac:dyDescent="0.25">
      <c r="A71" s="60">
        <v>70</v>
      </c>
      <c r="B71" s="61">
        <v>43986</v>
      </c>
      <c r="C71" s="60">
        <v>6000</v>
      </c>
      <c r="D71" s="60">
        <v>158139</v>
      </c>
      <c r="E71" s="60">
        <f t="shared" si="0"/>
        <v>164139</v>
      </c>
      <c r="F71" s="62">
        <f t="shared" si="1"/>
        <v>3.6554383784475356E-2</v>
      </c>
    </row>
    <row r="72" spans="1:6" ht="13.2" x14ac:dyDescent="0.25">
      <c r="A72" s="60">
        <v>71</v>
      </c>
      <c r="B72" s="61">
        <v>43987</v>
      </c>
      <c r="C72" s="60">
        <v>6121</v>
      </c>
      <c r="D72" s="60">
        <v>159128</v>
      </c>
      <c r="E72" s="60">
        <f t="shared" si="0"/>
        <v>165249</v>
      </c>
      <c r="F72" s="62">
        <f t="shared" si="1"/>
        <v>3.7041071352928008E-2</v>
      </c>
    </row>
    <row r="73" spans="1:6" ht="13.2" x14ac:dyDescent="0.25">
      <c r="A73" s="60">
        <v>72</v>
      </c>
      <c r="B73" s="61">
        <v>43988</v>
      </c>
      <c r="C73" s="60">
        <v>6130</v>
      </c>
      <c r="D73" s="60">
        <v>159792</v>
      </c>
      <c r="E73" s="60">
        <f t="shared" si="0"/>
        <v>165922</v>
      </c>
      <c r="F73" s="62">
        <f t="shared" si="1"/>
        <v>3.6945070575330578E-2</v>
      </c>
    </row>
    <row r="74" spans="1:6" ht="13.2" x14ac:dyDescent="0.25">
      <c r="A74" s="60">
        <v>73</v>
      </c>
      <c r="B74" s="61">
        <v>43989</v>
      </c>
      <c r="C74" s="60">
        <v>6139</v>
      </c>
      <c r="D74" s="60">
        <v>160202</v>
      </c>
      <c r="E74" s="60">
        <f t="shared" si="0"/>
        <v>166341</v>
      </c>
      <c r="F74" s="62">
        <f t="shared" si="1"/>
        <v>3.6906114547826455E-2</v>
      </c>
    </row>
    <row r="75" spans="1:6" ht="13.2" x14ac:dyDescent="0.25">
      <c r="A75" s="60">
        <v>74</v>
      </c>
      <c r="B75" s="61">
        <v>43990</v>
      </c>
      <c r="C75" s="60">
        <v>6232</v>
      </c>
      <c r="D75" s="60">
        <v>164146</v>
      </c>
      <c r="E75" s="60">
        <f t="shared" si="0"/>
        <v>170378</v>
      </c>
      <c r="F75" s="62">
        <f t="shared" si="1"/>
        <v>3.6577492399253425E-2</v>
      </c>
    </row>
    <row r="76" spans="1:6" ht="13.2" x14ac:dyDescent="0.25">
      <c r="A76" s="60">
        <v>75</v>
      </c>
      <c r="B76" s="61">
        <v>43991</v>
      </c>
      <c r="C76" s="60">
        <v>6265</v>
      </c>
      <c r="D76" s="60">
        <v>164828</v>
      </c>
      <c r="E76" s="60">
        <f t="shared" si="0"/>
        <v>171093</v>
      </c>
      <c r="F76" s="62">
        <f t="shared" si="1"/>
        <v>3.6617512113295107E-2</v>
      </c>
    </row>
    <row r="77" spans="1:6" ht="13.2" x14ac:dyDescent="0.25">
      <c r="A77" s="60">
        <v>76</v>
      </c>
      <c r="B77" s="61">
        <v>43992</v>
      </c>
      <c r="C77" s="60">
        <v>6432</v>
      </c>
      <c r="D77" s="60">
        <v>167126</v>
      </c>
      <c r="E77" s="60">
        <f t="shared" si="0"/>
        <v>173558</v>
      </c>
      <c r="F77" s="62">
        <f t="shared" si="1"/>
        <v>3.7059657290358268E-2</v>
      </c>
    </row>
    <row r="78" spans="1:6" ht="13.2" x14ac:dyDescent="0.25">
      <c r="A78" s="60">
        <v>77</v>
      </c>
      <c r="B78" s="61">
        <v>43993</v>
      </c>
      <c r="C78" s="60">
        <v>6432</v>
      </c>
      <c r="D78" s="60">
        <v>167708</v>
      </c>
      <c r="E78" s="60">
        <f t="shared" si="0"/>
        <v>174140</v>
      </c>
      <c r="F78" s="62">
        <f t="shared" si="1"/>
        <v>3.6935798782588722E-2</v>
      </c>
    </row>
    <row r="79" spans="1:6" ht="13.2" x14ac:dyDescent="0.25">
      <c r="A79" s="60">
        <v>78</v>
      </c>
      <c r="B79" s="61">
        <v>43994</v>
      </c>
      <c r="C79" s="60">
        <v>6623</v>
      </c>
      <c r="D79" s="60">
        <v>172012</v>
      </c>
      <c r="E79" s="60">
        <f t="shared" si="0"/>
        <v>178635</v>
      </c>
      <c r="F79" s="62">
        <f t="shared" si="1"/>
        <v>3.7075601086013377E-2</v>
      </c>
    </row>
    <row r="80" spans="1:6" ht="13.2" x14ac:dyDescent="0.25">
      <c r="A80" s="60">
        <v>79</v>
      </c>
      <c r="B80" s="61">
        <v>43995</v>
      </c>
      <c r="C80" s="60">
        <v>6623</v>
      </c>
      <c r="D80" s="60">
        <v>172590</v>
      </c>
      <c r="E80" s="60">
        <f t="shared" si="0"/>
        <v>179213</v>
      </c>
      <c r="F80" s="62">
        <f t="shared" si="1"/>
        <v>3.6956024395551665E-2</v>
      </c>
    </row>
    <row r="81" spans="1:6" ht="13.2" x14ac:dyDescent="0.25">
      <c r="A81" s="60">
        <v>80</v>
      </c>
      <c r="B81" s="61">
        <v>43996</v>
      </c>
      <c r="C81" s="60">
        <v>6633</v>
      </c>
      <c r="D81" s="60">
        <v>172889</v>
      </c>
      <c r="E81" s="60">
        <f t="shared" si="0"/>
        <v>179522</v>
      </c>
      <c r="F81" s="62">
        <f t="shared" si="1"/>
        <v>3.6948117779436504E-2</v>
      </c>
    </row>
    <row r="82" spans="1:6" ht="13.2" x14ac:dyDescent="0.25">
      <c r="A82" s="60">
        <v>81</v>
      </c>
      <c r="B82" s="61">
        <v>43997</v>
      </c>
      <c r="C82" s="60">
        <v>6640</v>
      </c>
      <c r="D82" s="60">
        <v>173219</v>
      </c>
      <c r="E82" s="60">
        <f t="shared" si="0"/>
        <v>179859</v>
      </c>
      <c r="F82" s="62">
        <f t="shared" si="1"/>
        <v>3.6917807838362272E-2</v>
      </c>
    </row>
    <row r="83" spans="1:6" ht="13.2" x14ac:dyDescent="0.25">
      <c r="A83" s="60">
        <v>82</v>
      </c>
      <c r="B83" s="61">
        <v>43998</v>
      </c>
      <c r="C83" s="60">
        <v>6811</v>
      </c>
      <c r="D83" s="60">
        <v>177894</v>
      </c>
      <c r="E83" s="60">
        <f t="shared" si="0"/>
        <v>184705</v>
      </c>
      <c r="F83" s="62">
        <f t="shared" si="1"/>
        <v>3.6875016918870629E-2</v>
      </c>
    </row>
    <row r="84" spans="1:6" ht="13.2" x14ac:dyDescent="0.25">
      <c r="A84" s="60">
        <v>83</v>
      </c>
      <c r="B84" s="61">
        <v>43999</v>
      </c>
      <c r="C84" s="60">
        <v>6817</v>
      </c>
      <c r="D84" s="60">
        <v>178254</v>
      </c>
      <c r="E84" s="60">
        <f t="shared" si="0"/>
        <v>185071</v>
      </c>
      <c r="F84" s="62">
        <f t="shared" si="1"/>
        <v>3.683451216019798E-2</v>
      </c>
    </row>
    <row r="85" spans="1:6" ht="13.2" x14ac:dyDescent="0.25">
      <c r="A85" s="60">
        <v>84</v>
      </c>
      <c r="B85" s="61">
        <v>44000</v>
      </c>
      <c r="C85" s="60">
        <v>6843</v>
      </c>
      <c r="D85" s="60">
        <v>181600</v>
      </c>
      <c r="E85" s="60">
        <f t="shared" si="0"/>
        <v>188443</v>
      </c>
      <c r="F85" s="62">
        <f t="shared" si="1"/>
        <v>3.6313367968032771E-2</v>
      </c>
    </row>
    <row r="86" spans="1:6" ht="13.2" x14ac:dyDescent="0.25">
      <c r="A86" s="60">
        <v>85</v>
      </c>
      <c r="B86" s="61">
        <v>44001</v>
      </c>
      <c r="C86" s="60">
        <v>7086</v>
      </c>
      <c r="D86" s="60">
        <v>188348</v>
      </c>
      <c r="E86" s="60">
        <f t="shared" si="0"/>
        <v>195434</v>
      </c>
      <c r="F86" s="62">
        <f t="shared" si="1"/>
        <v>3.6257764769692072E-2</v>
      </c>
    </row>
    <row r="87" spans="1:6" ht="13.2" x14ac:dyDescent="0.25">
      <c r="A87" s="60">
        <v>86</v>
      </c>
      <c r="B87" s="61">
        <v>44002</v>
      </c>
      <c r="C87" s="60">
        <v>7086</v>
      </c>
      <c r="D87" s="60">
        <v>188950</v>
      </c>
      <c r="E87" s="60">
        <f t="shared" si="0"/>
        <v>196036</v>
      </c>
      <c r="F87" s="62">
        <f t="shared" si="1"/>
        <v>3.6146422085739351E-2</v>
      </c>
    </row>
    <row r="88" spans="1:6" ht="13.2" x14ac:dyDescent="0.25">
      <c r="A88" s="60">
        <v>87</v>
      </c>
      <c r="B88" s="61">
        <v>44003</v>
      </c>
      <c r="C88" s="60">
        <v>7100</v>
      </c>
      <c r="D88" s="60">
        <v>189240</v>
      </c>
      <c r="E88" s="60">
        <f t="shared" si="0"/>
        <v>196340</v>
      </c>
      <c r="F88" s="62">
        <f t="shared" si="1"/>
        <v>3.6161760211877357E-2</v>
      </c>
    </row>
    <row r="89" spans="1:6" ht="13.2" x14ac:dyDescent="0.25">
      <c r="A89" s="60">
        <v>88</v>
      </c>
      <c r="B89" s="61">
        <v>44004</v>
      </c>
      <c r="C89" s="60">
        <v>7100</v>
      </c>
      <c r="D89" s="60">
        <v>189240</v>
      </c>
      <c r="E89" s="60">
        <f t="shared" si="0"/>
        <v>196340</v>
      </c>
      <c r="F89" s="62">
        <f t="shared" si="1"/>
        <v>3.6161760211877357E-2</v>
      </c>
    </row>
    <row r="90" spans="1:6" ht="13.2" x14ac:dyDescent="0.25">
      <c r="A90" s="60">
        <v>89</v>
      </c>
      <c r="B90" s="61">
        <v>44005</v>
      </c>
      <c r="C90" s="60">
        <v>7394</v>
      </c>
      <c r="D90" s="60">
        <v>204935</v>
      </c>
      <c r="E90" s="60">
        <f t="shared" si="0"/>
        <v>212329</v>
      </c>
      <c r="F90" s="62">
        <f t="shared" si="1"/>
        <v>3.4823316645394647E-2</v>
      </c>
    </row>
    <row r="91" spans="1:6" ht="13.2" x14ac:dyDescent="0.25">
      <c r="A91" s="60">
        <v>90</v>
      </c>
      <c r="B91" s="61">
        <v>44006</v>
      </c>
      <c r="C91" s="60">
        <v>7832</v>
      </c>
      <c r="D91" s="60">
        <v>205376</v>
      </c>
      <c r="E91" s="60">
        <f t="shared" si="0"/>
        <v>213208</v>
      </c>
      <c r="F91" s="62">
        <f t="shared" si="1"/>
        <v>3.6734081272747736E-2</v>
      </c>
    </row>
    <row r="92" spans="1:6" ht="13.2" x14ac:dyDescent="0.25">
      <c r="A92" s="60">
        <v>91</v>
      </c>
      <c r="B92" s="61">
        <v>44007</v>
      </c>
      <c r="C92" s="60">
        <v>7839</v>
      </c>
      <c r="D92" s="60">
        <v>205988</v>
      </c>
      <c r="E92" s="60">
        <f t="shared" si="0"/>
        <v>213827</v>
      </c>
      <c r="F92" s="62">
        <f t="shared" si="1"/>
        <v>3.6660477862945282E-2</v>
      </c>
    </row>
    <row r="93" spans="1:6" ht="13.2" x14ac:dyDescent="0.25">
      <c r="A93" s="60">
        <v>92</v>
      </c>
      <c r="B93" s="61">
        <v>44008</v>
      </c>
      <c r="C93" s="60">
        <v>7952</v>
      </c>
      <c r="D93" s="60">
        <v>219371</v>
      </c>
      <c r="E93" s="60">
        <f t="shared" si="0"/>
        <v>227323</v>
      </c>
      <c r="F93" s="62">
        <f t="shared" si="1"/>
        <v>3.4981062189043781E-2</v>
      </c>
    </row>
    <row r="94" spans="1:6" ht="13.2" x14ac:dyDescent="0.25">
      <c r="A94" s="60">
        <v>93</v>
      </c>
      <c r="B94" s="61">
        <v>44009</v>
      </c>
      <c r="C94" s="60">
        <v>8074</v>
      </c>
      <c r="D94" s="60">
        <v>222721</v>
      </c>
      <c r="E94" s="60">
        <f t="shared" si="0"/>
        <v>230795</v>
      </c>
      <c r="F94" s="62">
        <f t="shared" si="1"/>
        <v>3.4983426850668339E-2</v>
      </c>
    </row>
    <row r="95" spans="1:6" ht="13.2" x14ac:dyDescent="0.25">
      <c r="A95" s="60">
        <v>94</v>
      </c>
      <c r="B95" s="61">
        <v>44010</v>
      </c>
      <c r="C95" s="60">
        <v>8084</v>
      </c>
      <c r="D95" s="60">
        <v>222784</v>
      </c>
      <c r="E95" s="60">
        <f t="shared" si="0"/>
        <v>230868</v>
      </c>
      <c r="F95" s="62">
        <f t="shared" si="1"/>
        <v>3.5015679955645647E-2</v>
      </c>
    </row>
    <row r="96" spans="1:6" ht="13.2" x14ac:dyDescent="0.25">
      <c r="A96" s="60">
        <v>95</v>
      </c>
      <c r="B96" s="61">
        <v>44011</v>
      </c>
      <c r="C96" s="60">
        <v>8145</v>
      </c>
      <c r="D96" s="60">
        <v>224821</v>
      </c>
      <c r="E96" s="60">
        <f t="shared" si="0"/>
        <v>232966</v>
      </c>
      <c r="F96" s="62">
        <f t="shared" si="1"/>
        <v>3.4962183322888321E-2</v>
      </c>
    </row>
    <row r="97" spans="1:6" ht="13.2" x14ac:dyDescent="0.25">
      <c r="A97" s="60">
        <v>96</v>
      </c>
      <c r="B97" s="61">
        <v>44012</v>
      </c>
      <c r="C97" s="60">
        <v>8326</v>
      </c>
      <c r="D97" s="60">
        <v>230470</v>
      </c>
      <c r="E97" s="60">
        <f t="shared" si="0"/>
        <v>238796</v>
      </c>
      <c r="F97" s="62">
        <f t="shared" si="1"/>
        <v>3.4866580679743381E-2</v>
      </c>
    </row>
    <row r="98" spans="1:6" ht="13.2" x14ac:dyDescent="0.25">
      <c r="A98" s="60">
        <v>97</v>
      </c>
      <c r="B98" s="61">
        <v>44013</v>
      </c>
      <c r="C98" s="60">
        <v>8355</v>
      </c>
      <c r="D98" s="60">
        <v>231881</v>
      </c>
      <c r="E98" s="60">
        <f t="shared" si="0"/>
        <v>240236</v>
      </c>
      <c r="F98" s="62">
        <f t="shared" si="1"/>
        <v>3.4778301337018598E-2</v>
      </c>
    </row>
    <row r="99" spans="1:6" ht="13.2" x14ac:dyDescent="0.25">
      <c r="A99" s="60">
        <v>98</v>
      </c>
      <c r="B99" s="61">
        <v>44014</v>
      </c>
      <c r="C99" s="60">
        <v>8449</v>
      </c>
      <c r="D99" s="60">
        <v>234561</v>
      </c>
      <c r="E99" s="60">
        <f t="shared" si="0"/>
        <v>243010</v>
      </c>
      <c r="F99" s="62">
        <f t="shared" si="1"/>
        <v>3.4768116538414058E-2</v>
      </c>
    </row>
    <row r="100" spans="1:6" ht="13.2" x14ac:dyDescent="0.25">
      <c r="A100" s="60">
        <v>99</v>
      </c>
      <c r="B100" s="61">
        <v>44015</v>
      </c>
      <c r="C100" s="60">
        <v>8569</v>
      </c>
      <c r="D100" s="60">
        <v>237735</v>
      </c>
      <c r="E100" s="60">
        <f t="shared" si="0"/>
        <v>246304</v>
      </c>
      <c r="F100" s="62">
        <f t="shared" si="1"/>
        <v>3.4790340392360661E-2</v>
      </c>
    </row>
    <row r="101" spans="1:6" ht="13.2" x14ac:dyDescent="0.25">
      <c r="A101" s="60">
        <v>100</v>
      </c>
      <c r="B101" s="61">
        <v>44016</v>
      </c>
      <c r="C101" s="60">
        <v>8598</v>
      </c>
      <c r="D101" s="60">
        <v>240126</v>
      </c>
      <c r="E101" s="60">
        <f t="shared" si="0"/>
        <v>248724</v>
      </c>
      <c r="F101" s="62">
        <f t="shared" si="1"/>
        <v>3.4568437303999611E-2</v>
      </c>
    </row>
    <row r="102" spans="1:6" ht="13.2" x14ac:dyDescent="0.25">
      <c r="A102" s="60">
        <v>101</v>
      </c>
      <c r="B102" s="61">
        <v>44017</v>
      </c>
      <c r="C102" s="60">
        <v>8700</v>
      </c>
      <c r="D102" s="60">
        <v>242564</v>
      </c>
      <c r="E102" s="60">
        <f t="shared" si="0"/>
        <v>251264</v>
      </c>
      <c r="F102" s="62">
        <f t="shared" si="1"/>
        <v>3.4624936321956193E-2</v>
      </c>
    </row>
    <row r="103" spans="1:6" ht="13.2" x14ac:dyDescent="0.25">
      <c r="A103" s="60">
        <v>102</v>
      </c>
      <c r="B103" s="61">
        <v>44018</v>
      </c>
      <c r="C103" s="60">
        <v>8925</v>
      </c>
      <c r="D103" s="60">
        <v>247222</v>
      </c>
      <c r="E103" s="60">
        <f t="shared" si="0"/>
        <v>256147</v>
      </c>
      <c r="F103" s="62">
        <f t="shared" si="1"/>
        <v>3.484327358899382E-2</v>
      </c>
    </row>
    <row r="104" spans="1:6" ht="13.2" x14ac:dyDescent="0.25">
      <c r="A104" s="60">
        <v>103</v>
      </c>
      <c r="B104" s="61">
        <v>44019</v>
      </c>
      <c r="C104" s="60">
        <v>8947</v>
      </c>
      <c r="D104" s="60">
        <v>247656</v>
      </c>
      <c r="E104" s="60">
        <f t="shared" si="0"/>
        <v>256603</v>
      </c>
      <c r="F104" s="62">
        <f t="shared" si="1"/>
        <v>3.4867090408140199E-2</v>
      </c>
    </row>
    <row r="105" spans="1:6" ht="13.2" x14ac:dyDescent="0.25">
      <c r="A105" s="60">
        <v>104</v>
      </c>
      <c r="B105" s="61">
        <v>44020</v>
      </c>
      <c r="C105" s="60">
        <v>9037</v>
      </c>
      <c r="D105" s="60">
        <v>251184</v>
      </c>
      <c r="E105" s="60">
        <f t="shared" si="0"/>
        <v>260221</v>
      </c>
      <c r="F105" s="62">
        <f t="shared" si="1"/>
        <v>3.4728173360336019E-2</v>
      </c>
    </row>
    <row r="106" spans="1:6" ht="13.2" x14ac:dyDescent="0.25">
      <c r="A106" s="60">
        <v>105</v>
      </c>
      <c r="B106" s="61">
        <v>44021</v>
      </c>
      <c r="C106" s="60">
        <v>9149</v>
      </c>
      <c r="D106" s="60">
        <v>253593</v>
      </c>
      <c r="E106" s="60">
        <f t="shared" si="0"/>
        <v>262742</v>
      </c>
      <c r="F106" s="62">
        <f t="shared" si="1"/>
        <v>3.4821231474221857E-2</v>
      </c>
    </row>
    <row r="107" spans="1:6" ht="13.2" x14ac:dyDescent="0.25">
      <c r="A107" s="60">
        <v>106</v>
      </c>
      <c r="B107" s="61">
        <v>44022</v>
      </c>
      <c r="C107" s="60">
        <v>9191</v>
      </c>
      <c r="D107" s="60">
        <v>256150</v>
      </c>
      <c r="E107" s="60">
        <f t="shared" si="0"/>
        <v>265341</v>
      </c>
      <c r="F107" s="62">
        <f t="shared" si="1"/>
        <v>3.463844637654942E-2</v>
      </c>
    </row>
    <row r="108" spans="1:6" ht="13.2" x14ac:dyDescent="0.25">
      <c r="A108" s="60">
        <v>107</v>
      </c>
      <c r="B108" s="61">
        <v>44023</v>
      </c>
      <c r="C108" s="60">
        <v>9197</v>
      </c>
      <c r="D108" s="60">
        <v>257344</v>
      </c>
      <c r="E108" s="60">
        <f t="shared" si="0"/>
        <v>266541</v>
      </c>
      <c r="F108" s="62">
        <f t="shared" si="1"/>
        <v>3.4505010486191617E-2</v>
      </c>
    </row>
    <row r="109" spans="1:6" ht="13.2" x14ac:dyDescent="0.25">
      <c r="A109" s="60">
        <v>108</v>
      </c>
      <c r="B109" s="61">
        <v>44024</v>
      </c>
      <c r="C109" s="60">
        <v>9229</v>
      </c>
      <c r="D109" s="60">
        <v>260151</v>
      </c>
      <c r="E109" s="60">
        <f t="shared" si="0"/>
        <v>269380</v>
      </c>
      <c r="F109" s="62">
        <f t="shared" si="1"/>
        <v>3.4260152943796869E-2</v>
      </c>
    </row>
    <row r="110" spans="1:6" ht="13.2" x14ac:dyDescent="0.25">
      <c r="A110" s="60">
        <v>109</v>
      </c>
      <c r="B110" s="61">
        <v>44025</v>
      </c>
      <c r="C110" s="60">
        <v>9239</v>
      </c>
      <c r="D110" s="60">
        <v>260191</v>
      </c>
      <c r="E110" s="60">
        <f t="shared" si="0"/>
        <v>269430</v>
      </c>
      <c r="F110" s="62">
        <f t="shared" si="1"/>
        <v>3.4290910440559701E-2</v>
      </c>
    </row>
    <row r="111" spans="1:6" ht="13.2" x14ac:dyDescent="0.25">
      <c r="A111" s="60">
        <v>110</v>
      </c>
      <c r="B111" s="61">
        <v>44026</v>
      </c>
      <c r="C111" s="60">
        <v>9524</v>
      </c>
      <c r="D111" s="60">
        <v>262739</v>
      </c>
      <c r="E111" s="60">
        <f t="shared" si="0"/>
        <v>272263</v>
      </c>
      <c r="F111" s="62">
        <f t="shared" si="1"/>
        <v>3.498088245556686E-2</v>
      </c>
    </row>
    <row r="112" spans="1:6" ht="13.2" x14ac:dyDescent="0.25">
      <c r="A112" s="60">
        <v>111</v>
      </c>
      <c r="B112" s="61">
        <v>44027</v>
      </c>
      <c r="C112" s="60">
        <v>9577</v>
      </c>
      <c r="D112" s="60">
        <v>263901</v>
      </c>
      <c r="E112" s="60">
        <f t="shared" si="0"/>
        <v>273478</v>
      </c>
      <c r="F112" s="62">
        <f t="shared" si="1"/>
        <v>3.50192702886521E-2</v>
      </c>
    </row>
    <row r="113" spans="1:6" ht="13.2" x14ac:dyDescent="0.25">
      <c r="A113" s="60">
        <v>112</v>
      </c>
      <c r="B113" s="61">
        <v>44028</v>
      </c>
      <c r="C113" s="60">
        <v>9586</v>
      </c>
      <c r="D113" s="60">
        <v>264909</v>
      </c>
      <c r="E113" s="60">
        <f t="shared" si="0"/>
        <v>274495</v>
      </c>
      <c r="F113" s="62">
        <f t="shared" si="1"/>
        <v>3.4922311881819344E-2</v>
      </c>
    </row>
    <row r="114" spans="1:6" ht="13.2" x14ac:dyDescent="0.25">
      <c r="A114" s="60">
        <v>113</v>
      </c>
      <c r="B114" s="61">
        <v>44029</v>
      </c>
      <c r="C114" s="60">
        <v>9706</v>
      </c>
      <c r="D114" s="60">
        <v>267242</v>
      </c>
      <c r="E114" s="60">
        <f t="shared" si="0"/>
        <v>276948</v>
      </c>
      <c r="F114" s="62">
        <f t="shared" si="1"/>
        <v>3.5046290278319396E-2</v>
      </c>
    </row>
    <row r="115" spans="1:6" ht="13.2" x14ac:dyDescent="0.25">
      <c r="A115" s="60">
        <v>114</v>
      </c>
      <c r="B115" s="61">
        <v>44030</v>
      </c>
      <c r="C115" s="60">
        <v>9706</v>
      </c>
      <c r="D115" s="60">
        <v>269414</v>
      </c>
      <c r="E115" s="60">
        <f t="shared" si="0"/>
        <v>279120</v>
      </c>
      <c r="F115" s="62">
        <f t="shared" si="1"/>
        <v>3.4773574089997136E-2</v>
      </c>
    </row>
    <row r="116" spans="1:6" ht="13.2" x14ac:dyDescent="0.25">
      <c r="A116" s="60">
        <v>115</v>
      </c>
      <c r="B116" s="61">
        <v>44031</v>
      </c>
      <c r="C116" s="60">
        <v>9715</v>
      </c>
      <c r="D116" s="60">
        <v>269528</v>
      </c>
      <c r="E116" s="60">
        <f t="shared" si="0"/>
        <v>279243</v>
      </c>
      <c r="F116" s="62">
        <f t="shared" si="1"/>
        <v>3.4790487138442149E-2</v>
      </c>
    </row>
    <row r="117" spans="1:6" ht="13.2" x14ac:dyDescent="0.25">
      <c r="A117" s="60">
        <v>116</v>
      </c>
      <c r="B117" s="61">
        <v>44032</v>
      </c>
      <c r="C117" s="60">
        <v>9782</v>
      </c>
      <c r="D117" s="60">
        <v>270280</v>
      </c>
      <c r="E117" s="60">
        <f t="shared" si="0"/>
        <v>280062</v>
      </c>
      <c r="F117" s="62">
        <f t="shared" si="1"/>
        <v>3.4927980232948422E-2</v>
      </c>
    </row>
    <row r="118" spans="1:6" ht="13.2" x14ac:dyDescent="0.25">
      <c r="A118" s="60">
        <v>117</v>
      </c>
      <c r="B118" s="61">
        <v>44033</v>
      </c>
      <c r="C118" s="60">
        <v>9794</v>
      </c>
      <c r="D118" s="60">
        <v>270498</v>
      </c>
      <c r="E118" s="60">
        <f t="shared" si="0"/>
        <v>280292</v>
      </c>
      <c r="F118" s="62">
        <f t="shared" si="1"/>
        <v>3.4942131776861271E-2</v>
      </c>
    </row>
    <row r="119" spans="1:6" ht="13.2" x14ac:dyDescent="0.25">
      <c r="A119" s="60">
        <v>118</v>
      </c>
      <c r="B119" s="61">
        <v>44034</v>
      </c>
      <c r="C119" s="60">
        <v>10031</v>
      </c>
      <c r="D119" s="60">
        <v>274202</v>
      </c>
      <c r="E119" s="60">
        <f t="shared" si="0"/>
        <v>284233</v>
      </c>
      <c r="F119" s="62">
        <f t="shared" si="1"/>
        <v>3.5291468619055494E-2</v>
      </c>
    </row>
    <row r="120" spans="1:6" ht="13.2" x14ac:dyDescent="0.25">
      <c r="A120" s="60">
        <v>119</v>
      </c>
      <c r="B120" s="61">
        <v>44035</v>
      </c>
      <c r="C120" s="60">
        <v>10031</v>
      </c>
      <c r="D120" s="60">
        <v>274202</v>
      </c>
      <c r="E120" s="60">
        <f t="shared" si="0"/>
        <v>284233</v>
      </c>
      <c r="F120" s="62">
        <f t="shared" si="1"/>
        <v>3.5291468619055494E-2</v>
      </c>
    </row>
    <row r="121" spans="1:6" ht="13.2" x14ac:dyDescent="0.25">
      <c r="A121" s="60">
        <v>120</v>
      </c>
      <c r="B121" s="61">
        <v>44036</v>
      </c>
      <c r="C121" s="60">
        <v>10428</v>
      </c>
      <c r="D121" s="60">
        <v>283882</v>
      </c>
      <c r="E121" s="60">
        <f t="shared" si="0"/>
        <v>294310</v>
      </c>
      <c r="F121" s="62">
        <f t="shared" si="1"/>
        <v>3.5432027454045056E-2</v>
      </c>
    </row>
    <row r="122" spans="1:6" ht="13.2" x14ac:dyDescent="0.25">
      <c r="A122" s="60">
        <v>121</v>
      </c>
      <c r="B122" s="61">
        <v>44037</v>
      </c>
      <c r="C122" s="60">
        <v>10438</v>
      </c>
      <c r="D122" s="60">
        <v>284634</v>
      </c>
      <c r="E122" s="60">
        <f t="shared" si="0"/>
        <v>295072</v>
      </c>
      <c r="F122" s="62">
        <f t="shared" si="1"/>
        <v>3.5374417091421757E-2</v>
      </c>
    </row>
    <row r="123" spans="1:6" ht="13.2" x14ac:dyDescent="0.25">
      <c r="A123" s="60">
        <v>122</v>
      </c>
      <c r="B123" s="61">
        <v>44038</v>
      </c>
      <c r="C123" s="60">
        <v>10442</v>
      </c>
      <c r="D123" s="60">
        <v>285630</v>
      </c>
      <c r="E123" s="60">
        <f t="shared" si="0"/>
        <v>296072</v>
      </c>
      <c r="F123" s="62">
        <f t="shared" si="1"/>
        <v>3.5268448215298981E-2</v>
      </c>
    </row>
    <row r="124" spans="1:6" ht="13.2" x14ac:dyDescent="0.25">
      <c r="A124" s="60">
        <v>123</v>
      </c>
      <c r="B124" s="61">
        <v>44039</v>
      </c>
      <c r="C124" s="60">
        <v>10674</v>
      </c>
      <c r="D124" s="60">
        <v>289873</v>
      </c>
      <c r="E124" s="60">
        <f t="shared" si="0"/>
        <v>300547</v>
      </c>
      <c r="F124" s="62">
        <f t="shared" si="1"/>
        <v>3.5515243872006705E-2</v>
      </c>
    </row>
    <row r="125" spans="1:6" ht="13.2" x14ac:dyDescent="0.25">
      <c r="A125" s="60">
        <v>124</v>
      </c>
      <c r="B125" s="61">
        <v>44040</v>
      </c>
      <c r="C125" s="60">
        <v>10853</v>
      </c>
      <c r="D125" s="60">
        <v>296645</v>
      </c>
      <c r="E125" s="60">
        <f t="shared" si="0"/>
        <v>307498</v>
      </c>
      <c r="F125" s="62">
        <f t="shared" si="1"/>
        <v>3.529453850106342E-2</v>
      </c>
    </row>
    <row r="126" spans="1:6" ht="13.2" x14ac:dyDescent="0.25">
      <c r="A126" s="60">
        <v>125</v>
      </c>
      <c r="B126" s="61">
        <v>44041</v>
      </c>
      <c r="C126" s="60">
        <v>10863</v>
      </c>
      <c r="D126" s="60">
        <v>298637</v>
      </c>
      <c r="E126" s="60">
        <f t="shared" si="0"/>
        <v>309500</v>
      </c>
      <c r="F126" s="62">
        <f t="shared" si="1"/>
        <v>3.5098546042003229E-2</v>
      </c>
    </row>
    <row r="127" spans="1:6" ht="13.2" x14ac:dyDescent="0.25">
      <c r="A127" s="60">
        <v>126</v>
      </c>
      <c r="B127" s="61">
        <v>44042</v>
      </c>
      <c r="C127" s="60">
        <v>10863</v>
      </c>
      <c r="D127" s="60">
        <v>298637</v>
      </c>
      <c r="E127" s="60">
        <f t="shared" si="0"/>
        <v>309500</v>
      </c>
      <c r="F127" s="62">
        <f t="shared" si="1"/>
        <v>3.5098546042003229E-2</v>
      </c>
    </row>
    <row r="128" spans="1:6" ht="13.2" x14ac:dyDescent="0.25">
      <c r="A128" s="60">
        <v>127</v>
      </c>
      <c r="B128" s="61">
        <v>44043</v>
      </c>
      <c r="C128" s="60">
        <v>10865</v>
      </c>
      <c r="D128" s="60">
        <v>298785</v>
      </c>
      <c r="E128" s="60">
        <f t="shared" si="0"/>
        <v>309650</v>
      </c>
      <c r="F128" s="62">
        <f t="shared" si="1"/>
        <v>3.5088002583562088E-2</v>
      </c>
    </row>
    <row r="129" spans="1:6" ht="13.2" x14ac:dyDescent="0.25">
      <c r="A129" s="60">
        <v>128</v>
      </c>
      <c r="B129" s="61">
        <v>44044</v>
      </c>
      <c r="C129" s="60">
        <v>10870</v>
      </c>
      <c r="D129" s="60">
        <v>298930</v>
      </c>
      <c r="E129" s="60">
        <f t="shared" si="0"/>
        <v>309800</v>
      </c>
      <c r="F129" s="62">
        <f t="shared" si="1"/>
        <v>3.5087153001936731E-2</v>
      </c>
    </row>
    <row r="130" spans="1:6" ht="13.2" x14ac:dyDescent="0.25">
      <c r="A130" s="60">
        <v>129</v>
      </c>
      <c r="B130" s="61">
        <v>44045</v>
      </c>
      <c r="C130" s="60">
        <v>10894</v>
      </c>
      <c r="D130" s="60">
        <v>300910</v>
      </c>
      <c r="E130" s="60">
        <f t="shared" si="0"/>
        <v>311804</v>
      </c>
      <c r="F130" s="62">
        <f t="shared" si="1"/>
        <v>3.4938615283960438E-2</v>
      </c>
    </row>
    <row r="131" spans="1:6" ht="13.2" x14ac:dyDescent="0.25">
      <c r="A131" s="60">
        <v>130</v>
      </c>
      <c r="B131" s="61">
        <v>44046</v>
      </c>
      <c r="C131" s="60">
        <v>11101</v>
      </c>
      <c r="D131" s="60">
        <v>307199</v>
      </c>
      <c r="E131" s="60">
        <f t="shared" si="0"/>
        <v>318300</v>
      </c>
      <c r="F131" s="62">
        <f t="shared" si="1"/>
        <v>3.4875903235940933E-2</v>
      </c>
    </row>
    <row r="132" spans="1:6" ht="13.2" x14ac:dyDescent="0.25">
      <c r="A132" s="60">
        <v>131</v>
      </c>
      <c r="B132" s="61">
        <v>44047</v>
      </c>
      <c r="C132" s="60">
        <v>11133</v>
      </c>
      <c r="D132" s="60">
        <v>308068</v>
      </c>
      <c r="E132" s="60">
        <f t="shared" si="0"/>
        <v>319201</v>
      </c>
      <c r="F132" s="62">
        <f t="shared" si="1"/>
        <v>3.4877710282862524E-2</v>
      </c>
    </row>
    <row r="133" spans="1:6" ht="13.2" x14ac:dyDescent="0.25">
      <c r="A133" s="60">
        <v>132</v>
      </c>
      <c r="B133" s="61">
        <v>44048</v>
      </c>
      <c r="C133" s="60">
        <v>11896</v>
      </c>
      <c r="D133" s="60">
        <v>308815</v>
      </c>
      <c r="E133" s="60">
        <f t="shared" si="0"/>
        <v>320711</v>
      </c>
      <c r="F133" s="62">
        <f t="shared" si="1"/>
        <v>3.7092584912896659E-2</v>
      </c>
    </row>
    <row r="134" spans="1:6" ht="13.2" x14ac:dyDescent="0.25">
      <c r="A134" s="60">
        <v>133</v>
      </c>
      <c r="B134" s="61">
        <v>44049</v>
      </c>
      <c r="C134" s="60">
        <v>12507</v>
      </c>
      <c r="D134" s="60">
        <v>317293</v>
      </c>
      <c r="E134" s="60">
        <f t="shared" si="0"/>
        <v>329800</v>
      </c>
      <c r="F134" s="62">
        <f t="shared" si="1"/>
        <v>3.7922983626440268E-2</v>
      </c>
    </row>
    <row r="135" spans="1:6" ht="13.2" x14ac:dyDescent="0.25">
      <c r="A135" s="60">
        <v>134</v>
      </c>
      <c r="B135" s="61">
        <v>44050</v>
      </c>
      <c r="C135" s="60">
        <v>12541</v>
      </c>
      <c r="D135" s="60">
        <v>317973</v>
      </c>
      <c r="E135" s="60">
        <f t="shared" si="0"/>
        <v>330514</v>
      </c>
      <c r="F135" s="62">
        <f t="shared" si="1"/>
        <v>3.794392975789225E-2</v>
      </c>
    </row>
    <row r="136" spans="1:6" ht="13.2" x14ac:dyDescent="0.25">
      <c r="A136" s="60">
        <v>135</v>
      </c>
      <c r="B136" s="61">
        <v>44051</v>
      </c>
      <c r="C136" s="60">
        <v>12617</v>
      </c>
      <c r="D136" s="60">
        <v>319890</v>
      </c>
      <c r="E136" s="60">
        <f t="shared" si="0"/>
        <v>332507</v>
      </c>
      <c r="F136" s="62">
        <f t="shared" si="1"/>
        <v>3.7945065818163225E-2</v>
      </c>
    </row>
    <row r="137" spans="1:6" ht="13.2" x14ac:dyDescent="0.25">
      <c r="A137" s="60">
        <v>136</v>
      </c>
      <c r="B137" s="61">
        <v>44052</v>
      </c>
      <c r="C137" s="60">
        <v>12627</v>
      </c>
      <c r="D137" s="60">
        <v>320854</v>
      </c>
      <c r="E137" s="60">
        <f t="shared" si="0"/>
        <v>333481</v>
      </c>
      <c r="F137" s="62">
        <f t="shared" si="1"/>
        <v>3.7864226147816517E-2</v>
      </c>
    </row>
    <row r="138" spans="1:6" ht="13.2" x14ac:dyDescent="0.25">
      <c r="A138" s="60">
        <v>137</v>
      </c>
      <c r="B138" s="61">
        <v>44053</v>
      </c>
      <c r="C138" s="60">
        <v>12646</v>
      </c>
      <c r="D138" s="60">
        <v>321776</v>
      </c>
      <c r="E138" s="60">
        <f t="shared" si="0"/>
        <v>334422</v>
      </c>
      <c r="F138" s="62">
        <f t="shared" si="1"/>
        <v>3.7814497850021826E-2</v>
      </c>
    </row>
    <row r="139" spans="1:6" ht="13.2" x14ac:dyDescent="0.25">
      <c r="A139" s="60">
        <v>138</v>
      </c>
      <c r="B139" s="61">
        <v>44054</v>
      </c>
      <c r="C139" s="60">
        <v>12646</v>
      </c>
      <c r="D139" s="60">
        <v>322779</v>
      </c>
      <c r="E139" s="60">
        <f t="shared" si="0"/>
        <v>335425</v>
      </c>
      <c r="F139" s="62">
        <f t="shared" si="1"/>
        <v>3.7701423567116345E-2</v>
      </c>
    </row>
    <row r="140" spans="1:6" ht="13.2" x14ac:dyDescent="0.25">
      <c r="A140" s="60">
        <v>139</v>
      </c>
      <c r="B140" s="61">
        <v>44055</v>
      </c>
      <c r="C140" s="60">
        <v>12812</v>
      </c>
      <c r="D140" s="60">
        <v>327668</v>
      </c>
      <c r="E140" s="60">
        <f t="shared" si="0"/>
        <v>340480</v>
      </c>
      <c r="F140" s="62">
        <f t="shared" si="1"/>
        <v>3.7629229323308269E-2</v>
      </c>
    </row>
    <row r="141" spans="1:6" ht="13.2" x14ac:dyDescent="0.25">
      <c r="A141" s="60">
        <v>140</v>
      </c>
      <c r="B141" s="61">
        <v>44056</v>
      </c>
      <c r="C141" s="60">
        <v>12820</v>
      </c>
      <c r="D141" s="60">
        <v>328088</v>
      </c>
      <c r="E141" s="60">
        <f t="shared" si="0"/>
        <v>340908</v>
      </c>
      <c r="F141" s="62">
        <f t="shared" si="1"/>
        <v>3.7605453670785077E-2</v>
      </c>
    </row>
    <row r="142" spans="1:6" ht="13.2" x14ac:dyDescent="0.25">
      <c r="A142" s="60">
        <v>141</v>
      </c>
      <c r="B142" s="61">
        <v>44057</v>
      </c>
      <c r="C142" s="60">
        <v>12836</v>
      </c>
      <c r="D142" s="60">
        <v>328257</v>
      </c>
      <c r="E142" s="60">
        <f t="shared" si="0"/>
        <v>341093</v>
      </c>
      <c r="F142" s="62">
        <f t="shared" si="1"/>
        <v>3.7631965475691379E-2</v>
      </c>
    </row>
    <row r="143" spans="1:6" ht="13.2" x14ac:dyDescent="0.25">
      <c r="A143" s="60">
        <v>142</v>
      </c>
      <c r="B143" s="61">
        <v>44058</v>
      </c>
      <c r="C143" s="60">
        <v>12836</v>
      </c>
      <c r="D143" s="60">
        <v>329362</v>
      </c>
      <c r="E143" s="60">
        <f t="shared" si="0"/>
        <v>342198</v>
      </c>
      <c r="F143" s="62">
        <f t="shared" si="1"/>
        <v>3.7510447168013841E-2</v>
      </c>
    </row>
    <row r="144" spans="1:6" ht="13.2" x14ac:dyDescent="0.25">
      <c r="A144" s="60">
        <v>143</v>
      </c>
      <c r="B144" s="61">
        <v>44059</v>
      </c>
      <c r="C144" s="60">
        <v>12836</v>
      </c>
      <c r="D144" s="60">
        <v>329662</v>
      </c>
      <c r="E144" s="60">
        <f t="shared" si="0"/>
        <v>342498</v>
      </c>
      <c r="F144" s="62">
        <f t="shared" si="1"/>
        <v>3.747759111002108E-2</v>
      </c>
    </row>
    <row r="145" spans="1:6" ht="13.2" x14ac:dyDescent="0.25">
      <c r="A145" s="60">
        <v>144</v>
      </c>
      <c r="B145" s="61">
        <v>44060</v>
      </c>
      <c r="C145" s="60">
        <v>12841</v>
      </c>
      <c r="D145" s="60">
        <v>330273</v>
      </c>
      <c r="E145" s="60">
        <f t="shared" si="0"/>
        <v>343114</v>
      </c>
      <c r="F145" s="62">
        <f t="shared" si="1"/>
        <v>3.742487919466999E-2</v>
      </c>
    </row>
    <row r="146" spans="1:6" ht="13.2" x14ac:dyDescent="0.25">
      <c r="A146" s="60">
        <v>145</v>
      </c>
      <c r="B146" s="61">
        <v>44061</v>
      </c>
      <c r="C146" s="60">
        <v>12841</v>
      </c>
      <c r="D146" s="60">
        <v>334434</v>
      </c>
      <c r="E146" s="60">
        <f t="shared" si="0"/>
        <v>347275</v>
      </c>
      <c r="F146" s="62">
        <f t="shared" si="1"/>
        <v>3.6976459578144119E-2</v>
      </c>
    </row>
    <row r="147" spans="1:6" ht="13.2" x14ac:dyDescent="0.25">
      <c r="A147" s="60">
        <v>146</v>
      </c>
      <c r="B147" s="61">
        <v>44062</v>
      </c>
      <c r="C147" s="60">
        <v>12841</v>
      </c>
      <c r="D147" s="60">
        <v>334581</v>
      </c>
      <c r="E147" s="60">
        <f t="shared" si="0"/>
        <v>347422</v>
      </c>
      <c r="F147" s="62">
        <f t="shared" si="1"/>
        <v>3.6960814225926973E-2</v>
      </c>
    </row>
    <row r="148" spans="1:6" ht="13.2" x14ac:dyDescent="0.25">
      <c r="A148" s="60">
        <v>147</v>
      </c>
      <c r="B148" s="61">
        <v>44063</v>
      </c>
      <c r="C148" s="60">
        <v>12845</v>
      </c>
      <c r="D148" s="60">
        <v>335677</v>
      </c>
      <c r="E148" s="60">
        <f t="shared" si="0"/>
        <v>348522</v>
      </c>
      <c r="F148" s="62">
        <f t="shared" si="1"/>
        <v>3.6855636086100735E-2</v>
      </c>
    </row>
    <row r="149" spans="1:6" ht="13.2" x14ac:dyDescent="0.25">
      <c r="A149" s="60">
        <v>148</v>
      </c>
      <c r="B149" s="61">
        <v>44064</v>
      </c>
      <c r="C149" s="60">
        <v>12845</v>
      </c>
      <c r="D149" s="60">
        <v>336177</v>
      </c>
      <c r="E149" s="60">
        <f t="shared" si="0"/>
        <v>349022</v>
      </c>
      <c r="F149" s="62">
        <f t="shared" si="1"/>
        <v>3.6802837643472329E-2</v>
      </c>
    </row>
    <row r="150" spans="1:6" ht="13.2" x14ac:dyDescent="0.25">
      <c r="A150" s="60">
        <v>149</v>
      </c>
      <c r="B150" s="61">
        <v>44065</v>
      </c>
      <c r="C150" s="60">
        <v>12850</v>
      </c>
      <c r="D150" s="60">
        <v>336372</v>
      </c>
      <c r="E150" s="60">
        <f t="shared" si="0"/>
        <v>349222</v>
      </c>
      <c r="F150" s="62">
        <f t="shared" si="1"/>
        <v>3.6796078139407024E-2</v>
      </c>
    </row>
    <row r="151" spans="1:6" ht="13.2" x14ac:dyDescent="0.25">
      <c r="A151" s="60">
        <v>150</v>
      </c>
      <c r="B151" s="61">
        <v>44066</v>
      </c>
      <c r="C151" s="60">
        <v>12852</v>
      </c>
      <c r="D151" s="60">
        <v>336570</v>
      </c>
      <c r="E151" s="60">
        <f t="shared" si="0"/>
        <v>349422</v>
      </c>
      <c r="F151" s="62">
        <f t="shared" si="1"/>
        <v>3.6780740766179577E-2</v>
      </c>
    </row>
    <row r="152" spans="1:6" ht="13.2" x14ac:dyDescent="0.25">
      <c r="A152" s="60">
        <v>151</v>
      </c>
      <c r="B152" s="61">
        <v>44067</v>
      </c>
      <c r="C152" s="60">
        <v>13064</v>
      </c>
      <c r="D152" s="60">
        <v>338869</v>
      </c>
      <c r="E152" s="60">
        <f t="shared" si="0"/>
        <v>351933</v>
      </c>
      <c r="F152" s="62">
        <f t="shared" si="1"/>
        <v>3.7120701951791964E-2</v>
      </c>
    </row>
    <row r="153" spans="1:6" ht="13.2" x14ac:dyDescent="0.25">
      <c r="A153" s="60">
        <v>152</v>
      </c>
      <c r="B153" s="61">
        <v>44068</v>
      </c>
      <c r="C153" s="60">
        <v>13092</v>
      </c>
      <c r="D153" s="60">
        <v>339240</v>
      </c>
      <c r="E153" s="60">
        <f t="shared" si="0"/>
        <v>352332</v>
      </c>
      <c r="F153" s="62">
        <f t="shared" si="1"/>
        <v>3.7158134940908007E-2</v>
      </c>
    </row>
    <row r="154" spans="1:6" ht="13.2" x14ac:dyDescent="0.25">
      <c r="A154" s="60">
        <v>153</v>
      </c>
      <c r="B154" s="61">
        <v>44069</v>
      </c>
      <c r="C154" s="60">
        <v>13092</v>
      </c>
      <c r="D154" s="60">
        <v>339240</v>
      </c>
      <c r="E154" s="60">
        <f t="shared" si="0"/>
        <v>352332</v>
      </c>
      <c r="F154" s="62">
        <f t="shared" si="1"/>
        <v>3.7158134940908007E-2</v>
      </c>
    </row>
    <row r="155" spans="1:6" ht="13.2" x14ac:dyDescent="0.25">
      <c r="A155" s="60">
        <v>154</v>
      </c>
      <c r="B155" s="61">
        <v>44070</v>
      </c>
      <c r="C155" s="60">
        <v>13092</v>
      </c>
      <c r="D155" s="60">
        <v>339240</v>
      </c>
      <c r="E155" s="60">
        <f t="shared" si="0"/>
        <v>352332</v>
      </c>
      <c r="F155" s="62">
        <f t="shared" si="1"/>
        <v>3.7158134940908007E-2</v>
      </c>
    </row>
    <row r="156" spans="1:6" ht="13.2" x14ac:dyDescent="0.25">
      <c r="A156" s="60">
        <v>155</v>
      </c>
      <c r="B156" s="61">
        <v>44071</v>
      </c>
      <c r="C156" s="60">
        <v>13757</v>
      </c>
      <c r="D156" s="60">
        <v>349105</v>
      </c>
      <c r="E156" s="60">
        <f t="shared" si="0"/>
        <v>362862</v>
      </c>
      <c r="F156" s="62">
        <f t="shared" si="1"/>
        <v>3.7912484636032431E-2</v>
      </c>
    </row>
    <row r="157" spans="1:6" ht="13.2" x14ac:dyDescent="0.25">
      <c r="A157" s="60">
        <v>156</v>
      </c>
      <c r="B157" s="61">
        <v>44072</v>
      </c>
      <c r="C157" s="60">
        <v>13760</v>
      </c>
      <c r="D157" s="60">
        <v>349202</v>
      </c>
      <c r="E157" s="60">
        <f t="shared" si="0"/>
        <v>362962</v>
      </c>
      <c r="F157" s="62">
        <f t="shared" si="1"/>
        <v>3.7910304659991956E-2</v>
      </c>
    </row>
    <row r="158" spans="1:6" ht="13.2" x14ac:dyDescent="0.25">
      <c r="A158" s="60">
        <v>157</v>
      </c>
      <c r="B158" s="61">
        <v>44073</v>
      </c>
      <c r="C158" s="60">
        <v>13764</v>
      </c>
      <c r="D158" s="60">
        <v>349298</v>
      </c>
      <c r="E158" s="60">
        <f t="shared" si="0"/>
        <v>363062</v>
      </c>
      <c r="F158" s="62">
        <f t="shared" si="1"/>
        <v>3.7910880235331706E-2</v>
      </c>
    </row>
    <row r="159" spans="1:6" ht="13.2" x14ac:dyDescent="0.25">
      <c r="A159" s="60">
        <v>158</v>
      </c>
      <c r="B159" s="61">
        <v>44074</v>
      </c>
      <c r="C159" s="60">
        <v>13764</v>
      </c>
      <c r="D159" s="60">
        <v>349933</v>
      </c>
      <c r="E159" s="60">
        <f t="shared" si="0"/>
        <v>363697</v>
      </c>
      <c r="F159" s="62">
        <f t="shared" si="1"/>
        <v>3.7844689398042877E-2</v>
      </c>
    </row>
    <row r="160" spans="1:6" ht="13.2" x14ac:dyDescent="0.25">
      <c r="A160" s="60">
        <v>159</v>
      </c>
      <c r="B160" s="61">
        <v>44075</v>
      </c>
      <c r="C160" s="60">
        <v>13792</v>
      </c>
      <c r="D160" s="60">
        <v>352905</v>
      </c>
      <c r="E160" s="60">
        <f t="shared" si="0"/>
        <v>366697</v>
      </c>
      <c r="F160" s="62">
        <f t="shared" si="1"/>
        <v>3.7611433963190319E-2</v>
      </c>
    </row>
    <row r="161" spans="1:6" ht="13.2" x14ac:dyDescent="0.25">
      <c r="A161" s="60">
        <v>160</v>
      </c>
      <c r="B161" s="61">
        <v>44076</v>
      </c>
      <c r="C161" s="60">
        <v>13804</v>
      </c>
      <c r="D161" s="60">
        <v>354893</v>
      </c>
      <c r="E161" s="60">
        <f t="shared" si="0"/>
        <v>368697</v>
      </c>
      <c r="F161" s="62">
        <f t="shared" si="1"/>
        <v>3.743995747185358E-2</v>
      </c>
    </row>
    <row r="162" spans="1:6" ht="13.2" x14ac:dyDescent="0.25">
      <c r="A162" s="60">
        <v>161</v>
      </c>
      <c r="B162" s="61">
        <v>44077</v>
      </c>
      <c r="C162" s="60">
        <v>14646</v>
      </c>
      <c r="D162" s="60">
        <v>368144</v>
      </c>
      <c r="E162" s="60">
        <f t="shared" si="0"/>
        <v>382790</v>
      </c>
      <c r="F162" s="62">
        <f t="shared" si="1"/>
        <v>3.8261187596332194E-2</v>
      </c>
    </row>
    <row r="163" spans="1:6" ht="13.2" x14ac:dyDescent="0.25">
      <c r="A163" s="60">
        <v>162</v>
      </c>
      <c r="B163" s="61">
        <v>44078</v>
      </c>
      <c r="C163" s="60">
        <v>14656</v>
      </c>
      <c r="D163" s="60">
        <v>368244</v>
      </c>
      <c r="E163" s="60">
        <f t="shared" si="0"/>
        <v>382900</v>
      </c>
      <c r="F163" s="62">
        <f t="shared" si="1"/>
        <v>3.8276312353094803E-2</v>
      </c>
    </row>
    <row r="164" spans="1:6" ht="13.2" x14ac:dyDescent="0.25">
      <c r="A164" s="60">
        <v>163</v>
      </c>
      <c r="B164" s="61">
        <v>44079</v>
      </c>
      <c r="C164" s="60">
        <v>14660</v>
      </c>
      <c r="D164" s="60">
        <v>368540</v>
      </c>
      <c r="E164" s="60">
        <f t="shared" si="0"/>
        <v>383200</v>
      </c>
      <c r="F164" s="62">
        <f t="shared" si="1"/>
        <v>3.8256784968684759E-2</v>
      </c>
    </row>
    <row r="165" spans="1:6" ht="13.2" x14ac:dyDescent="0.25">
      <c r="A165" s="60">
        <v>164</v>
      </c>
      <c r="B165" s="61">
        <v>44080</v>
      </c>
      <c r="C165" s="60">
        <v>14772</v>
      </c>
      <c r="D165" s="60">
        <v>369206</v>
      </c>
      <c r="E165" s="60">
        <f t="shared" si="0"/>
        <v>383978</v>
      </c>
      <c r="F165" s="62">
        <f t="shared" si="1"/>
        <v>3.8470954065076647E-2</v>
      </c>
    </row>
    <row r="166" spans="1:6" ht="13.2" x14ac:dyDescent="0.25">
      <c r="A166" s="60">
        <v>165</v>
      </c>
      <c r="B166" s="61">
        <v>44081</v>
      </c>
      <c r="C166" s="60">
        <v>15180</v>
      </c>
      <c r="D166" s="60">
        <v>374949</v>
      </c>
      <c r="E166" s="60">
        <f t="shared" si="0"/>
        <v>390129</v>
      </c>
      <c r="F166" s="62">
        <f t="shared" si="1"/>
        <v>3.8910206623962842E-2</v>
      </c>
    </row>
    <row r="167" spans="1:6" ht="13.2" x14ac:dyDescent="0.25">
      <c r="A167" s="60">
        <v>166</v>
      </c>
      <c r="B167" s="61">
        <v>44082</v>
      </c>
      <c r="C167" s="60">
        <v>15182</v>
      </c>
      <c r="D167" s="60">
        <v>375250</v>
      </c>
      <c r="E167" s="60">
        <f t="shared" si="0"/>
        <v>390432</v>
      </c>
      <c r="F167" s="62">
        <f t="shared" si="1"/>
        <v>3.888513236619949E-2</v>
      </c>
    </row>
    <row r="168" spans="1:6" ht="13.2" x14ac:dyDescent="0.25">
      <c r="A168" s="60">
        <v>167</v>
      </c>
      <c r="B168" s="61">
        <v>44083</v>
      </c>
      <c r="C168" s="60">
        <v>15190</v>
      </c>
      <c r="D168" s="60">
        <v>376242</v>
      </c>
      <c r="E168" s="60">
        <f t="shared" si="0"/>
        <v>391432</v>
      </c>
      <c r="F168" s="62">
        <f t="shared" si="1"/>
        <v>3.8806229434486708E-2</v>
      </c>
    </row>
    <row r="169" spans="1:6" ht="13.2" x14ac:dyDescent="0.25">
      <c r="A169" s="60">
        <v>168</v>
      </c>
      <c r="B169" s="61">
        <v>44084</v>
      </c>
      <c r="C169" s="60">
        <v>15210</v>
      </c>
      <c r="D169" s="60">
        <v>378222</v>
      </c>
      <c r="E169" s="60">
        <f t="shared" si="0"/>
        <v>393432</v>
      </c>
      <c r="F169" s="62">
        <f t="shared" si="1"/>
        <v>3.8659793814432991E-2</v>
      </c>
    </row>
    <row r="170" spans="1:6" ht="13.2" x14ac:dyDescent="0.25">
      <c r="A170" s="60">
        <v>169</v>
      </c>
      <c r="B170" s="61">
        <v>44085</v>
      </c>
      <c r="C170" s="60">
        <v>15210</v>
      </c>
      <c r="D170" s="60">
        <v>379327</v>
      </c>
      <c r="E170" s="60">
        <f t="shared" si="0"/>
        <v>394537</v>
      </c>
      <c r="F170" s="62">
        <f t="shared" si="1"/>
        <v>3.8551517348182809E-2</v>
      </c>
    </row>
    <row r="171" spans="1:6" ht="14.4" x14ac:dyDescent="0.3">
      <c r="A171" s="63">
        <v>170</v>
      </c>
      <c r="B171" s="61">
        <v>44086</v>
      </c>
      <c r="C171" s="64">
        <v>15214</v>
      </c>
      <c r="D171" s="64">
        <v>379523</v>
      </c>
      <c r="E171" s="60">
        <f t="shared" si="0"/>
        <v>394737</v>
      </c>
      <c r="F171" s="62">
        <f t="shared" si="1"/>
        <v>3.8542117916486165E-2</v>
      </c>
    </row>
    <row r="172" spans="1:6" ht="13.8" x14ac:dyDescent="0.3">
      <c r="A172" s="60">
        <v>171</v>
      </c>
      <c r="B172" s="61">
        <v>44087</v>
      </c>
      <c r="C172" s="64">
        <v>15230</v>
      </c>
      <c r="D172" s="64">
        <v>380353</v>
      </c>
      <c r="E172" s="60">
        <f t="shared" si="0"/>
        <v>395583</v>
      </c>
      <c r="F172" s="62">
        <f t="shared" si="1"/>
        <v>3.8500137771340023E-2</v>
      </c>
    </row>
    <row r="173" spans="1:6" ht="13.2" x14ac:dyDescent="0.25">
      <c r="A173" s="60">
        <v>172</v>
      </c>
      <c r="B173" s="61">
        <v>44088</v>
      </c>
      <c r="C173" s="60">
        <v>15255</v>
      </c>
      <c r="D173" s="60">
        <v>381328</v>
      </c>
      <c r="E173" s="60">
        <f t="shared" si="0"/>
        <v>396583</v>
      </c>
      <c r="F173" s="62">
        <f t="shared" si="1"/>
        <v>3.8466096630465754E-2</v>
      </c>
    </row>
    <row r="174" spans="1:6" ht="13.2" x14ac:dyDescent="0.25">
      <c r="A174" s="60">
        <v>173</v>
      </c>
      <c r="B174" s="61">
        <v>44089</v>
      </c>
      <c r="C174" s="60">
        <v>15265</v>
      </c>
      <c r="D174" s="60">
        <v>381818</v>
      </c>
      <c r="E174" s="60">
        <f t="shared" si="0"/>
        <v>397083</v>
      </c>
      <c r="F174" s="62">
        <f t="shared" si="1"/>
        <v>3.8442844443101316E-2</v>
      </c>
    </row>
    <row r="175" spans="1:6" ht="13.2" x14ac:dyDescent="0.25">
      <c r="A175" s="60">
        <v>174</v>
      </c>
      <c r="B175" s="61">
        <v>44090</v>
      </c>
      <c r="C175" s="60">
        <v>15270</v>
      </c>
      <c r="D175" s="60">
        <v>382013</v>
      </c>
      <c r="E175" s="60">
        <f t="shared" si="0"/>
        <v>397283</v>
      </c>
      <c r="F175" s="62">
        <f t="shared" si="1"/>
        <v>3.8436077053385122E-2</v>
      </c>
    </row>
    <row r="176" spans="1:6" ht="14.4" x14ac:dyDescent="0.3">
      <c r="A176" s="60">
        <v>175</v>
      </c>
      <c r="B176" s="61">
        <v>44091</v>
      </c>
      <c r="C176" s="63">
        <v>15275</v>
      </c>
      <c r="D176" s="63">
        <v>382108</v>
      </c>
      <c r="E176" s="60">
        <f t="shared" si="0"/>
        <v>397383</v>
      </c>
      <c r="F176" s="62">
        <f t="shared" si="1"/>
        <v>3.8438987072924612E-2</v>
      </c>
    </row>
    <row r="177" spans="1:26" ht="13.2" x14ac:dyDescent="0.25">
      <c r="A177" s="60">
        <v>176</v>
      </c>
      <c r="B177" s="61">
        <v>44092</v>
      </c>
      <c r="C177" s="60">
        <v>15250</v>
      </c>
      <c r="D177" s="60">
        <v>383083</v>
      </c>
      <c r="E177" s="60">
        <f t="shared" si="0"/>
        <v>398333</v>
      </c>
      <c r="F177" s="62">
        <f t="shared" si="1"/>
        <v>3.8284550865732944E-2</v>
      </c>
    </row>
    <row r="178" spans="1:26" ht="14.4" x14ac:dyDescent="0.3">
      <c r="A178" s="63">
        <v>177</v>
      </c>
      <c r="B178" s="61">
        <v>44093</v>
      </c>
      <c r="C178" s="65">
        <v>15250</v>
      </c>
      <c r="D178" s="65">
        <v>383183</v>
      </c>
      <c r="E178" s="60">
        <f t="shared" si="0"/>
        <v>398433</v>
      </c>
      <c r="F178" s="62">
        <f t="shared" si="1"/>
        <v>3.827494208562042E-2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3.2" x14ac:dyDescent="0.25">
      <c r="A179" s="60">
        <v>178</v>
      </c>
      <c r="B179" s="61">
        <v>44094</v>
      </c>
      <c r="C179" s="60">
        <v>15350</v>
      </c>
      <c r="D179" s="60">
        <v>384083</v>
      </c>
      <c r="E179" s="60">
        <f t="shared" si="0"/>
        <v>399433</v>
      </c>
      <c r="F179" s="62">
        <f t="shared" si="1"/>
        <v>3.8429473779081846E-2</v>
      </c>
    </row>
    <row r="180" spans="1:26" ht="13.2" x14ac:dyDescent="0.25">
      <c r="A180" s="60">
        <v>179</v>
      </c>
      <c r="B180" s="61">
        <v>44095</v>
      </c>
      <c r="C180" s="60">
        <v>15360</v>
      </c>
      <c r="D180" s="60">
        <v>384173</v>
      </c>
      <c r="E180" s="60">
        <f t="shared" si="0"/>
        <v>399533</v>
      </c>
      <c r="F180" s="62">
        <f t="shared" si="1"/>
        <v>3.8444884402539965E-2</v>
      </c>
    </row>
    <row r="181" spans="1:26" ht="13.2" x14ac:dyDescent="0.25">
      <c r="A181" s="60">
        <v>180</v>
      </c>
      <c r="B181" s="61">
        <v>44096</v>
      </c>
      <c r="C181" s="60">
        <v>15370</v>
      </c>
      <c r="D181" s="60">
        <v>384363</v>
      </c>
      <c r="E181" s="60">
        <f t="shared" si="0"/>
        <v>399733</v>
      </c>
      <c r="F181" s="62">
        <f t="shared" si="1"/>
        <v>3.8450665819434474E-2</v>
      </c>
    </row>
    <row r="182" spans="1:26" ht="13.2" x14ac:dyDescent="0.25">
      <c r="A182" s="60">
        <v>181</v>
      </c>
      <c r="B182" s="61">
        <v>44097</v>
      </c>
      <c r="C182" s="60">
        <v>15375</v>
      </c>
      <c r="D182" s="60">
        <v>384458</v>
      </c>
      <c r="E182" s="60">
        <f t="shared" si="0"/>
        <v>399833</v>
      </c>
      <c r="F182" s="62">
        <f t="shared" si="1"/>
        <v>3.8453554358944861E-2</v>
      </c>
    </row>
    <row r="183" spans="1:26" ht="13.2" x14ac:dyDescent="0.25">
      <c r="A183" s="60">
        <v>182</v>
      </c>
      <c r="B183" s="61">
        <v>44098</v>
      </c>
      <c r="C183" s="65">
        <v>15385</v>
      </c>
      <c r="D183" s="65">
        <v>384298</v>
      </c>
      <c r="E183" s="60">
        <f t="shared" si="0"/>
        <v>399683</v>
      </c>
      <c r="F183" s="62">
        <f t="shared" si="1"/>
        <v>3.8493005707022819E-2</v>
      </c>
    </row>
    <row r="184" spans="1:26" ht="13.2" x14ac:dyDescent="0.25">
      <c r="A184" s="60">
        <v>183</v>
      </c>
      <c r="B184" s="61">
        <v>44099</v>
      </c>
      <c r="C184" s="60">
        <v>15485</v>
      </c>
      <c r="D184" s="60">
        <v>385198</v>
      </c>
      <c r="E184" s="60">
        <f t="shared" si="0"/>
        <v>400683</v>
      </c>
      <c r="F184" s="62">
        <f t="shared" si="1"/>
        <v>3.8646511082326925E-2</v>
      </c>
    </row>
    <row r="185" spans="1:26" ht="14.4" x14ac:dyDescent="0.3">
      <c r="A185" s="63">
        <v>184</v>
      </c>
      <c r="B185" s="61">
        <v>44100</v>
      </c>
      <c r="C185" s="65">
        <v>15505</v>
      </c>
      <c r="D185" s="65">
        <v>386178</v>
      </c>
      <c r="E185" s="60">
        <f t="shared" si="0"/>
        <v>401683</v>
      </c>
      <c r="F185" s="62">
        <f t="shared" si="1"/>
        <v>3.8600090120816666E-2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3.2" x14ac:dyDescent="0.25">
      <c r="A186" s="60">
        <v>185</v>
      </c>
      <c r="B186" s="61">
        <v>44101</v>
      </c>
      <c r="C186" s="60">
        <v>15555</v>
      </c>
      <c r="D186" s="60">
        <v>387128</v>
      </c>
      <c r="E186" s="60">
        <f t="shared" si="0"/>
        <v>402683</v>
      </c>
      <c r="F186" s="62">
        <f t="shared" si="1"/>
        <v>3.8628400006953362E-2</v>
      </c>
    </row>
    <row r="187" spans="1:26" ht="14.4" x14ac:dyDescent="0.3">
      <c r="A187" s="63">
        <v>186</v>
      </c>
      <c r="B187" s="61">
        <v>44102</v>
      </c>
      <c r="C187" s="65">
        <v>15559</v>
      </c>
      <c r="D187" s="65">
        <v>387324</v>
      </c>
      <c r="E187" s="60">
        <f t="shared" si="0"/>
        <v>402883</v>
      </c>
      <c r="F187" s="62">
        <f t="shared" si="1"/>
        <v>3.861915245865425E-2</v>
      </c>
    </row>
    <row r="188" spans="1:26" ht="13.2" x14ac:dyDescent="0.25">
      <c r="A188" s="60">
        <v>187</v>
      </c>
      <c r="B188" s="61">
        <v>44103</v>
      </c>
      <c r="C188" s="60">
        <v>24624</v>
      </c>
      <c r="D188" s="60">
        <v>531971</v>
      </c>
      <c r="E188" s="60">
        <f t="shared" si="0"/>
        <v>556595</v>
      </c>
      <c r="F188" s="62">
        <f t="shared" si="1"/>
        <v>4.4240426162649685E-2</v>
      </c>
    </row>
    <row r="189" spans="1:26" ht="13.2" x14ac:dyDescent="0.25">
      <c r="A189" s="60">
        <v>188</v>
      </c>
      <c r="B189" s="61">
        <v>44104</v>
      </c>
      <c r="C189" s="60">
        <v>24624</v>
      </c>
      <c r="D189" s="60">
        <v>531971</v>
      </c>
      <c r="E189" s="60">
        <f t="shared" si="0"/>
        <v>556595</v>
      </c>
      <c r="F189" s="62">
        <f t="shared" si="1"/>
        <v>4.4240426162649685E-2</v>
      </c>
    </row>
    <row r="190" spans="1:26" ht="14.4" x14ac:dyDescent="0.3">
      <c r="A190" s="63">
        <v>189</v>
      </c>
      <c r="B190" s="61">
        <v>44105</v>
      </c>
      <c r="C190" s="65">
        <v>24630</v>
      </c>
      <c r="D190" s="65">
        <v>532965</v>
      </c>
      <c r="E190" s="60">
        <f t="shared" si="0"/>
        <v>557595</v>
      </c>
      <c r="F190" s="62">
        <f t="shared" si="1"/>
        <v>4.4171845156430745E-2</v>
      </c>
    </row>
    <row r="191" spans="1:26" ht="13.2" x14ac:dyDescent="0.25">
      <c r="A191" s="60">
        <v>190</v>
      </c>
      <c r="B191" s="61">
        <v>44106</v>
      </c>
      <c r="C191" s="60">
        <v>24635</v>
      </c>
      <c r="D191" s="60">
        <v>533160</v>
      </c>
      <c r="E191" s="60">
        <f t="shared" si="0"/>
        <v>557795</v>
      </c>
      <c r="F191" s="62">
        <f t="shared" si="1"/>
        <v>4.4164971001891373E-2</v>
      </c>
    </row>
    <row r="192" spans="1:26" ht="14.4" x14ac:dyDescent="0.3">
      <c r="A192" s="63">
        <v>191</v>
      </c>
      <c r="B192" s="61">
        <v>44107</v>
      </c>
      <c r="C192" s="65">
        <v>24640</v>
      </c>
      <c r="D192" s="65">
        <v>533355</v>
      </c>
      <c r="E192" s="60">
        <f t="shared" si="0"/>
        <v>557995</v>
      </c>
      <c r="F192" s="62">
        <f t="shared" si="1"/>
        <v>4.4158101775105513E-2</v>
      </c>
    </row>
    <row r="193" spans="1:26" ht="13.2" x14ac:dyDescent="0.25">
      <c r="A193" s="60">
        <v>192</v>
      </c>
      <c r="B193" s="61">
        <v>44108</v>
      </c>
      <c r="C193" s="60">
        <v>24670</v>
      </c>
      <c r="D193" s="60">
        <v>534325</v>
      </c>
      <c r="E193" s="60">
        <f t="shared" si="0"/>
        <v>558995</v>
      </c>
      <c r="F193" s="62">
        <f t="shared" si="1"/>
        <v>4.4132773996189589E-2</v>
      </c>
    </row>
    <row r="194" spans="1:26" ht="13.2" x14ac:dyDescent="0.25">
      <c r="A194" s="60">
        <v>193</v>
      </c>
      <c r="B194" s="61">
        <v>44109</v>
      </c>
      <c r="C194" s="60">
        <v>25486</v>
      </c>
      <c r="D194" s="60">
        <v>540285</v>
      </c>
      <c r="E194" s="60">
        <f t="shared" si="0"/>
        <v>565771</v>
      </c>
      <c r="F194" s="62">
        <f t="shared" si="1"/>
        <v>4.5046494076225185E-2</v>
      </c>
    </row>
    <row r="195" spans="1:26" ht="13.2" x14ac:dyDescent="0.25">
      <c r="A195" s="60">
        <v>194</v>
      </c>
      <c r="B195" s="61">
        <v>44110</v>
      </c>
      <c r="C195" s="60">
        <v>25486</v>
      </c>
      <c r="D195" s="60">
        <v>540285</v>
      </c>
      <c r="E195" s="60">
        <f t="shared" si="0"/>
        <v>565771</v>
      </c>
      <c r="F195" s="62">
        <f t="shared" si="1"/>
        <v>4.5046494076225185E-2</v>
      </c>
    </row>
    <row r="196" spans="1:26" ht="13.2" x14ac:dyDescent="0.25">
      <c r="A196" s="60">
        <v>195</v>
      </c>
      <c r="B196" s="61">
        <v>44111</v>
      </c>
      <c r="C196" s="60">
        <v>25497</v>
      </c>
      <c r="D196" s="60">
        <v>540463</v>
      </c>
      <c r="E196" s="60">
        <f t="shared" si="0"/>
        <v>565960</v>
      </c>
      <c r="F196" s="62">
        <f t="shared" si="1"/>
        <v>4.5050886988479748E-2</v>
      </c>
    </row>
    <row r="197" spans="1:26" ht="13.2" x14ac:dyDescent="0.25">
      <c r="A197" s="60">
        <v>196</v>
      </c>
      <c r="B197" s="61">
        <v>44112</v>
      </c>
      <c r="C197" s="65">
        <v>25500</v>
      </c>
      <c r="D197" s="65">
        <v>540560</v>
      </c>
      <c r="E197" s="60">
        <f t="shared" si="0"/>
        <v>566060</v>
      </c>
      <c r="F197" s="62">
        <f t="shared" si="1"/>
        <v>4.504822810302795E-2</v>
      </c>
    </row>
    <row r="198" spans="1:26" ht="13.2" x14ac:dyDescent="0.25">
      <c r="A198" s="60">
        <v>197</v>
      </c>
      <c r="B198" s="61">
        <v>44113</v>
      </c>
      <c r="C198" s="60">
        <v>25520</v>
      </c>
      <c r="D198" s="60">
        <v>541540</v>
      </c>
      <c r="E198" s="60">
        <f t="shared" si="0"/>
        <v>567060</v>
      </c>
      <c r="F198" s="62">
        <f t="shared" si="1"/>
        <v>4.5004056008182552E-2</v>
      </c>
    </row>
    <row r="199" spans="1:26" ht="14.4" x14ac:dyDescent="0.3">
      <c r="A199" s="63">
        <v>198</v>
      </c>
      <c r="B199" s="61">
        <v>44114</v>
      </c>
      <c r="C199" s="65">
        <v>25525</v>
      </c>
      <c r="D199" s="65">
        <v>541635</v>
      </c>
      <c r="E199" s="60">
        <f t="shared" si="0"/>
        <v>567160</v>
      </c>
      <c r="F199" s="62">
        <f t="shared" si="1"/>
        <v>4.5004936878482261E-2</v>
      </c>
    </row>
    <row r="200" spans="1:26" ht="13.2" x14ac:dyDescent="0.25">
      <c r="A200" s="60">
        <v>199</v>
      </c>
      <c r="B200" s="61">
        <v>44115</v>
      </c>
      <c r="C200" s="60">
        <v>25525</v>
      </c>
      <c r="D200" s="60">
        <v>541735</v>
      </c>
      <c r="E200" s="60">
        <f t="shared" si="0"/>
        <v>567260</v>
      </c>
      <c r="F200" s="62">
        <f t="shared" si="1"/>
        <v>4.4997003137890915E-2</v>
      </c>
    </row>
    <row r="201" spans="1:26" ht="14.4" x14ac:dyDescent="0.3">
      <c r="A201" s="63">
        <v>200</v>
      </c>
      <c r="B201" s="61">
        <v>44116</v>
      </c>
      <c r="C201" s="65">
        <v>25545</v>
      </c>
      <c r="D201" s="65">
        <v>542715</v>
      </c>
      <c r="E201" s="60">
        <f t="shared" si="0"/>
        <v>568260</v>
      </c>
      <c r="F201" s="62">
        <f t="shared" si="1"/>
        <v>4.4953014465209586E-2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3.2" x14ac:dyDescent="0.25">
      <c r="A202" s="60">
        <v>201</v>
      </c>
      <c r="B202" s="61">
        <v>44117</v>
      </c>
      <c r="C202" s="60">
        <v>25609</v>
      </c>
      <c r="D202" s="60">
        <v>542715</v>
      </c>
      <c r="E202" s="60">
        <f t="shared" si="0"/>
        <v>568324</v>
      </c>
      <c r="F202" s="62">
        <f t="shared" si="1"/>
        <v>4.5060564044453515E-2</v>
      </c>
    </row>
    <row r="203" spans="1:26" ht="13.2" x14ac:dyDescent="0.25">
      <c r="A203" s="60">
        <v>202</v>
      </c>
      <c r="B203" s="61">
        <v>44118</v>
      </c>
      <c r="C203" s="60">
        <v>25612</v>
      </c>
      <c r="D203" s="60">
        <v>543968</v>
      </c>
      <c r="E203" s="60">
        <f t="shared" si="0"/>
        <v>569580</v>
      </c>
      <c r="F203" s="62">
        <f t="shared" si="1"/>
        <v>4.4966466519189577E-2</v>
      </c>
    </row>
    <row r="204" spans="1:26" ht="13.2" x14ac:dyDescent="0.25">
      <c r="A204" s="65">
        <v>203</v>
      </c>
      <c r="B204" s="61">
        <v>44119</v>
      </c>
      <c r="C204" s="65">
        <v>25672</v>
      </c>
      <c r="D204" s="65">
        <v>544149</v>
      </c>
      <c r="E204" s="60">
        <f t="shared" si="0"/>
        <v>569821</v>
      </c>
      <c r="F204" s="62">
        <f t="shared" si="1"/>
        <v>4.5052744633841152E-2</v>
      </c>
    </row>
    <row r="205" spans="1:26" ht="13.2" x14ac:dyDescent="0.25">
      <c r="A205" s="60">
        <v>204</v>
      </c>
      <c r="B205" s="61">
        <v>44120</v>
      </c>
      <c r="C205" s="60">
        <v>25672</v>
      </c>
      <c r="D205" s="60">
        <v>544249</v>
      </c>
      <c r="E205" s="60">
        <f t="shared" si="0"/>
        <v>569921</v>
      </c>
      <c r="F205" s="62">
        <f t="shared" si="1"/>
        <v>4.5044839547937345E-2</v>
      </c>
    </row>
    <row r="206" spans="1:26" ht="13.2" x14ac:dyDescent="0.25">
      <c r="A206" s="65">
        <v>205</v>
      </c>
      <c r="B206" s="61">
        <v>44121</v>
      </c>
      <c r="C206" s="65">
        <v>25672</v>
      </c>
      <c r="D206" s="65">
        <v>544299</v>
      </c>
      <c r="E206" s="60">
        <f t="shared" si="0"/>
        <v>569971</v>
      </c>
      <c r="F206" s="62">
        <f t="shared" si="1"/>
        <v>4.5040888045181249E-2</v>
      </c>
    </row>
    <row r="207" spans="1:26" ht="13.2" x14ac:dyDescent="0.25">
      <c r="A207" s="60">
        <v>206</v>
      </c>
      <c r="B207" s="61">
        <v>44122</v>
      </c>
      <c r="C207" s="60">
        <v>25672</v>
      </c>
      <c r="D207" s="60">
        <v>544299</v>
      </c>
      <c r="E207" s="60">
        <f t="shared" si="0"/>
        <v>569971</v>
      </c>
      <c r="F207" s="62">
        <f t="shared" si="1"/>
        <v>4.5040888045181249E-2</v>
      </c>
    </row>
    <row r="208" spans="1:26" ht="13.2" x14ac:dyDescent="0.25">
      <c r="A208" s="65">
        <v>207</v>
      </c>
      <c r="B208" s="61">
        <v>44123</v>
      </c>
      <c r="C208" s="60">
        <v>25975</v>
      </c>
      <c r="D208" s="60">
        <v>545096</v>
      </c>
      <c r="E208" s="60">
        <f t="shared" si="0"/>
        <v>571071</v>
      </c>
      <c r="F208" s="62">
        <f t="shared" si="1"/>
        <v>4.5484712058570652E-2</v>
      </c>
    </row>
    <row r="209" spans="1:6" ht="13.2" x14ac:dyDescent="0.25">
      <c r="A209" s="60">
        <v>208</v>
      </c>
      <c r="B209" s="61">
        <v>44124</v>
      </c>
      <c r="C209" s="60">
        <v>25975</v>
      </c>
      <c r="D209" s="60">
        <v>545196</v>
      </c>
      <c r="E209" s="60">
        <f t="shared" si="0"/>
        <v>571171</v>
      </c>
      <c r="F209" s="62">
        <f t="shared" si="1"/>
        <v>4.547674864445149E-2</v>
      </c>
    </row>
    <row r="210" spans="1:6" ht="13.2" x14ac:dyDescent="0.25">
      <c r="A210" s="60">
        <v>209</v>
      </c>
      <c r="B210" s="61">
        <v>44125</v>
      </c>
      <c r="C210" s="60">
        <v>26301</v>
      </c>
      <c r="D210" s="60">
        <v>545872</v>
      </c>
      <c r="E210" s="60">
        <f t="shared" si="0"/>
        <v>572173</v>
      </c>
      <c r="F210" s="62">
        <f t="shared" si="1"/>
        <v>4.5966866664452884E-2</v>
      </c>
    </row>
    <row r="211" spans="1:6" ht="13.2" x14ac:dyDescent="0.25">
      <c r="A211" s="65">
        <v>210</v>
      </c>
      <c r="B211" s="61">
        <v>44126</v>
      </c>
      <c r="C211" s="65">
        <v>26301</v>
      </c>
      <c r="D211" s="65">
        <v>545872</v>
      </c>
      <c r="E211" s="60">
        <f t="shared" si="0"/>
        <v>572173</v>
      </c>
      <c r="F211" s="62">
        <f t="shared" si="1"/>
        <v>4.5966866664452884E-2</v>
      </c>
    </row>
    <row r="212" spans="1:6" ht="13.2" x14ac:dyDescent="0.25">
      <c r="A212" s="60">
        <v>211</v>
      </c>
      <c r="B212" s="61">
        <v>44127</v>
      </c>
      <c r="C212" s="60">
        <v>26301</v>
      </c>
      <c r="D212" s="60">
        <v>545972</v>
      </c>
      <c r="E212" s="60">
        <f t="shared" si="0"/>
        <v>572273</v>
      </c>
      <c r="F212" s="62">
        <f t="shared" si="1"/>
        <v>4.5958834332565049E-2</v>
      </c>
    </row>
    <row r="213" spans="1:6" ht="13.2" x14ac:dyDescent="0.25">
      <c r="A213" s="65">
        <v>212</v>
      </c>
      <c r="B213" s="61">
        <v>44128</v>
      </c>
      <c r="C213" s="65">
        <v>26301</v>
      </c>
      <c r="D213" s="65">
        <v>545972</v>
      </c>
      <c r="E213" s="60">
        <f t="shared" si="0"/>
        <v>572273</v>
      </c>
      <c r="F213" s="62">
        <f t="shared" si="1"/>
        <v>4.5958834332565049E-2</v>
      </c>
    </row>
    <row r="214" spans="1:6" ht="13.2" x14ac:dyDescent="0.25">
      <c r="A214" s="60">
        <v>213</v>
      </c>
      <c r="B214" s="61">
        <v>44129</v>
      </c>
      <c r="C214" s="60">
        <v>26321</v>
      </c>
      <c r="D214" s="60">
        <v>546952</v>
      </c>
      <c r="E214" s="60">
        <f t="shared" si="0"/>
        <v>573273</v>
      </c>
      <c r="F214" s="62">
        <f t="shared" si="1"/>
        <v>4.5913552530818649E-2</v>
      </c>
    </row>
    <row r="215" spans="1:6" ht="13.2" x14ac:dyDescent="0.25">
      <c r="A215" s="65">
        <v>214</v>
      </c>
      <c r="B215" s="61">
        <v>44130</v>
      </c>
      <c r="C215" s="65">
        <v>26321</v>
      </c>
      <c r="D215" s="65">
        <v>547052</v>
      </c>
      <c r="E215" s="60">
        <f t="shared" si="0"/>
        <v>573373</v>
      </c>
      <c r="F215" s="62">
        <f t="shared" si="1"/>
        <v>4.5905544907067476E-2</v>
      </c>
    </row>
    <row r="216" spans="1:6" ht="13.2" x14ac:dyDescent="0.25">
      <c r="A216" s="60">
        <v>215</v>
      </c>
      <c r="B216" s="61">
        <v>44131</v>
      </c>
      <c r="C216" s="60">
        <v>26321</v>
      </c>
      <c r="D216" s="60">
        <v>547152</v>
      </c>
      <c r="E216" s="60">
        <f t="shared" si="0"/>
        <v>573473</v>
      </c>
      <c r="F216" s="62">
        <f t="shared" si="1"/>
        <v>4.5897540075993115E-2</v>
      </c>
    </row>
    <row r="217" spans="1:6" ht="13.2" x14ac:dyDescent="0.25">
      <c r="A217" s="60">
        <v>216</v>
      </c>
      <c r="B217" s="61">
        <v>44132</v>
      </c>
      <c r="C217" s="60">
        <v>26321</v>
      </c>
      <c r="D217" s="60">
        <v>547252</v>
      </c>
      <c r="E217" s="60">
        <f t="shared" si="0"/>
        <v>573573</v>
      </c>
      <c r="F217" s="62">
        <f t="shared" si="1"/>
        <v>4.5889538036134894E-2</v>
      </c>
    </row>
    <row r="218" spans="1:6" ht="13.2" x14ac:dyDescent="0.25">
      <c r="A218" s="65">
        <v>217</v>
      </c>
      <c r="B218" s="61">
        <v>44133</v>
      </c>
      <c r="C218" s="65">
        <v>26321</v>
      </c>
      <c r="D218" s="65">
        <v>547352</v>
      </c>
      <c r="E218" s="60">
        <f t="shared" si="0"/>
        <v>573673</v>
      </c>
      <c r="F218" s="62">
        <f t="shared" si="1"/>
        <v>4.5881538786033162E-2</v>
      </c>
    </row>
    <row r="219" spans="1:6" ht="13.2" x14ac:dyDescent="0.25">
      <c r="A219" s="60">
        <v>218</v>
      </c>
      <c r="B219" s="61">
        <v>44134</v>
      </c>
      <c r="C219" s="60">
        <v>26321</v>
      </c>
      <c r="D219" s="60">
        <v>547452</v>
      </c>
      <c r="E219" s="60">
        <f t="shared" si="0"/>
        <v>573773</v>
      </c>
      <c r="F219" s="62">
        <f t="shared" si="1"/>
        <v>4.5873542324229272E-2</v>
      </c>
    </row>
    <row r="220" spans="1:6" ht="13.2" x14ac:dyDescent="0.25">
      <c r="A220" s="65">
        <v>219</v>
      </c>
      <c r="B220" s="61">
        <v>44135</v>
      </c>
      <c r="C220" s="65">
        <v>26321</v>
      </c>
      <c r="D220" s="65">
        <v>547552</v>
      </c>
      <c r="E220" s="60">
        <f t="shared" si="0"/>
        <v>573873</v>
      </c>
      <c r="F220" s="62">
        <f t="shared" si="1"/>
        <v>4.5865548649265606E-2</v>
      </c>
    </row>
    <row r="221" spans="1:6" ht="13.2" x14ac:dyDescent="0.25">
      <c r="A221" s="60">
        <v>220</v>
      </c>
      <c r="B221" s="61">
        <v>44136</v>
      </c>
      <c r="C221" s="60">
        <v>26321</v>
      </c>
      <c r="D221" s="60">
        <v>547652</v>
      </c>
      <c r="E221" s="60">
        <f t="shared" si="0"/>
        <v>573973</v>
      </c>
      <c r="F221" s="62">
        <f t="shared" si="1"/>
        <v>4.5857557759685558E-2</v>
      </c>
    </row>
    <row r="222" spans="1:6" ht="13.2" x14ac:dyDescent="0.25">
      <c r="A222" s="60">
        <v>221</v>
      </c>
      <c r="B222" s="61">
        <v>44137</v>
      </c>
      <c r="C222" s="60">
        <v>26897</v>
      </c>
      <c r="D222" s="60">
        <v>555445</v>
      </c>
      <c r="E222" s="60">
        <f t="shared" si="0"/>
        <v>582342</v>
      </c>
      <c r="F222" s="62">
        <f t="shared" si="1"/>
        <v>4.6187635444463908E-2</v>
      </c>
    </row>
    <row r="223" spans="1:6" ht="13.2" x14ac:dyDescent="0.25">
      <c r="A223" s="60">
        <v>222</v>
      </c>
      <c r="B223" s="61">
        <v>44138</v>
      </c>
      <c r="C223" s="60">
        <v>26897</v>
      </c>
      <c r="D223" s="60">
        <v>555545</v>
      </c>
      <c r="E223" s="60">
        <f t="shared" si="0"/>
        <v>582442</v>
      </c>
      <c r="F223" s="62">
        <f t="shared" si="1"/>
        <v>4.6179705447065976E-2</v>
      </c>
    </row>
    <row r="224" spans="1:6" ht="13.2" x14ac:dyDescent="0.25">
      <c r="A224" s="60">
        <v>223</v>
      </c>
      <c r="B224" s="61">
        <v>44139</v>
      </c>
      <c r="C224" s="60">
        <v>26897</v>
      </c>
      <c r="D224" s="60">
        <v>555645</v>
      </c>
      <c r="E224" s="60">
        <f t="shared" si="0"/>
        <v>582542</v>
      </c>
      <c r="F224" s="62">
        <f t="shared" si="1"/>
        <v>4.6171778172217626E-2</v>
      </c>
    </row>
    <row r="225" spans="1:26" ht="13.2" x14ac:dyDescent="0.25">
      <c r="A225" s="65">
        <v>224</v>
      </c>
      <c r="B225" s="61">
        <v>44140</v>
      </c>
      <c r="C225" s="65">
        <v>26897</v>
      </c>
      <c r="D225" s="65">
        <v>555745</v>
      </c>
      <c r="E225" s="60">
        <f t="shared" si="0"/>
        <v>582642</v>
      </c>
      <c r="F225" s="62">
        <f t="shared" si="1"/>
        <v>4.6163853618517034E-2</v>
      </c>
    </row>
    <row r="226" spans="1:26" ht="13.2" x14ac:dyDescent="0.25">
      <c r="A226" s="60">
        <v>225</v>
      </c>
      <c r="B226" s="61">
        <v>44141</v>
      </c>
      <c r="C226" s="60">
        <v>26897</v>
      </c>
      <c r="D226" s="60">
        <v>555845</v>
      </c>
      <c r="E226" s="60">
        <f t="shared" si="0"/>
        <v>582742</v>
      </c>
      <c r="F226" s="62">
        <f t="shared" si="1"/>
        <v>4.6155931784563321E-2</v>
      </c>
    </row>
    <row r="227" spans="1:26" ht="13.2" x14ac:dyDescent="0.25">
      <c r="A227" s="65">
        <v>226</v>
      </c>
      <c r="B227" s="61">
        <v>44142</v>
      </c>
      <c r="C227" s="65">
        <v>26897</v>
      </c>
      <c r="D227" s="65">
        <v>555945</v>
      </c>
      <c r="E227" s="60">
        <f t="shared" si="0"/>
        <v>582842</v>
      </c>
      <c r="F227" s="62">
        <f t="shared" si="1"/>
        <v>4.6148012668956594E-2</v>
      </c>
    </row>
    <row r="228" spans="1:26" ht="13.2" x14ac:dyDescent="0.25">
      <c r="A228" s="60">
        <v>227</v>
      </c>
      <c r="B228" s="61">
        <v>44143</v>
      </c>
      <c r="C228" s="60">
        <v>26897</v>
      </c>
      <c r="D228" s="60">
        <v>556045</v>
      </c>
      <c r="E228" s="60">
        <f t="shared" si="0"/>
        <v>582942</v>
      </c>
      <c r="F228" s="62">
        <f t="shared" si="1"/>
        <v>4.6140096270297901E-2</v>
      </c>
    </row>
    <row r="229" spans="1:26" ht="13.2" x14ac:dyDescent="0.25">
      <c r="A229" s="65">
        <v>228</v>
      </c>
      <c r="B229" s="61">
        <v>44144</v>
      </c>
      <c r="C229" s="65">
        <v>26897</v>
      </c>
      <c r="D229" s="65">
        <v>556145</v>
      </c>
      <c r="E229" s="60">
        <f t="shared" si="0"/>
        <v>583042</v>
      </c>
      <c r="F229" s="62">
        <f t="shared" si="1"/>
        <v>4.6132182587189256E-2</v>
      </c>
    </row>
    <row r="230" spans="1:26" ht="13.2" x14ac:dyDescent="0.25">
      <c r="A230" s="60">
        <v>229</v>
      </c>
      <c r="B230" s="61">
        <v>44145</v>
      </c>
      <c r="C230" s="60">
        <v>26897</v>
      </c>
      <c r="D230" s="60">
        <v>556245</v>
      </c>
      <c r="E230" s="60">
        <f t="shared" si="0"/>
        <v>583142</v>
      </c>
      <c r="F230" s="62">
        <f t="shared" si="1"/>
        <v>4.6124271618233639E-2</v>
      </c>
    </row>
    <row r="231" spans="1:26" ht="14.4" x14ac:dyDescent="0.3">
      <c r="A231" s="65">
        <v>230</v>
      </c>
      <c r="B231" s="61">
        <v>44146</v>
      </c>
      <c r="C231" s="65">
        <v>26897</v>
      </c>
      <c r="D231" s="65">
        <v>556345</v>
      </c>
      <c r="E231" s="60">
        <f t="shared" si="0"/>
        <v>583242</v>
      </c>
      <c r="F231" s="62">
        <f t="shared" si="1"/>
        <v>4.6116363362034972E-2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3.2" x14ac:dyDescent="0.25">
      <c r="A232" s="60">
        <v>231</v>
      </c>
      <c r="B232" s="61">
        <v>44147</v>
      </c>
      <c r="C232" s="60">
        <v>26897</v>
      </c>
      <c r="D232" s="60">
        <v>556445</v>
      </c>
      <c r="E232" s="60">
        <f t="shared" si="0"/>
        <v>583342</v>
      </c>
      <c r="F232" s="62">
        <f t="shared" si="1"/>
        <v>4.6108457817198148E-2</v>
      </c>
    </row>
    <row r="233" spans="1:26" ht="13.2" x14ac:dyDescent="0.25">
      <c r="A233" s="60">
        <v>232</v>
      </c>
      <c r="B233" s="61">
        <v>44148</v>
      </c>
      <c r="C233" s="60">
        <v>26897</v>
      </c>
      <c r="D233" s="60">
        <v>556545</v>
      </c>
      <c r="E233" s="60">
        <f t="shared" si="0"/>
        <v>583442</v>
      </c>
      <c r="F233" s="62">
        <f t="shared" si="1"/>
        <v>4.6100554982329005E-2</v>
      </c>
    </row>
    <row r="234" spans="1:26" ht="13.2" x14ac:dyDescent="0.25">
      <c r="A234" s="65">
        <v>233</v>
      </c>
      <c r="B234" s="61">
        <v>44149</v>
      </c>
      <c r="C234" s="65">
        <v>26897</v>
      </c>
      <c r="D234" s="65">
        <v>556645</v>
      </c>
      <c r="E234" s="60">
        <f t="shared" si="0"/>
        <v>583542</v>
      </c>
      <c r="F234" s="62">
        <f t="shared" si="1"/>
        <v>4.6092654856034358E-2</v>
      </c>
    </row>
    <row r="235" spans="1:26" ht="13.2" x14ac:dyDescent="0.25">
      <c r="A235" s="60">
        <v>234</v>
      </c>
      <c r="B235" s="61">
        <v>44150</v>
      </c>
      <c r="C235" s="60">
        <v>26897</v>
      </c>
      <c r="D235" s="60">
        <v>556645</v>
      </c>
      <c r="E235" s="60">
        <f t="shared" si="0"/>
        <v>583542</v>
      </c>
      <c r="F235" s="62">
        <f t="shared" si="1"/>
        <v>4.6092654856034358E-2</v>
      </c>
    </row>
    <row r="236" spans="1:26" ht="13.2" x14ac:dyDescent="0.25">
      <c r="A236" s="60">
        <v>235</v>
      </c>
      <c r="B236" s="61">
        <v>44151</v>
      </c>
      <c r="C236" s="60">
        <v>29545</v>
      </c>
      <c r="D236" s="60">
        <v>590879</v>
      </c>
      <c r="E236" s="60">
        <f t="shared" si="0"/>
        <v>620424</v>
      </c>
      <c r="F236" s="62">
        <f t="shared" si="1"/>
        <v>4.7620659420009544E-2</v>
      </c>
    </row>
    <row r="237" spans="1:26" ht="13.2" x14ac:dyDescent="0.25">
      <c r="A237" s="60">
        <v>236</v>
      </c>
      <c r="B237" s="61">
        <v>44152</v>
      </c>
      <c r="C237" s="60">
        <v>29545</v>
      </c>
      <c r="D237" s="60">
        <v>590979</v>
      </c>
      <c r="E237" s="60">
        <f t="shared" si="0"/>
        <v>620524</v>
      </c>
      <c r="F237" s="62">
        <f t="shared" si="1"/>
        <v>4.761298515448234E-2</v>
      </c>
    </row>
    <row r="238" spans="1:26" ht="13.2" x14ac:dyDescent="0.25">
      <c r="A238" s="60">
        <v>237</v>
      </c>
      <c r="B238" s="61">
        <v>44153</v>
      </c>
      <c r="C238" s="60">
        <v>29545</v>
      </c>
      <c r="D238" s="60">
        <v>591079</v>
      </c>
      <c r="E238" s="60">
        <f t="shared" si="0"/>
        <v>620624</v>
      </c>
      <c r="F238" s="62">
        <f t="shared" si="1"/>
        <v>4.7605313362035627E-2</v>
      </c>
    </row>
    <row r="239" spans="1:26" ht="13.2" x14ac:dyDescent="0.25">
      <c r="A239" s="65">
        <v>238</v>
      </c>
      <c r="B239" s="61">
        <v>44154</v>
      </c>
      <c r="C239" s="65">
        <v>29545</v>
      </c>
      <c r="D239" s="65">
        <v>591179</v>
      </c>
      <c r="E239" s="60">
        <f t="shared" si="0"/>
        <v>620724</v>
      </c>
      <c r="F239" s="62">
        <f t="shared" si="1"/>
        <v>4.7597644041474152E-2</v>
      </c>
    </row>
    <row r="240" spans="1:26" ht="13.2" x14ac:dyDescent="0.25">
      <c r="A240" s="60">
        <v>239</v>
      </c>
      <c r="B240" s="61">
        <v>44155</v>
      </c>
      <c r="C240" s="60">
        <v>29545</v>
      </c>
      <c r="D240" s="60">
        <v>591279</v>
      </c>
      <c r="E240" s="60">
        <f t="shared" si="0"/>
        <v>620824</v>
      </c>
      <c r="F240" s="62">
        <f t="shared" si="1"/>
        <v>4.7589977191603419E-2</v>
      </c>
    </row>
    <row r="241" spans="1:6" ht="13.2" x14ac:dyDescent="0.25">
      <c r="A241" s="65">
        <v>240</v>
      </c>
      <c r="B241" s="61">
        <v>44156</v>
      </c>
      <c r="C241" s="65">
        <v>29545</v>
      </c>
      <c r="D241" s="65">
        <v>591379</v>
      </c>
      <c r="E241" s="60">
        <f t="shared" si="0"/>
        <v>620924</v>
      </c>
      <c r="F241" s="62">
        <f t="shared" si="1"/>
        <v>4.7582312811229717E-2</v>
      </c>
    </row>
    <row r="242" spans="1:6" ht="13.2" x14ac:dyDescent="0.25">
      <c r="A242" s="60">
        <v>241</v>
      </c>
      <c r="B242" s="61">
        <v>44157</v>
      </c>
      <c r="C242" s="60">
        <v>29545</v>
      </c>
      <c r="D242" s="60">
        <v>591479</v>
      </c>
      <c r="E242" s="60">
        <f t="shared" si="0"/>
        <v>621024</v>
      </c>
      <c r="F242" s="62">
        <f t="shared" si="1"/>
        <v>4.7574650899160097E-2</v>
      </c>
    </row>
    <row r="243" spans="1:6" ht="13.2" x14ac:dyDescent="0.25">
      <c r="A243" s="65">
        <v>242</v>
      </c>
      <c r="B243" s="61">
        <v>44158</v>
      </c>
      <c r="C243" s="65">
        <v>29690</v>
      </c>
      <c r="D243" s="65">
        <v>591925</v>
      </c>
      <c r="E243" s="60">
        <f t="shared" si="0"/>
        <v>621615</v>
      </c>
      <c r="F243" s="62">
        <f t="shared" si="1"/>
        <v>4.7762682689446043E-2</v>
      </c>
    </row>
    <row r="244" spans="1:6" ht="13.2" x14ac:dyDescent="0.25">
      <c r="A244" s="60">
        <v>243</v>
      </c>
      <c r="B244" s="61">
        <v>44159</v>
      </c>
      <c r="C244" s="60">
        <v>31049</v>
      </c>
      <c r="D244" s="60">
        <v>597933</v>
      </c>
      <c r="E244" s="60">
        <f t="shared" si="0"/>
        <v>628982</v>
      </c>
      <c r="F244" s="62">
        <f t="shared" si="1"/>
        <v>4.9363892766406667E-2</v>
      </c>
    </row>
    <row r="245" spans="1:6" ht="13.2" x14ac:dyDescent="0.25">
      <c r="A245" s="60">
        <v>244</v>
      </c>
      <c r="B245" s="61">
        <v>44160</v>
      </c>
      <c r="C245" s="60">
        <v>31049</v>
      </c>
      <c r="D245" s="60">
        <v>597933</v>
      </c>
      <c r="E245" s="60">
        <f t="shared" si="0"/>
        <v>628982</v>
      </c>
      <c r="F245" s="62">
        <f t="shared" si="1"/>
        <v>4.9363892766406667E-2</v>
      </c>
    </row>
    <row r="246" spans="1:6" ht="13.2" x14ac:dyDescent="0.25">
      <c r="A246" s="65">
        <v>245</v>
      </c>
      <c r="B246" s="61">
        <v>44161</v>
      </c>
      <c r="C246" s="65">
        <v>31072</v>
      </c>
      <c r="D246" s="65">
        <v>598070</v>
      </c>
      <c r="E246" s="60">
        <f t="shared" si="0"/>
        <v>629142</v>
      </c>
      <c r="F246" s="62">
        <f t="shared" si="1"/>
        <v>4.9387896532102453E-2</v>
      </c>
    </row>
    <row r="247" spans="1:6" ht="13.2" x14ac:dyDescent="0.25">
      <c r="A247" s="65">
        <v>246</v>
      </c>
      <c r="B247" s="61">
        <v>44162</v>
      </c>
      <c r="C247" s="65">
        <v>31072</v>
      </c>
      <c r="D247" s="65">
        <v>598170</v>
      </c>
      <c r="E247" s="60">
        <f t="shared" si="0"/>
        <v>629242</v>
      </c>
      <c r="F247" s="62">
        <f t="shared" si="1"/>
        <v>4.9380047739979213E-2</v>
      </c>
    </row>
    <row r="248" spans="1:6" ht="13.2" x14ac:dyDescent="0.25">
      <c r="A248" s="60">
        <v>247</v>
      </c>
      <c r="B248" s="61">
        <v>44163</v>
      </c>
      <c r="C248" s="60">
        <v>31072</v>
      </c>
      <c r="D248" s="60">
        <v>598270</v>
      </c>
      <c r="E248" s="60">
        <f t="shared" si="0"/>
        <v>629342</v>
      </c>
      <c r="F248" s="62">
        <f t="shared" si="1"/>
        <v>4.9372201442141155E-2</v>
      </c>
    </row>
    <row r="249" spans="1:6" ht="13.2" x14ac:dyDescent="0.25">
      <c r="A249" s="65">
        <v>248</v>
      </c>
      <c r="B249" s="61">
        <v>44164</v>
      </c>
      <c r="C249" s="60">
        <v>31072</v>
      </c>
      <c r="D249" s="60">
        <v>598370</v>
      </c>
      <c r="E249" s="60">
        <f t="shared" si="0"/>
        <v>629442</v>
      </c>
      <c r="F249" s="62">
        <f t="shared" si="1"/>
        <v>4.9364357637399471E-2</v>
      </c>
    </row>
    <row r="250" spans="1:6" ht="13.2" x14ac:dyDescent="0.25">
      <c r="A250" s="60">
        <v>249</v>
      </c>
      <c r="B250" s="61">
        <v>44165</v>
      </c>
      <c r="C250" s="60">
        <v>31072</v>
      </c>
      <c r="D250" s="60">
        <v>598470</v>
      </c>
      <c r="E250" s="60">
        <f t="shared" si="0"/>
        <v>629542</v>
      </c>
      <c r="F250" s="62">
        <f t="shared" si="1"/>
        <v>4.9356516324566113E-2</v>
      </c>
    </row>
    <row r="251" spans="1:6" ht="13.2" x14ac:dyDescent="0.25">
      <c r="A251" s="60">
        <v>250</v>
      </c>
      <c r="B251" s="61">
        <v>44166</v>
      </c>
      <c r="C251" s="60">
        <v>31072</v>
      </c>
      <c r="D251" s="60">
        <v>598570</v>
      </c>
      <c r="E251" s="60">
        <f t="shared" si="0"/>
        <v>629642</v>
      </c>
      <c r="F251" s="62">
        <f t="shared" si="1"/>
        <v>4.9348677502453774E-2</v>
      </c>
    </row>
    <row r="252" spans="1:6" ht="13.2" x14ac:dyDescent="0.25">
      <c r="A252" s="60">
        <v>251</v>
      </c>
      <c r="B252" s="61">
        <v>44167</v>
      </c>
      <c r="C252" s="60">
        <v>31072</v>
      </c>
      <c r="D252" s="60">
        <v>598670</v>
      </c>
      <c r="E252" s="60">
        <f t="shared" si="0"/>
        <v>629742</v>
      </c>
      <c r="F252" s="62">
        <f t="shared" si="1"/>
        <v>4.9340841169875915E-2</v>
      </c>
    </row>
    <row r="253" spans="1:6" ht="13.2" x14ac:dyDescent="0.25">
      <c r="A253" s="65">
        <v>252</v>
      </c>
      <c r="B253" s="61">
        <v>44168</v>
      </c>
      <c r="C253" s="65">
        <v>32351</v>
      </c>
      <c r="D253" s="65">
        <v>607588</v>
      </c>
      <c r="E253" s="60">
        <f t="shared" si="0"/>
        <v>639939</v>
      </c>
      <c r="F253" s="62">
        <f t="shared" si="1"/>
        <v>5.0553255857198887E-2</v>
      </c>
    </row>
    <row r="254" spans="1:6" ht="13.2" x14ac:dyDescent="0.25">
      <c r="A254" s="65">
        <v>253</v>
      </c>
      <c r="B254" s="61">
        <v>44169</v>
      </c>
      <c r="C254" s="65">
        <v>32351</v>
      </c>
      <c r="D254" s="65">
        <v>607638</v>
      </c>
      <c r="E254" s="60">
        <f t="shared" si="0"/>
        <v>639989</v>
      </c>
      <c r="F254" s="62">
        <f t="shared" si="1"/>
        <v>5.054930631620231E-2</v>
      </c>
    </row>
    <row r="255" spans="1:6" ht="13.2" x14ac:dyDescent="0.25">
      <c r="A255" s="60">
        <v>254</v>
      </c>
      <c r="B255" s="61">
        <v>44170</v>
      </c>
      <c r="C255" s="60">
        <v>32351</v>
      </c>
      <c r="D255" s="60">
        <v>607738</v>
      </c>
      <c r="E255" s="60">
        <f t="shared" si="0"/>
        <v>640089</v>
      </c>
      <c r="F255" s="62">
        <f t="shared" si="1"/>
        <v>5.0541409085299076E-2</v>
      </c>
    </row>
    <row r="256" spans="1:6" ht="13.2" x14ac:dyDescent="0.25">
      <c r="A256" s="65">
        <v>255</v>
      </c>
      <c r="B256" s="61">
        <v>44171</v>
      </c>
      <c r="C256" s="60">
        <v>32351</v>
      </c>
      <c r="D256" s="60">
        <v>607838</v>
      </c>
      <c r="E256" s="60">
        <f t="shared" si="0"/>
        <v>640189</v>
      </c>
      <c r="F256" s="62">
        <f t="shared" si="1"/>
        <v>5.0533514321551919E-2</v>
      </c>
    </row>
    <row r="257" spans="1:6" ht="13.2" x14ac:dyDescent="0.25">
      <c r="A257" s="60">
        <v>256</v>
      </c>
      <c r="B257" s="61">
        <v>44172</v>
      </c>
      <c r="C257" s="60">
        <v>32351</v>
      </c>
      <c r="D257" s="60">
        <v>607938</v>
      </c>
      <c r="E257" s="60">
        <f t="shared" si="0"/>
        <v>640289</v>
      </c>
      <c r="F257" s="62">
        <f t="shared" si="1"/>
        <v>5.0525622023804874E-2</v>
      </c>
    </row>
    <row r="258" spans="1:6" ht="13.2" x14ac:dyDescent="0.25">
      <c r="A258" s="65">
        <v>257</v>
      </c>
      <c r="B258" s="61">
        <v>44173</v>
      </c>
      <c r="C258" s="65">
        <v>32351</v>
      </c>
      <c r="D258" s="65">
        <v>608038</v>
      </c>
      <c r="E258" s="60">
        <f t="shared" si="0"/>
        <v>640389</v>
      </c>
      <c r="F258" s="62">
        <f t="shared" si="1"/>
        <v>5.051773219090272E-2</v>
      </c>
    </row>
    <row r="259" spans="1:6" ht="13.2" x14ac:dyDescent="0.25">
      <c r="A259" s="60">
        <v>258</v>
      </c>
      <c r="B259" s="61">
        <v>44174</v>
      </c>
      <c r="C259" s="60">
        <v>32411</v>
      </c>
      <c r="D259" s="65">
        <v>608278</v>
      </c>
      <c r="E259" s="60">
        <f t="shared" si="0"/>
        <v>640689</v>
      </c>
      <c r="F259" s="62">
        <f t="shared" si="1"/>
        <v>5.0587726650527791E-2</v>
      </c>
    </row>
    <row r="260" spans="1:6" ht="13.2" x14ac:dyDescent="0.25">
      <c r="A260" s="65">
        <v>259</v>
      </c>
      <c r="B260" s="61">
        <v>44175</v>
      </c>
      <c r="C260" s="65">
        <v>32424</v>
      </c>
      <c r="D260" s="65">
        <v>608047</v>
      </c>
      <c r="E260" s="60">
        <f t="shared" si="0"/>
        <v>640471</v>
      </c>
      <c r="F260" s="62">
        <f t="shared" si="1"/>
        <v>5.062524298524055E-2</v>
      </c>
    </row>
    <row r="261" spans="1:6" ht="13.2" x14ac:dyDescent="0.25">
      <c r="A261" s="60">
        <v>260</v>
      </c>
      <c r="B261" s="61">
        <v>44176</v>
      </c>
      <c r="C261" s="60">
        <v>32424</v>
      </c>
      <c r="D261" s="65">
        <v>608147</v>
      </c>
      <c r="E261" s="60">
        <f t="shared" si="0"/>
        <v>640571</v>
      </c>
      <c r="F261" s="62">
        <f t="shared" si="1"/>
        <v>5.0617339842109615E-2</v>
      </c>
    </row>
    <row r="262" spans="1:6" ht="13.2" x14ac:dyDescent="0.25">
      <c r="A262" s="65">
        <v>261</v>
      </c>
      <c r="B262" s="61">
        <v>44177</v>
      </c>
      <c r="C262" s="65">
        <v>32424</v>
      </c>
      <c r="D262" s="65">
        <v>608247</v>
      </c>
      <c r="E262" s="60">
        <f t="shared" si="0"/>
        <v>640671</v>
      </c>
      <c r="F262" s="62">
        <f t="shared" si="1"/>
        <v>5.0609439166124266E-2</v>
      </c>
    </row>
    <row r="263" spans="1:6" ht="13.2" x14ac:dyDescent="0.25">
      <c r="A263" s="60">
        <v>262</v>
      </c>
      <c r="B263" s="61">
        <v>44178</v>
      </c>
      <c r="C263" s="60">
        <v>32424</v>
      </c>
      <c r="D263" s="65">
        <v>608665</v>
      </c>
      <c r="E263" s="60">
        <f t="shared" si="0"/>
        <v>641089</v>
      </c>
      <c r="F263" s="62">
        <f t="shared" si="1"/>
        <v>5.0576441024569131E-2</v>
      </c>
    </row>
    <row r="264" spans="1:6" ht="13.2" x14ac:dyDescent="0.25">
      <c r="A264" s="65">
        <v>263</v>
      </c>
      <c r="B264" s="61">
        <v>44179</v>
      </c>
      <c r="C264" s="60">
        <v>32424</v>
      </c>
      <c r="D264" s="65">
        <v>608765</v>
      </c>
      <c r="E264" s="60">
        <f t="shared" si="0"/>
        <v>641189</v>
      </c>
      <c r="F264" s="62">
        <f t="shared" si="1"/>
        <v>5.0568553109925467E-2</v>
      </c>
    </row>
    <row r="265" spans="1:6" ht="13.2" x14ac:dyDescent="0.25">
      <c r="A265" s="60">
        <v>264</v>
      </c>
      <c r="B265" s="61">
        <v>44180</v>
      </c>
      <c r="C265" s="60">
        <v>32424</v>
      </c>
      <c r="D265" s="65">
        <v>608865</v>
      </c>
      <c r="E265" s="60">
        <f t="shared" si="0"/>
        <v>641289</v>
      </c>
      <c r="F265" s="62">
        <f t="shared" si="1"/>
        <v>5.0560667655300498E-2</v>
      </c>
    </row>
    <row r="266" spans="1:6" ht="13.2" x14ac:dyDescent="0.25">
      <c r="A266" s="65">
        <v>265</v>
      </c>
      <c r="B266" s="61">
        <v>44181</v>
      </c>
      <c r="C266" s="60">
        <v>32527</v>
      </c>
      <c r="D266" s="65">
        <v>608929</v>
      </c>
      <c r="E266" s="60">
        <f t="shared" si="0"/>
        <v>641456</v>
      </c>
      <c r="F266" s="62">
        <f t="shared" si="1"/>
        <v>5.0708076625676585E-2</v>
      </c>
    </row>
    <row r="267" spans="1:6" ht="13.2" x14ac:dyDescent="0.25">
      <c r="A267" s="60">
        <v>266</v>
      </c>
      <c r="B267" s="61">
        <v>44182</v>
      </c>
      <c r="C267" s="60">
        <v>32527</v>
      </c>
      <c r="D267" s="65">
        <v>608979</v>
      </c>
      <c r="E267" s="60">
        <f t="shared" si="0"/>
        <v>641506</v>
      </c>
      <c r="F267" s="62">
        <f t="shared" si="1"/>
        <v>5.0704124357371559E-2</v>
      </c>
    </row>
    <row r="268" spans="1:6" ht="13.2" x14ac:dyDescent="0.25">
      <c r="A268" s="65">
        <v>267</v>
      </c>
      <c r="B268" s="61">
        <v>44183</v>
      </c>
      <c r="C268" s="60">
        <v>32527</v>
      </c>
      <c r="D268" s="65">
        <v>609079</v>
      </c>
      <c r="E268" s="60">
        <f t="shared" si="0"/>
        <v>641606</v>
      </c>
      <c r="F268" s="62">
        <f t="shared" si="1"/>
        <v>5.0696221668749979E-2</v>
      </c>
    </row>
    <row r="269" spans="1:6" ht="13.2" x14ac:dyDescent="0.25">
      <c r="A269" s="60">
        <v>268</v>
      </c>
      <c r="B269" s="61">
        <v>44184</v>
      </c>
      <c r="C269" s="60">
        <v>32527</v>
      </c>
      <c r="D269" s="65">
        <v>609179</v>
      </c>
      <c r="E269" s="60">
        <f t="shared" si="0"/>
        <v>641706</v>
      </c>
      <c r="F269" s="62">
        <f t="shared" si="1"/>
        <v>5.0688321443153092E-2</v>
      </c>
    </row>
    <row r="270" spans="1:6" ht="13.2" x14ac:dyDescent="0.25">
      <c r="A270" s="65">
        <v>269</v>
      </c>
      <c r="B270" s="61">
        <v>44185</v>
      </c>
      <c r="C270" s="60">
        <v>32527</v>
      </c>
      <c r="D270" s="65">
        <v>609279</v>
      </c>
      <c r="E270" s="60">
        <f t="shared" si="0"/>
        <v>641806</v>
      </c>
      <c r="F270" s="62">
        <f t="shared" si="1"/>
        <v>5.0680423679429612E-2</v>
      </c>
    </row>
    <row r="271" spans="1:6" ht="13.2" x14ac:dyDescent="0.25">
      <c r="A271" s="60">
        <v>270</v>
      </c>
      <c r="B271" s="61">
        <v>44186</v>
      </c>
      <c r="C271" s="60">
        <v>33190</v>
      </c>
      <c r="D271" s="65">
        <v>616946</v>
      </c>
      <c r="E271" s="60">
        <f t="shared" si="0"/>
        <v>650136</v>
      </c>
      <c r="F271" s="62">
        <f t="shared" si="1"/>
        <v>5.1050857051447698E-2</v>
      </c>
    </row>
    <row r="272" spans="1:6" ht="13.2" x14ac:dyDescent="0.25">
      <c r="A272" s="65">
        <v>271</v>
      </c>
      <c r="B272" s="61">
        <v>44187</v>
      </c>
      <c r="C272" s="60">
        <v>33190</v>
      </c>
      <c r="D272" s="65">
        <v>617046</v>
      </c>
      <c r="E272" s="60">
        <f t="shared" si="0"/>
        <v>650236</v>
      </c>
      <c r="F272" s="62">
        <f t="shared" si="1"/>
        <v>5.1043005924002981E-2</v>
      </c>
    </row>
    <row r="273" spans="1:6" ht="13.2" x14ac:dyDescent="0.25">
      <c r="A273" s="60">
        <v>272</v>
      </c>
      <c r="B273" s="61">
        <v>44188</v>
      </c>
      <c r="C273" s="60">
        <v>33190</v>
      </c>
      <c r="D273" s="65">
        <v>617146</v>
      </c>
      <c r="E273" s="60">
        <f t="shared" si="0"/>
        <v>650336</v>
      </c>
      <c r="F273" s="62">
        <f t="shared" si="1"/>
        <v>5.1035157211041675E-2</v>
      </c>
    </row>
    <row r="274" spans="1:6" ht="13.2" x14ac:dyDescent="0.25">
      <c r="A274" s="65">
        <v>273</v>
      </c>
      <c r="B274" s="61">
        <v>44189</v>
      </c>
      <c r="C274" s="60">
        <v>33190</v>
      </c>
      <c r="D274" s="65">
        <v>617256</v>
      </c>
      <c r="E274" s="60">
        <f t="shared" si="0"/>
        <v>650446</v>
      </c>
      <c r="F274" s="62">
        <f t="shared" si="1"/>
        <v>5.1026526414183496E-2</v>
      </c>
    </row>
    <row r="275" spans="1:6" ht="13.2" x14ac:dyDescent="0.25">
      <c r="A275" s="60">
        <v>274</v>
      </c>
      <c r="B275" s="61">
        <v>44190</v>
      </c>
      <c r="C275" s="60">
        <v>33190</v>
      </c>
      <c r="D275" s="65">
        <v>617356</v>
      </c>
      <c r="E275" s="60">
        <f t="shared" si="0"/>
        <v>650546</v>
      </c>
      <c r="F275" s="62">
        <f t="shared" si="1"/>
        <v>5.1018682768013329E-2</v>
      </c>
    </row>
    <row r="276" spans="1:6" ht="13.2" x14ac:dyDescent="0.25">
      <c r="A276" s="65">
        <v>275</v>
      </c>
      <c r="B276" s="61">
        <v>44191</v>
      </c>
      <c r="C276" s="60">
        <v>33190</v>
      </c>
      <c r="D276" s="65">
        <v>617456</v>
      </c>
      <c r="E276" s="60">
        <f t="shared" si="0"/>
        <v>650646</v>
      </c>
      <c r="F276" s="62">
        <f t="shared" si="1"/>
        <v>5.1010841532876557E-2</v>
      </c>
    </row>
    <row r="277" spans="1:6" ht="13.2" x14ac:dyDescent="0.25">
      <c r="A277" s="60">
        <v>276</v>
      </c>
      <c r="B277" s="61">
        <v>44192</v>
      </c>
      <c r="C277" s="60">
        <v>33190</v>
      </c>
      <c r="D277" s="65">
        <v>617556</v>
      </c>
      <c r="E277" s="60">
        <f t="shared" si="0"/>
        <v>650746</v>
      </c>
      <c r="F277" s="62">
        <f t="shared" si="1"/>
        <v>5.1003002707661671E-2</v>
      </c>
    </row>
    <row r="278" spans="1:6" ht="13.2" x14ac:dyDescent="0.25">
      <c r="A278" s="65">
        <v>277</v>
      </c>
      <c r="B278" s="61">
        <v>44193</v>
      </c>
      <c r="C278" s="60">
        <v>33239</v>
      </c>
      <c r="D278" s="65">
        <v>617766</v>
      </c>
      <c r="E278" s="60">
        <f t="shared" si="0"/>
        <v>651005</v>
      </c>
      <c r="F278" s="62">
        <f t="shared" si="1"/>
        <v>5.1057979585410251E-2</v>
      </c>
    </row>
    <row r="279" spans="1:6" ht="13.2" x14ac:dyDescent="0.25">
      <c r="A279" s="60">
        <v>278</v>
      </c>
      <c r="B279" s="61">
        <v>44194</v>
      </c>
      <c r="C279" s="60">
        <v>33239</v>
      </c>
      <c r="D279" s="65">
        <v>617866</v>
      </c>
      <c r="E279" s="60">
        <f t="shared" si="0"/>
        <v>651105</v>
      </c>
      <c r="F279" s="62">
        <f t="shared" si="1"/>
        <v>5.1050137842590673E-2</v>
      </c>
    </row>
    <row r="280" spans="1:6" ht="13.2" x14ac:dyDescent="0.25">
      <c r="A280" s="65">
        <v>279</v>
      </c>
      <c r="B280" s="61">
        <v>44195</v>
      </c>
      <c r="C280" s="60">
        <v>33239</v>
      </c>
      <c r="D280" s="65">
        <v>617966</v>
      </c>
      <c r="E280" s="60">
        <f t="shared" si="0"/>
        <v>651205</v>
      </c>
      <c r="F280" s="62">
        <f t="shared" si="1"/>
        <v>5.1042298508150279E-2</v>
      </c>
    </row>
    <row r="281" spans="1:6" ht="13.2" x14ac:dyDescent="0.25">
      <c r="A281" s="60">
        <v>280</v>
      </c>
      <c r="B281" s="61">
        <v>44196</v>
      </c>
      <c r="C281" s="60">
        <v>33239</v>
      </c>
      <c r="D281" s="65">
        <v>618066</v>
      </c>
      <c r="E281" s="60">
        <f t="shared" si="0"/>
        <v>651305</v>
      </c>
      <c r="F281" s="62">
        <f t="shared" si="1"/>
        <v>5.1034461580979726E-2</v>
      </c>
    </row>
    <row r="282" spans="1:6" ht="13.2" x14ac:dyDescent="0.25">
      <c r="A282" s="65">
        <v>281</v>
      </c>
      <c r="B282" s="61">
        <v>44197</v>
      </c>
      <c r="C282" s="60">
        <v>33239</v>
      </c>
      <c r="D282" s="65">
        <v>618166</v>
      </c>
      <c r="E282" s="60">
        <f t="shared" si="0"/>
        <v>651405</v>
      </c>
      <c r="F282" s="62">
        <f t="shared" si="1"/>
        <v>5.1026627059970374E-2</v>
      </c>
    </row>
    <row r="283" spans="1:6" ht="13.2" x14ac:dyDescent="0.25">
      <c r="A283" s="60">
        <v>282</v>
      </c>
      <c r="B283" s="61">
        <v>44198</v>
      </c>
      <c r="C283" s="60">
        <v>33239</v>
      </c>
      <c r="D283" s="65">
        <v>618266</v>
      </c>
      <c r="E283" s="60">
        <f t="shared" si="0"/>
        <v>651505</v>
      </c>
      <c r="F283" s="62">
        <f t="shared" si="1"/>
        <v>5.1018794944014241E-2</v>
      </c>
    </row>
    <row r="284" spans="1:6" ht="13.2" x14ac:dyDescent="0.25">
      <c r="A284" s="65">
        <v>283</v>
      </c>
      <c r="B284" s="61">
        <v>44199</v>
      </c>
      <c r="C284" s="60">
        <v>33239</v>
      </c>
      <c r="D284" s="65">
        <v>618366</v>
      </c>
      <c r="E284" s="60">
        <f t="shared" si="0"/>
        <v>651605</v>
      </c>
      <c r="F284" s="62">
        <f t="shared" si="1"/>
        <v>5.1010965232004053E-2</v>
      </c>
    </row>
    <row r="285" spans="1:6" ht="13.2" x14ac:dyDescent="0.25">
      <c r="A285" s="60">
        <v>284</v>
      </c>
      <c r="B285" s="61">
        <v>44200</v>
      </c>
      <c r="C285" s="60">
        <v>33239</v>
      </c>
      <c r="D285" s="65">
        <v>618466</v>
      </c>
      <c r="E285" s="60">
        <f t="shared" si="0"/>
        <v>651705</v>
      </c>
      <c r="F285" s="62">
        <f t="shared" si="1"/>
        <v>5.1003137922833182E-2</v>
      </c>
    </row>
    <row r="286" spans="1:6" ht="13.2" x14ac:dyDescent="0.25">
      <c r="A286" s="65">
        <v>285</v>
      </c>
      <c r="B286" s="61">
        <v>44201</v>
      </c>
      <c r="C286" s="60">
        <v>37852</v>
      </c>
      <c r="D286" s="65">
        <v>675591</v>
      </c>
      <c r="E286" s="60">
        <f t="shared" si="0"/>
        <v>713443</v>
      </c>
      <c r="F286" s="62">
        <f t="shared" si="1"/>
        <v>5.305539475473163E-2</v>
      </c>
    </row>
    <row r="287" spans="1:6" ht="13.2" x14ac:dyDescent="0.25">
      <c r="A287" s="60">
        <v>286</v>
      </c>
      <c r="B287" s="61">
        <v>44202</v>
      </c>
      <c r="C287" s="60">
        <v>37852</v>
      </c>
      <c r="D287" s="65">
        <v>675591</v>
      </c>
      <c r="E287" s="60">
        <f t="shared" si="0"/>
        <v>713443</v>
      </c>
      <c r="F287" s="62">
        <f t="shared" si="1"/>
        <v>5.305539475473163E-2</v>
      </c>
    </row>
    <row r="288" spans="1:6" ht="13.2" x14ac:dyDescent="0.25">
      <c r="A288" s="65">
        <v>287</v>
      </c>
      <c r="B288" s="61">
        <v>44203</v>
      </c>
      <c r="C288" s="60">
        <v>37852</v>
      </c>
      <c r="D288" s="65">
        <v>675591</v>
      </c>
      <c r="E288" s="60">
        <f t="shared" si="0"/>
        <v>713443</v>
      </c>
      <c r="F288" s="62">
        <f t="shared" si="1"/>
        <v>5.305539475473163E-2</v>
      </c>
    </row>
    <row r="289" spans="1:6" ht="13.2" x14ac:dyDescent="0.25">
      <c r="A289" s="60">
        <v>288</v>
      </c>
      <c r="B289" s="61">
        <v>44204</v>
      </c>
      <c r="C289" s="60">
        <v>37852</v>
      </c>
      <c r="D289" s="65">
        <v>675591</v>
      </c>
      <c r="E289" s="60">
        <f t="shared" si="0"/>
        <v>713443</v>
      </c>
      <c r="F289" s="62">
        <f t="shared" si="1"/>
        <v>5.305539475473163E-2</v>
      </c>
    </row>
    <row r="290" spans="1:6" ht="13.2" x14ac:dyDescent="0.25">
      <c r="A290" s="65">
        <v>289</v>
      </c>
      <c r="B290" s="61">
        <v>44205</v>
      </c>
      <c r="C290" s="60">
        <v>37852</v>
      </c>
      <c r="D290" s="65">
        <v>675591</v>
      </c>
      <c r="E290" s="60">
        <f t="shared" si="0"/>
        <v>713443</v>
      </c>
      <c r="F290" s="62">
        <f t="shared" si="1"/>
        <v>5.305539475473163E-2</v>
      </c>
    </row>
    <row r="291" spans="1:6" ht="13.2" x14ac:dyDescent="0.25">
      <c r="A291" s="60">
        <v>290</v>
      </c>
      <c r="B291" s="61">
        <v>44206</v>
      </c>
      <c r="C291" s="60">
        <v>37852</v>
      </c>
      <c r="D291" s="65">
        <v>675591</v>
      </c>
      <c r="E291" s="60">
        <f t="shared" si="0"/>
        <v>713443</v>
      </c>
      <c r="F291" s="62">
        <f t="shared" si="1"/>
        <v>5.305539475473163E-2</v>
      </c>
    </row>
    <row r="292" spans="1:6" ht="13.2" x14ac:dyDescent="0.25">
      <c r="A292" s="65">
        <v>291</v>
      </c>
      <c r="B292" s="61">
        <v>44207</v>
      </c>
      <c r="C292" s="60">
        <v>37852</v>
      </c>
      <c r="D292" s="65">
        <v>675591</v>
      </c>
      <c r="E292" s="60">
        <f t="shared" si="0"/>
        <v>713443</v>
      </c>
      <c r="F292" s="62">
        <f t="shared" si="1"/>
        <v>5.305539475473163E-2</v>
      </c>
    </row>
    <row r="293" spans="1:6" ht="13.2" x14ac:dyDescent="0.25">
      <c r="A293" s="60">
        <v>292</v>
      </c>
      <c r="B293" s="61">
        <v>44208</v>
      </c>
      <c r="C293" s="60">
        <v>37852</v>
      </c>
      <c r="D293" s="65">
        <v>675591</v>
      </c>
      <c r="E293" s="60">
        <f t="shared" si="0"/>
        <v>713443</v>
      </c>
      <c r="F293" s="62">
        <f t="shared" si="1"/>
        <v>5.305539475473163E-2</v>
      </c>
    </row>
    <row r="294" spans="1:6" ht="13.2" x14ac:dyDescent="0.25">
      <c r="A294" s="65">
        <v>293</v>
      </c>
      <c r="B294" s="61">
        <v>44209</v>
      </c>
      <c r="C294" s="60">
        <v>37852</v>
      </c>
      <c r="D294" s="65">
        <v>675591</v>
      </c>
      <c r="E294" s="60">
        <f t="shared" si="0"/>
        <v>713443</v>
      </c>
      <c r="F294" s="62">
        <f t="shared" si="1"/>
        <v>5.305539475473163E-2</v>
      </c>
    </row>
    <row r="295" spans="1:6" ht="13.2" x14ac:dyDescent="0.25">
      <c r="A295" s="60">
        <v>294</v>
      </c>
      <c r="B295" s="61">
        <v>44210</v>
      </c>
      <c r="C295" s="60">
        <v>37852</v>
      </c>
      <c r="D295" s="65">
        <v>675591</v>
      </c>
      <c r="E295" s="60">
        <f t="shared" si="0"/>
        <v>713443</v>
      </c>
      <c r="F295" s="62">
        <f t="shared" si="1"/>
        <v>5.305539475473163E-2</v>
      </c>
    </row>
    <row r="296" spans="1:6" ht="13.2" x14ac:dyDescent="0.25">
      <c r="A296" s="65">
        <v>295</v>
      </c>
      <c r="B296" s="61">
        <v>44211</v>
      </c>
      <c r="C296" s="60">
        <v>37852</v>
      </c>
      <c r="D296" s="65">
        <v>675591</v>
      </c>
      <c r="E296" s="60">
        <f t="shared" si="0"/>
        <v>713443</v>
      </c>
      <c r="F296" s="62">
        <f t="shared" si="1"/>
        <v>5.305539475473163E-2</v>
      </c>
    </row>
    <row r="297" spans="1:6" ht="13.2" x14ac:dyDescent="0.25">
      <c r="A297" s="60">
        <v>296</v>
      </c>
      <c r="B297" s="61">
        <v>44212</v>
      </c>
      <c r="C297" s="66">
        <v>37852</v>
      </c>
      <c r="D297" s="67">
        <v>675591</v>
      </c>
      <c r="E297" s="60">
        <f t="shared" si="0"/>
        <v>713443</v>
      </c>
      <c r="F297" s="62">
        <f t="shared" si="1"/>
        <v>5.305539475473163E-2</v>
      </c>
    </row>
    <row r="298" spans="1:6" ht="13.2" x14ac:dyDescent="0.25">
      <c r="A298" s="65">
        <v>297</v>
      </c>
      <c r="B298" s="61">
        <v>44213</v>
      </c>
      <c r="C298" s="66">
        <v>37852</v>
      </c>
      <c r="D298" s="67">
        <v>675591</v>
      </c>
      <c r="E298" s="60">
        <f t="shared" si="0"/>
        <v>713443</v>
      </c>
      <c r="F298" s="62">
        <f t="shared" si="1"/>
        <v>5.305539475473163E-2</v>
      </c>
    </row>
    <row r="299" spans="1:6" ht="13.2" x14ac:dyDescent="0.25">
      <c r="A299" s="65">
        <v>298</v>
      </c>
      <c r="B299" s="61">
        <v>44214</v>
      </c>
      <c r="C299" s="66">
        <v>37852</v>
      </c>
      <c r="D299" s="67">
        <v>675591</v>
      </c>
      <c r="E299" s="60">
        <f t="shared" si="0"/>
        <v>713443</v>
      </c>
      <c r="F299" s="62">
        <f t="shared" si="1"/>
        <v>5.305539475473163E-2</v>
      </c>
    </row>
    <row r="300" spans="1:6" ht="13.2" x14ac:dyDescent="0.25">
      <c r="A300" s="60">
        <v>299</v>
      </c>
      <c r="B300" s="61">
        <v>44215</v>
      </c>
      <c r="C300" s="66">
        <v>37852</v>
      </c>
      <c r="D300" s="67">
        <v>675591</v>
      </c>
      <c r="E300" s="60">
        <f t="shared" si="0"/>
        <v>713443</v>
      </c>
      <c r="F300" s="62">
        <f t="shared" si="1"/>
        <v>5.305539475473163E-2</v>
      </c>
    </row>
    <row r="301" spans="1:6" ht="13.2" x14ac:dyDescent="0.25">
      <c r="A301" s="65">
        <v>300</v>
      </c>
      <c r="B301" s="61">
        <v>44216</v>
      </c>
      <c r="C301" s="66">
        <v>37852</v>
      </c>
      <c r="D301" s="67">
        <v>675591</v>
      </c>
      <c r="E301" s="60">
        <f t="shared" si="0"/>
        <v>713443</v>
      </c>
      <c r="F301" s="62">
        <f t="shared" si="1"/>
        <v>5.305539475473163E-2</v>
      </c>
    </row>
    <row r="302" spans="1:6" ht="13.2" x14ac:dyDescent="0.25">
      <c r="A302" s="60">
        <v>301</v>
      </c>
      <c r="B302" s="61">
        <v>44217</v>
      </c>
      <c r="C302" s="66">
        <v>37852</v>
      </c>
      <c r="D302" s="67">
        <v>675591</v>
      </c>
      <c r="E302" s="60">
        <f t="shared" si="0"/>
        <v>713443</v>
      </c>
      <c r="F302" s="62">
        <f t="shared" si="1"/>
        <v>5.305539475473163E-2</v>
      </c>
    </row>
    <row r="303" spans="1:6" ht="13.2" x14ac:dyDescent="0.25">
      <c r="A303" s="60">
        <v>302</v>
      </c>
      <c r="B303" s="61">
        <v>44218</v>
      </c>
      <c r="C303" s="66">
        <v>37852</v>
      </c>
      <c r="D303" s="67">
        <v>675591</v>
      </c>
      <c r="E303" s="60">
        <f t="shared" si="0"/>
        <v>713443</v>
      </c>
      <c r="F303" s="62">
        <f t="shared" si="1"/>
        <v>5.305539475473163E-2</v>
      </c>
    </row>
    <row r="304" spans="1:6" ht="13.2" x14ac:dyDescent="0.25">
      <c r="A304" s="60">
        <v>303</v>
      </c>
      <c r="B304" s="61">
        <v>44219</v>
      </c>
      <c r="C304" s="66">
        <v>37852</v>
      </c>
      <c r="D304" s="67">
        <v>675591</v>
      </c>
      <c r="E304" s="60">
        <f t="shared" si="0"/>
        <v>713443</v>
      </c>
      <c r="F304" s="62">
        <f t="shared" si="1"/>
        <v>5.305539475473163E-2</v>
      </c>
    </row>
    <row r="305" spans="1:6" ht="13.2" x14ac:dyDescent="0.25">
      <c r="A305" s="60">
        <v>304</v>
      </c>
      <c r="B305" s="61">
        <v>44220</v>
      </c>
      <c r="C305" s="66">
        <v>37852</v>
      </c>
      <c r="D305" s="67">
        <v>675591</v>
      </c>
      <c r="E305" s="60">
        <f t="shared" si="0"/>
        <v>713443</v>
      </c>
      <c r="F305" s="62">
        <f t="shared" si="1"/>
        <v>5.305539475473163E-2</v>
      </c>
    </row>
    <row r="306" spans="1:6" ht="13.2" x14ac:dyDescent="0.25">
      <c r="A306" s="60">
        <v>305</v>
      </c>
      <c r="B306" s="61">
        <v>44221</v>
      </c>
      <c r="C306" s="66">
        <v>37852</v>
      </c>
      <c r="D306" s="67">
        <v>675591</v>
      </c>
      <c r="E306" s="60">
        <f t="shared" si="0"/>
        <v>713443</v>
      </c>
      <c r="F306" s="62">
        <f t="shared" si="1"/>
        <v>5.305539475473163E-2</v>
      </c>
    </row>
    <row r="307" spans="1:6" ht="13.2" x14ac:dyDescent="0.25">
      <c r="A307" s="60">
        <v>306</v>
      </c>
      <c r="B307" s="61">
        <v>44222</v>
      </c>
      <c r="C307" s="66">
        <v>37852</v>
      </c>
      <c r="D307" s="67">
        <v>675591</v>
      </c>
      <c r="E307" s="60">
        <f t="shared" si="0"/>
        <v>713443</v>
      </c>
      <c r="F307" s="62">
        <f t="shared" si="1"/>
        <v>5.305539475473163E-2</v>
      </c>
    </row>
    <row r="308" spans="1:6" ht="13.2" x14ac:dyDescent="0.25">
      <c r="A308" s="60">
        <v>307</v>
      </c>
      <c r="B308" s="61">
        <v>44223</v>
      </c>
      <c r="C308" s="66">
        <v>37852</v>
      </c>
      <c r="D308" s="67">
        <v>675591</v>
      </c>
      <c r="E308" s="60">
        <f t="shared" si="0"/>
        <v>713443</v>
      </c>
      <c r="F308" s="62">
        <f t="shared" si="1"/>
        <v>5.305539475473163E-2</v>
      </c>
    </row>
    <row r="309" spans="1:6" ht="13.2" x14ac:dyDescent="0.25">
      <c r="A309" s="60">
        <v>308</v>
      </c>
      <c r="B309" s="61">
        <v>44224</v>
      </c>
      <c r="C309" s="66">
        <v>37852</v>
      </c>
      <c r="D309" s="67">
        <v>675591</v>
      </c>
      <c r="E309" s="60">
        <f t="shared" si="0"/>
        <v>713443</v>
      </c>
      <c r="F309" s="62">
        <f t="shared" si="1"/>
        <v>5.305539475473163E-2</v>
      </c>
    </row>
    <row r="310" spans="1:6" ht="14.4" x14ac:dyDescent="0.3">
      <c r="A310" s="60">
        <v>309</v>
      </c>
      <c r="B310" s="61">
        <v>44225</v>
      </c>
      <c r="C310" s="63">
        <v>37997</v>
      </c>
      <c r="D310" s="63">
        <v>675868</v>
      </c>
      <c r="E310" s="60">
        <f t="shared" si="0"/>
        <v>713865</v>
      </c>
      <c r="F310" s="62">
        <f t="shared" si="1"/>
        <v>5.3227150791816377E-2</v>
      </c>
    </row>
    <row r="311" spans="1:6" ht="14.4" x14ac:dyDescent="0.3">
      <c r="A311" s="60">
        <v>310</v>
      </c>
      <c r="B311" s="61">
        <v>44226</v>
      </c>
      <c r="C311" s="63">
        <v>37997</v>
      </c>
      <c r="D311" s="63">
        <v>675868</v>
      </c>
      <c r="E311" s="60">
        <f t="shared" si="0"/>
        <v>713865</v>
      </c>
      <c r="F311" s="62">
        <f t="shared" si="1"/>
        <v>5.3227150791816377E-2</v>
      </c>
    </row>
    <row r="312" spans="1:6" ht="14.4" x14ac:dyDescent="0.3">
      <c r="A312" s="60">
        <v>311</v>
      </c>
      <c r="B312" s="61">
        <v>44227</v>
      </c>
      <c r="C312" s="63">
        <v>37997</v>
      </c>
      <c r="D312" s="63">
        <v>675868</v>
      </c>
      <c r="E312" s="60">
        <f t="shared" si="0"/>
        <v>713865</v>
      </c>
      <c r="F312" s="62">
        <f t="shared" si="1"/>
        <v>5.3227150791816377E-2</v>
      </c>
    </row>
    <row r="313" spans="1:6" ht="14.4" x14ac:dyDescent="0.3">
      <c r="A313" s="60">
        <v>312</v>
      </c>
      <c r="B313" s="61">
        <v>44228</v>
      </c>
      <c r="C313" s="63">
        <v>37997</v>
      </c>
      <c r="D313" s="63">
        <v>675868</v>
      </c>
      <c r="E313" s="60">
        <f t="shared" si="0"/>
        <v>713865</v>
      </c>
      <c r="F313" s="62">
        <f t="shared" si="1"/>
        <v>5.3227150791816377E-2</v>
      </c>
    </row>
    <row r="314" spans="1:6" ht="14.4" x14ac:dyDescent="0.3">
      <c r="A314" s="60">
        <v>313</v>
      </c>
      <c r="B314" s="61">
        <v>44229</v>
      </c>
      <c r="C314" s="63">
        <v>38223</v>
      </c>
      <c r="D314" s="63">
        <v>676487</v>
      </c>
      <c r="E314" s="60">
        <f t="shared" si="0"/>
        <v>714710</v>
      </c>
      <c r="F314" s="62">
        <f t="shared" si="1"/>
        <v>5.3480432623021927E-2</v>
      </c>
    </row>
    <row r="315" spans="1:6" ht="14.4" x14ac:dyDescent="0.3">
      <c r="A315" s="60">
        <v>314</v>
      </c>
      <c r="B315" s="61">
        <v>44230</v>
      </c>
      <c r="C315" s="63">
        <v>38223</v>
      </c>
      <c r="D315" s="63">
        <v>676487</v>
      </c>
      <c r="E315" s="60">
        <f t="shared" si="0"/>
        <v>714710</v>
      </c>
      <c r="F315" s="62">
        <f t="shared" si="1"/>
        <v>5.3480432623021927E-2</v>
      </c>
    </row>
    <row r="316" spans="1:6" ht="14.4" x14ac:dyDescent="0.3">
      <c r="A316" s="60">
        <v>315</v>
      </c>
      <c r="B316" s="61">
        <v>44231</v>
      </c>
      <c r="C316" s="63">
        <v>38223</v>
      </c>
      <c r="D316" s="63">
        <v>676487</v>
      </c>
      <c r="E316" s="60">
        <f t="shared" si="0"/>
        <v>714710</v>
      </c>
      <c r="F316" s="62">
        <f t="shared" si="1"/>
        <v>5.3480432623021927E-2</v>
      </c>
    </row>
    <row r="317" spans="1:6" ht="14.4" x14ac:dyDescent="0.3">
      <c r="A317" s="60">
        <v>316</v>
      </c>
      <c r="B317" s="61">
        <v>44232</v>
      </c>
      <c r="C317" s="63">
        <v>38223</v>
      </c>
      <c r="D317" s="63">
        <v>676487</v>
      </c>
      <c r="E317" s="60">
        <f t="shared" si="0"/>
        <v>714710</v>
      </c>
      <c r="F317" s="62">
        <f t="shared" si="1"/>
        <v>5.3480432623021927E-2</v>
      </c>
    </row>
    <row r="318" spans="1:6" ht="14.4" x14ac:dyDescent="0.3">
      <c r="A318" s="60">
        <v>317</v>
      </c>
      <c r="B318" s="61">
        <v>44233</v>
      </c>
      <c r="C318" s="63">
        <v>38223</v>
      </c>
      <c r="D318" s="63">
        <v>676487</v>
      </c>
      <c r="E318" s="60">
        <f t="shared" si="0"/>
        <v>714710</v>
      </c>
      <c r="F318" s="62">
        <f t="shared" si="1"/>
        <v>5.3480432623021927E-2</v>
      </c>
    </row>
    <row r="319" spans="1:6" ht="13.2" x14ac:dyDescent="0.25">
      <c r="A319" s="60">
        <v>318</v>
      </c>
      <c r="B319" s="61">
        <v>44234</v>
      </c>
      <c r="C319" s="60">
        <v>38370</v>
      </c>
      <c r="D319" s="60">
        <v>677396</v>
      </c>
      <c r="E319" s="60">
        <f t="shared" si="0"/>
        <v>715766</v>
      </c>
      <c r="F319" s="62">
        <f t="shared" si="1"/>
        <v>5.3606905049974431E-2</v>
      </c>
    </row>
    <row r="320" spans="1:6" ht="13.2" x14ac:dyDescent="0.25">
      <c r="A320" s="60">
        <v>319</v>
      </c>
      <c r="B320" s="61">
        <v>44235</v>
      </c>
      <c r="C320" s="60">
        <v>38464</v>
      </c>
      <c r="D320" s="60">
        <v>677824</v>
      </c>
      <c r="E320" s="60">
        <f t="shared" si="0"/>
        <v>716288</v>
      </c>
      <c r="F320" s="62">
        <f t="shared" si="1"/>
        <v>5.3699070764832026E-2</v>
      </c>
    </row>
    <row r="321" spans="1:6" ht="13.2" x14ac:dyDescent="0.25">
      <c r="A321" s="60">
        <v>320</v>
      </c>
      <c r="B321" s="61">
        <v>44236</v>
      </c>
      <c r="C321" s="60">
        <v>38464</v>
      </c>
      <c r="D321" s="60">
        <v>677825</v>
      </c>
      <c r="E321" s="60">
        <f t="shared" si="0"/>
        <v>716289</v>
      </c>
      <c r="F321" s="62">
        <f t="shared" si="1"/>
        <v>5.3698995796389447E-2</v>
      </c>
    </row>
    <row r="322" spans="1:6" ht="13.2" x14ac:dyDescent="0.25">
      <c r="A322" s="60">
        <v>320</v>
      </c>
      <c r="B322" s="61">
        <v>44237</v>
      </c>
      <c r="C322" s="60">
        <v>38471</v>
      </c>
      <c r="D322" s="60">
        <v>677936</v>
      </c>
      <c r="E322" s="60">
        <f t="shared" si="0"/>
        <v>716407</v>
      </c>
      <c r="F322" s="62">
        <f t="shared" si="1"/>
        <v>5.3699921971728362E-2</v>
      </c>
    </row>
    <row r="323" spans="1:6" ht="13.2" x14ac:dyDescent="0.25">
      <c r="A323" s="60">
        <v>321</v>
      </c>
      <c r="B323" s="61">
        <v>44238</v>
      </c>
      <c r="C323" s="60">
        <v>38508</v>
      </c>
      <c r="D323" s="60">
        <v>678084</v>
      </c>
      <c r="E323" s="60">
        <f t="shared" si="0"/>
        <v>716592</v>
      </c>
      <c r="F323" s="62">
        <f t="shared" si="1"/>
        <v>5.3737691740906958E-2</v>
      </c>
    </row>
    <row r="324" spans="1:6" ht="13.2" x14ac:dyDescent="0.25">
      <c r="A324" s="60">
        <v>322</v>
      </c>
      <c r="B324" s="61">
        <v>44239</v>
      </c>
      <c r="C324" s="60">
        <v>38524</v>
      </c>
      <c r="D324" s="60">
        <v>678210</v>
      </c>
      <c r="E324" s="60">
        <f t="shared" si="0"/>
        <v>716734</v>
      </c>
      <c r="F324" s="62">
        <f t="shared" si="1"/>
        <v>5.3749368663967387E-2</v>
      </c>
    </row>
    <row r="325" spans="1:6" ht="13.2" x14ac:dyDescent="0.25">
      <c r="A325" s="60">
        <v>323</v>
      </c>
      <c r="B325" s="61">
        <v>44240</v>
      </c>
      <c r="C325" s="60">
        <v>38548</v>
      </c>
      <c r="D325" s="60">
        <v>678310</v>
      </c>
      <c r="E325" s="60">
        <f t="shared" si="0"/>
        <v>716858</v>
      </c>
      <c r="F325" s="62">
        <f t="shared" si="1"/>
        <v>5.3773550689257842E-2</v>
      </c>
    </row>
    <row r="326" spans="1:6" ht="13.2" x14ac:dyDescent="0.25">
      <c r="A326" s="60">
        <v>324</v>
      </c>
      <c r="B326" s="61">
        <v>44241</v>
      </c>
      <c r="C326" s="60">
        <v>38554</v>
      </c>
      <c r="D326" s="60">
        <v>678351</v>
      </c>
      <c r="E326" s="60">
        <f t="shared" si="0"/>
        <v>716905</v>
      </c>
      <c r="F326" s="62">
        <f t="shared" si="1"/>
        <v>5.3778394626903148E-2</v>
      </c>
    </row>
    <row r="327" spans="1:6" ht="13.2" x14ac:dyDescent="0.25">
      <c r="A327" s="60">
        <v>325</v>
      </c>
      <c r="B327" s="61">
        <v>44242</v>
      </c>
      <c r="C327" s="60">
        <v>38581</v>
      </c>
      <c r="D327" s="60">
        <v>678510</v>
      </c>
      <c r="E327" s="60">
        <f t="shared" si="0"/>
        <v>717091</v>
      </c>
      <c r="F327" s="62">
        <f t="shared" si="1"/>
        <v>5.3802097641721898E-2</v>
      </c>
    </row>
    <row r="328" spans="1:6" ht="13.2" x14ac:dyDescent="0.25">
      <c r="A328" s="60">
        <v>326</v>
      </c>
      <c r="B328" s="61">
        <v>44243</v>
      </c>
      <c r="C328" s="60">
        <v>38592</v>
      </c>
      <c r="D328" s="60">
        <v>678588</v>
      </c>
      <c r="E328" s="60">
        <f t="shared" si="0"/>
        <v>717180</v>
      </c>
      <c r="F328" s="62">
        <f t="shared" si="1"/>
        <v>5.3810758805320838E-2</v>
      </c>
    </row>
    <row r="329" spans="1:6" ht="13.2" x14ac:dyDescent="0.25">
      <c r="A329" s="60">
        <v>327</v>
      </c>
      <c r="B329" s="61">
        <v>44244</v>
      </c>
      <c r="C329" s="60">
        <v>38713</v>
      </c>
      <c r="D329" s="60">
        <v>679000</v>
      </c>
      <c r="E329" s="60">
        <f t="shared" si="0"/>
        <v>717713</v>
      </c>
      <c r="F329" s="62">
        <f t="shared" si="1"/>
        <v>5.393938802836231E-2</v>
      </c>
    </row>
    <row r="330" spans="1:6" ht="13.2" x14ac:dyDescent="0.25">
      <c r="A330" s="68">
        <f t="shared" ref="A330:A460" si="2">A329+1</f>
        <v>328</v>
      </c>
      <c r="B330" s="61">
        <v>44245</v>
      </c>
      <c r="C330" s="60">
        <v>38739</v>
      </c>
      <c r="D330" s="60">
        <v>679225</v>
      </c>
      <c r="E330" s="60">
        <f t="shared" si="0"/>
        <v>717964</v>
      </c>
      <c r="F330" s="62">
        <f t="shared" si="1"/>
        <v>5.3956744349298848E-2</v>
      </c>
    </row>
    <row r="331" spans="1:6" ht="13.2" x14ac:dyDescent="0.25">
      <c r="A331" s="68">
        <f t="shared" si="2"/>
        <v>329</v>
      </c>
      <c r="B331" s="61">
        <v>44246</v>
      </c>
      <c r="C331" s="60">
        <v>38770</v>
      </c>
      <c r="D331" s="60">
        <v>679399</v>
      </c>
      <c r="E331" s="60">
        <f t="shared" si="0"/>
        <v>718169</v>
      </c>
      <c r="F331" s="62">
        <f t="shared" si="1"/>
        <v>5.3984507824759907E-2</v>
      </c>
    </row>
    <row r="332" spans="1:6" ht="13.2" x14ac:dyDescent="0.25">
      <c r="A332" s="68">
        <f t="shared" si="2"/>
        <v>330</v>
      </c>
      <c r="B332" s="61">
        <v>44247</v>
      </c>
      <c r="C332" s="60">
        <v>38803</v>
      </c>
      <c r="D332" s="60">
        <v>679629</v>
      </c>
      <c r="E332" s="60">
        <f t="shared" si="0"/>
        <v>718432</v>
      </c>
      <c r="F332" s="62">
        <f t="shared" si="1"/>
        <v>5.4010678811634225E-2</v>
      </c>
    </row>
    <row r="333" spans="1:6" ht="13.2" x14ac:dyDescent="0.25">
      <c r="A333" s="68">
        <f t="shared" si="2"/>
        <v>331</v>
      </c>
      <c r="B333" s="61">
        <v>44248</v>
      </c>
      <c r="C333" s="60">
        <v>38817</v>
      </c>
      <c r="D333" s="60">
        <v>679739</v>
      </c>
      <c r="E333" s="60">
        <f t="shared" si="0"/>
        <v>718556</v>
      </c>
      <c r="F333" s="62">
        <f t="shared" si="1"/>
        <v>5.402084179938655E-2</v>
      </c>
    </row>
    <row r="334" spans="1:6" ht="13.2" x14ac:dyDescent="0.25">
      <c r="A334" s="68">
        <f t="shared" si="2"/>
        <v>332</v>
      </c>
      <c r="B334" s="61">
        <v>44249</v>
      </c>
      <c r="C334" s="60">
        <v>38827</v>
      </c>
      <c r="D334" s="60">
        <v>679855</v>
      </c>
      <c r="E334" s="60">
        <f t="shared" si="0"/>
        <v>718682</v>
      </c>
      <c r="F334" s="62">
        <f t="shared" si="1"/>
        <v>5.4025285174806106E-2</v>
      </c>
    </row>
    <row r="335" spans="1:6" ht="13.2" x14ac:dyDescent="0.25">
      <c r="A335" s="68">
        <f t="shared" si="2"/>
        <v>333</v>
      </c>
      <c r="B335" s="61">
        <v>44250</v>
      </c>
      <c r="C335" s="60">
        <v>38835</v>
      </c>
      <c r="D335" s="60">
        <v>679937</v>
      </c>
      <c r="E335" s="60">
        <f t="shared" si="0"/>
        <v>718772</v>
      </c>
      <c r="F335" s="62">
        <f t="shared" si="1"/>
        <v>5.4029650570695573E-2</v>
      </c>
    </row>
    <row r="336" spans="1:6" ht="13.2" x14ac:dyDescent="0.25">
      <c r="A336" s="68">
        <f t="shared" si="2"/>
        <v>334</v>
      </c>
      <c r="B336" s="61">
        <v>44251</v>
      </c>
      <c r="C336" s="60">
        <v>38876</v>
      </c>
      <c r="D336" s="60">
        <v>680149</v>
      </c>
      <c r="E336" s="60">
        <f t="shared" si="0"/>
        <v>719025</v>
      </c>
      <c r="F336" s="62">
        <f t="shared" si="1"/>
        <v>5.4067661068808455E-2</v>
      </c>
    </row>
    <row r="337" spans="1:6" ht="13.2" x14ac:dyDescent="0.25">
      <c r="A337" s="68">
        <f t="shared" si="2"/>
        <v>335</v>
      </c>
      <c r="B337" s="61">
        <v>44252</v>
      </c>
      <c r="C337" s="60">
        <v>38895</v>
      </c>
      <c r="D337" s="60">
        <v>680303</v>
      </c>
      <c r="E337" s="60">
        <f t="shared" si="0"/>
        <v>719198</v>
      </c>
      <c r="F337" s="62">
        <f t="shared" si="1"/>
        <v>5.4081073640360515E-2</v>
      </c>
    </row>
    <row r="338" spans="1:6" ht="13.2" x14ac:dyDescent="0.25">
      <c r="A338" s="68">
        <f t="shared" si="2"/>
        <v>336</v>
      </c>
      <c r="B338" s="61">
        <v>44253</v>
      </c>
      <c r="C338" s="60">
        <v>38904</v>
      </c>
      <c r="D338" s="60">
        <v>680430</v>
      </c>
      <c r="E338" s="60">
        <f t="shared" si="0"/>
        <v>719334</v>
      </c>
      <c r="F338" s="62">
        <f t="shared" si="1"/>
        <v>5.4083360441741946E-2</v>
      </c>
    </row>
    <row r="339" spans="1:6" ht="13.2" x14ac:dyDescent="0.25">
      <c r="A339" s="68">
        <f t="shared" si="2"/>
        <v>337</v>
      </c>
      <c r="B339" s="61">
        <v>44254</v>
      </c>
      <c r="C339" s="60">
        <v>38920</v>
      </c>
      <c r="D339" s="60">
        <v>680488</v>
      </c>
      <c r="E339" s="60">
        <f t="shared" si="0"/>
        <v>719408</v>
      </c>
      <c r="F339" s="62">
        <f t="shared" si="1"/>
        <v>5.4100037808865069E-2</v>
      </c>
    </row>
    <row r="340" spans="1:6" ht="13.2" x14ac:dyDescent="0.25">
      <c r="A340" s="68">
        <f t="shared" si="2"/>
        <v>338</v>
      </c>
      <c r="B340" s="61">
        <v>44255</v>
      </c>
      <c r="C340" s="60">
        <v>38935</v>
      </c>
      <c r="D340" s="60">
        <v>680592</v>
      </c>
      <c r="E340" s="60">
        <f t="shared" si="0"/>
        <v>719527</v>
      </c>
      <c r="F340" s="62">
        <f t="shared" si="1"/>
        <v>5.4111937425558733E-2</v>
      </c>
    </row>
    <row r="341" spans="1:6" ht="13.2" x14ac:dyDescent="0.25">
      <c r="A341" s="68">
        <f t="shared" si="2"/>
        <v>339</v>
      </c>
      <c r="B341" s="61">
        <v>44256</v>
      </c>
      <c r="C341" s="60">
        <v>38943</v>
      </c>
      <c r="D341" s="60">
        <v>680663</v>
      </c>
      <c r="E341" s="60">
        <f t="shared" si="0"/>
        <v>719606</v>
      </c>
      <c r="F341" s="62">
        <f t="shared" si="1"/>
        <v>5.4117114087431174E-2</v>
      </c>
    </row>
    <row r="342" spans="1:6" ht="13.2" x14ac:dyDescent="0.25">
      <c r="A342" s="68">
        <f t="shared" si="2"/>
        <v>340</v>
      </c>
      <c r="B342" s="61">
        <v>44257</v>
      </c>
      <c r="C342" s="60">
        <v>38945</v>
      </c>
      <c r="D342" s="60">
        <v>680726</v>
      </c>
      <c r="E342" s="60">
        <f t="shared" si="0"/>
        <v>719671</v>
      </c>
      <c r="F342" s="62">
        <f t="shared" si="1"/>
        <v>5.4115005328823865E-2</v>
      </c>
    </row>
    <row r="343" spans="1:6" ht="13.2" x14ac:dyDescent="0.25">
      <c r="A343" s="68">
        <f t="shared" si="2"/>
        <v>341</v>
      </c>
      <c r="B343" s="61">
        <v>44258</v>
      </c>
      <c r="C343" s="60">
        <v>38968</v>
      </c>
      <c r="D343" s="60">
        <v>680917</v>
      </c>
      <c r="E343" s="60">
        <f t="shared" si="0"/>
        <v>719885</v>
      </c>
      <c r="F343" s="62">
        <f t="shared" si="1"/>
        <v>5.4130868124769929E-2</v>
      </c>
    </row>
    <row r="344" spans="1:6" ht="13.2" x14ac:dyDescent="0.25">
      <c r="A344" s="68">
        <f t="shared" si="2"/>
        <v>342</v>
      </c>
      <c r="B344" s="61">
        <v>44259</v>
      </c>
      <c r="C344" s="60">
        <v>38992</v>
      </c>
      <c r="D344" s="60">
        <v>681089</v>
      </c>
      <c r="E344" s="60">
        <f t="shared" si="0"/>
        <v>720081</v>
      </c>
      <c r="F344" s="62">
        <f t="shared" si="1"/>
        <v>5.4149463740884703E-2</v>
      </c>
    </row>
    <row r="345" spans="1:6" ht="13.2" x14ac:dyDescent="0.25">
      <c r="A345" s="68">
        <f t="shared" si="2"/>
        <v>343</v>
      </c>
      <c r="B345" s="61">
        <v>44260</v>
      </c>
      <c r="C345" s="60">
        <v>39139</v>
      </c>
      <c r="D345" s="60">
        <v>681733</v>
      </c>
      <c r="E345" s="60">
        <f t="shared" si="0"/>
        <v>720872</v>
      </c>
      <c r="F345" s="62">
        <f t="shared" si="1"/>
        <v>5.4293966196495354E-2</v>
      </c>
    </row>
    <row r="346" spans="1:6" ht="13.2" x14ac:dyDescent="0.25">
      <c r="A346" s="68">
        <f t="shared" si="2"/>
        <v>344</v>
      </c>
      <c r="B346" s="61">
        <v>44261</v>
      </c>
      <c r="C346" s="60">
        <v>39184</v>
      </c>
      <c r="D346" s="60">
        <v>681833</v>
      </c>
      <c r="E346" s="60">
        <f t="shared" si="0"/>
        <v>721017</v>
      </c>
      <c r="F346" s="62">
        <f t="shared" si="1"/>
        <v>5.4345459261016034E-2</v>
      </c>
    </row>
    <row r="347" spans="1:6" ht="13.2" x14ac:dyDescent="0.25">
      <c r="A347" s="68">
        <f t="shared" si="2"/>
        <v>345</v>
      </c>
      <c r="B347" s="61">
        <v>44262</v>
      </c>
      <c r="C347" s="60">
        <v>39202</v>
      </c>
      <c r="D347" s="60">
        <v>681942</v>
      </c>
      <c r="E347" s="60">
        <f t="shared" si="0"/>
        <v>721144</v>
      </c>
      <c r="F347" s="62">
        <f t="shared" si="1"/>
        <v>5.4360848873456616E-2</v>
      </c>
    </row>
    <row r="348" spans="1:6" ht="13.2" x14ac:dyDescent="0.25">
      <c r="A348" s="68">
        <f t="shared" si="2"/>
        <v>346</v>
      </c>
      <c r="B348" s="61">
        <v>44263</v>
      </c>
      <c r="C348" s="60">
        <v>39206</v>
      </c>
      <c r="D348" s="60">
        <v>681984</v>
      </c>
      <c r="E348" s="60">
        <f t="shared" si="0"/>
        <v>721190</v>
      </c>
      <c r="F348" s="62">
        <f t="shared" si="1"/>
        <v>5.4362927938546017E-2</v>
      </c>
    </row>
    <row r="349" spans="1:6" ht="13.2" x14ac:dyDescent="0.25">
      <c r="A349" s="68">
        <f t="shared" si="2"/>
        <v>347</v>
      </c>
      <c r="B349" s="61">
        <v>44264</v>
      </c>
      <c r="C349" s="60">
        <v>39213</v>
      </c>
      <c r="D349" s="60">
        <v>682021</v>
      </c>
      <c r="E349" s="60">
        <f t="shared" si="0"/>
        <v>721234</v>
      </c>
      <c r="F349" s="62">
        <f t="shared" si="1"/>
        <v>5.4369317031642987E-2</v>
      </c>
    </row>
    <row r="350" spans="1:6" ht="13.2" x14ac:dyDescent="0.25">
      <c r="A350" s="68">
        <f t="shared" si="2"/>
        <v>348</v>
      </c>
      <c r="B350" s="61">
        <v>44265</v>
      </c>
      <c r="C350" s="60">
        <v>39224</v>
      </c>
      <c r="D350" s="60">
        <v>682154</v>
      </c>
      <c r="E350" s="60">
        <f t="shared" si="0"/>
        <v>721378</v>
      </c>
      <c r="F350" s="62">
        <f t="shared" si="1"/>
        <v>5.4373712533512253E-2</v>
      </c>
    </row>
    <row r="351" spans="1:6" ht="13.2" x14ac:dyDescent="0.25">
      <c r="A351" s="68">
        <f t="shared" si="2"/>
        <v>349</v>
      </c>
      <c r="B351" s="61">
        <v>44266</v>
      </c>
      <c r="C351" s="60">
        <v>39233</v>
      </c>
      <c r="D351" s="60">
        <v>682291</v>
      </c>
      <c r="E351" s="60">
        <f t="shared" si="0"/>
        <v>721524</v>
      </c>
      <c r="F351" s="62">
        <f t="shared" si="1"/>
        <v>5.4375183639075071E-2</v>
      </c>
    </row>
    <row r="352" spans="1:6" ht="13.2" x14ac:dyDescent="0.25">
      <c r="A352" s="68">
        <f t="shared" si="2"/>
        <v>350</v>
      </c>
      <c r="B352" s="61">
        <v>44267</v>
      </c>
      <c r="C352" s="60">
        <v>39249</v>
      </c>
      <c r="D352" s="60">
        <v>682439</v>
      </c>
      <c r="E352" s="60">
        <f t="shared" si="0"/>
        <v>721688</v>
      </c>
      <c r="F352" s="62">
        <f t="shared" si="1"/>
        <v>5.4384997394996179E-2</v>
      </c>
    </row>
    <row r="353" spans="1:6" ht="13.2" x14ac:dyDescent="0.25">
      <c r="A353" s="68">
        <f t="shared" si="2"/>
        <v>351</v>
      </c>
      <c r="B353" s="61">
        <v>44268</v>
      </c>
      <c r="C353" s="60">
        <v>39273</v>
      </c>
      <c r="D353" s="60">
        <v>682539</v>
      </c>
      <c r="E353" s="60">
        <f t="shared" si="0"/>
        <v>721812</v>
      </c>
      <c r="F353" s="62">
        <f t="shared" si="1"/>
        <v>5.440890425761833E-2</v>
      </c>
    </row>
    <row r="354" spans="1:6" ht="13.2" x14ac:dyDescent="0.25">
      <c r="A354" s="68">
        <f t="shared" si="2"/>
        <v>352</v>
      </c>
      <c r="B354" s="61">
        <v>44269</v>
      </c>
      <c r="C354" s="60">
        <v>39288</v>
      </c>
      <c r="D354" s="60">
        <v>682690</v>
      </c>
      <c r="E354" s="60">
        <f t="shared" si="0"/>
        <v>721978</v>
      </c>
      <c r="F354" s="62">
        <f t="shared" si="1"/>
        <v>5.4417170606306561E-2</v>
      </c>
    </row>
    <row r="355" spans="1:6" ht="13.2" x14ac:dyDescent="0.25">
      <c r="A355" s="68">
        <f t="shared" si="2"/>
        <v>353</v>
      </c>
      <c r="B355" s="61">
        <v>44270</v>
      </c>
      <c r="C355" s="60">
        <v>39314</v>
      </c>
      <c r="D355" s="60">
        <v>682908</v>
      </c>
      <c r="E355" s="60">
        <f t="shared" si="0"/>
        <v>722222</v>
      </c>
      <c r="F355" s="62">
        <f t="shared" si="1"/>
        <v>5.4434785979934147E-2</v>
      </c>
    </row>
    <row r="356" spans="1:6" ht="13.2" x14ac:dyDescent="0.25">
      <c r="A356" s="68">
        <f t="shared" si="2"/>
        <v>354</v>
      </c>
      <c r="B356" s="61">
        <v>44271</v>
      </c>
      <c r="C356" s="60">
        <v>39318</v>
      </c>
      <c r="D356" s="60">
        <v>682933</v>
      </c>
      <c r="E356" s="60">
        <f t="shared" si="0"/>
        <v>722251</v>
      </c>
      <c r="F356" s="62">
        <f t="shared" si="1"/>
        <v>5.4438138541864252E-2</v>
      </c>
    </row>
    <row r="357" spans="1:6" ht="13.2" x14ac:dyDescent="0.25">
      <c r="A357" s="68">
        <f t="shared" si="2"/>
        <v>355</v>
      </c>
      <c r="B357" s="61">
        <v>44272</v>
      </c>
      <c r="C357" s="60">
        <v>39338</v>
      </c>
      <c r="D357" s="60">
        <v>683026</v>
      </c>
      <c r="E357" s="60">
        <f t="shared" si="0"/>
        <v>722364</v>
      </c>
      <c r="F357" s="62">
        <f t="shared" si="1"/>
        <v>5.4457309611220937E-2</v>
      </c>
    </row>
    <row r="358" spans="1:6" ht="13.2" x14ac:dyDescent="0.25">
      <c r="A358" s="68">
        <f t="shared" si="2"/>
        <v>356</v>
      </c>
      <c r="B358" s="61">
        <v>44273</v>
      </c>
      <c r="C358" s="60">
        <v>39347</v>
      </c>
      <c r="D358" s="60">
        <v>683193</v>
      </c>
      <c r="E358" s="60">
        <f t="shared" si="0"/>
        <v>722540</v>
      </c>
      <c r="F358" s="62">
        <f t="shared" si="1"/>
        <v>5.4456500678163149E-2</v>
      </c>
    </row>
    <row r="359" spans="1:6" ht="13.2" x14ac:dyDescent="0.25">
      <c r="A359" s="68">
        <f t="shared" si="2"/>
        <v>357</v>
      </c>
      <c r="B359" s="61">
        <v>44274</v>
      </c>
      <c r="C359" s="60">
        <v>39357</v>
      </c>
      <c r="D359" s="60">
        <v>683400</v>
      </c>
      <c r="E359" s="60">
        <f t="shared" si="0"/>
        <v>722757</v>
      </c>
      <c r="F359" s="62">
        <f t="shared" si="1"/>
        <v>5.4453986609607381E-2</v>
      </c>
    </row>
    <row r="360" spans="1:6" ht="13.2" x14ac:dyDescent="0.25">
      <c r="A360" s="68">
        <f t="shared" si="2"/>
        <v>358</v>
      </c>
      <c r="B360" s="61">
        <v>44275</v>
      </c>
      <c r="C360" s="60">
        <v>39375</v>
      </c>
      <c r="D360" s="60">
        <v>683726</v>
      </c>
      <c r="E360" s="60">
        <f t="shared" si="0"/>
        <v>723101</v>
      </c>
      <c r="F360" s="62">
        <f t="shared" si="1"/>
        <v>5.4452974065863552E-2</v>
      </c>
    </row>
    <row r="361" spans="1:6" ht="13.2" x14ac:dyDescent="0.25">
      <c r="A361" s="68">
        <f t="shared" si="2"/>
        <v>359</v>
      </c>
      <c r="B361" s="61">
        <v>44276</v>
      </c>
      <c r="C361" s="60">
        <v>39407</v>
      </c>
      <c r="D361" s="60">
        <v>683935</v>
      </c>
      <c r="E361" s="60">
        <f t="shared" si="0"/>
        <v>723342</v>
      </c>
      <c r="F361" s="62">
        <f t="shared" si="1"/>
        <v>5.4479070757677557E-2</v>
      </c>
    </row>
    <row r="362" spans="1:6" ht="13.2" x14ac:dyDescent="0.25">
      <c r="A362" s="68">
        <f t="shared" si="2"/>
        <v>360</v>
      </c>
      <c r="B362" s="61">
        <v>44277</v>
      </c>
      <c r="C362" s="60">
        <v>39413</v>
      </c>
      <c r="D362" s="60">
        <v>683984</v>
      </c>
      <c r="E362" s="60">
        <f t="shared" si="0"/>
        <v>723397</v>
      </c>
      <c r="F362" s="62">
        <f t="shared" si="1"/>
        <v>5.448322290526502E-2</v>
      </c>
    </row>
    <row r="363" spans="1:6" ht="13.2" x14ac:dyDescent="0.25">
      <c r="A363" s="68">
        <f t="shared" si="2"/>
        <v>361</v>
      </c>
      <c r="B363" s="61">
        <v>44278</v>
      </c>
      <c r="C363" s="60">
        <v>39418</v>
      </c>
      <c r="D363" s="60">
        <v>684033</v>
      </c>
      <c r="E363" s="60">
        <f t="shared" si="0"/>
        <v>723451</v>
      </c>
      <c r="F363" s="62">
        <f t="shared" si="1"/>
        <v>5.4486067473816471E-2</v>
      </c>
    </row>
    <row r="364" spans="1:6" ht="13.2" x14ac:dyDescent="0.25">
      <c r="A364" s="68">
        <f t="shared" si="2"/>
        <v>362</v>
      </c>
      <c r="B364" s="61">
        <v>44279</v>
      </c>
      <c r="C364" s="60">
        <v>39443</v>
      </c>
      <c r="D364" s="60">
        <v>684182</v>
      </c>
      <c r="E364" s="60">
        <f t="shared" si="0"/>
        <v>723625</v>
      </c>
      <c r="F364" s="62">
        <f t="shared" si="1"/>
        <v>5.4507514251166005E-2</v>
      </c>
    </row>
    <row r="365" spans="1:6" ht="13.2" x14ac:dyDescent="0.25">
      <c r="A365" s="68">
        <f t="shared" si="2"/>
        <v>363</v>
      </c>
      <c r="B365" s="61">
        <v>44280</v>
      </c>
      <c r="C365" s="60">
        <v>39482</v>
      </c>
      <c r="D365" s="60">
        <v>684331</v>
      </c>
      <c r="E365" s="60">
        <f t="shared" si="0"/>
        <v>723813</v>
      </c>
      <c r="F365" s="62">
        <f t="shared" si="1"/>
        <v>5.4547238029712092E-2</v>
      </c>
    </row>
    <row r="366" spans="1:6" ht="13.2" x14ac:dyDescent="0.25">
      <c r="A366" s="68">
        <f t="shared" si="2"/>
        <v>364</v>
      </c>
      <c r="B366" s="61">
        <v>44281</v>
      </c>
      <c r="C366" s="60">
        <v>39504</v>
      </c>
      <c r="D366" s="60">
        <v>684474</v>
      </c>
      <c r="E366" s="60">
        <f t="shared" si="0"/>
        <v>723978</v>
      </c>
      <c r="F366" s="62">
        <f t="shared" si="1"/>
        <v>5.4565193969982516E-2</v>
      </c>
    </row>
    <row r="367" spans="1:6" ht="13.2" x14ac:dyDescent="0.25">
      <c r="A367" s="68">
        <f t="shared" si="2"/>
        <v>365</v>
      </c>
      <c r="B367" s="61">
        <v>44282</v>
      </c>
      <c r="C367" s="60">
        <v>39550</v>
      </c>
      <c r="D367" s="60">
        <v>684698</v>
      </c>
      <c r="E367" s="60">
        <f t="shared" si="0"/>
        <v>724248</v>
      </c>
      <c r="F367" s="62">
        <f t="shared" si="1"/>
        <v>5.4608366195005024E-2</v>
      </c>
    </row>
    <row r="368" spans="1:6" ht="13.2" x14ac:dyDescent="0.25">
      <c r="A368" s="68">
        <f t="shared" si="2"/>
        <v>366</v>
      </c>
      <c r="B368" s="61">
        <v>44283</v>
      </c>
      <c r="C368" s="60">
        <v>39573</v>
      </c>
      <c r="D368" s="60">
        <v>684829</v>
      </c>
      <c r="E368" s="60">
        <f t="shared" si="0"/>
        <v>724402</v>
      </c>
      <c r="F368" s="62">
        <f t="shared" si="1"/>
        <v>5.4628507375738884E-2</v>
      </c>
    </row>
    <row r="369" spans="1:6" ht="13.2" x14ac:dyDescent="0.25">
      <c r="A369" s="68">
        <f t="shared" si="2"/>
        <v>367</v>
      </c>
      <c r="B369" s="61">
        <v>44284</v>
      </c>
      <c r="C369" s="60">
        <v>39583</v>
      </c>
      <c r="D369" s="60">
        <v>684886</v>
      </c>
      <c r="E369" s="60">
        <f t="shared" si="0"/>
        <v>724469</v>
      </c>
      <c r="F369" s="62">
        <f t="shared" si="1"/>
        <v>5.463725846102456E-2</v>
      </c>
    </row>
    <row r="370" spans="1:6" ht="13.2" x14ac:dyDescent="0.25">
      <c r="A370" s="68">
        <f t="shared" si="2"/>
        <v>368</v>
      </c>
      <c r="B370" s="61">
        <v>44285</v>
      </c>
      <c r="C370" s="60">
        <v>39586</v>
      </c>
      <c r="D370" s="60">
        <v>684912</v>
      </c>
      <c r="E370" s="60">
        <f t="shared" si="0"/>
        <v>724498</v>
      </c>
      <c r="F370" s="62">
        <f t="shared" si="1"/>
        <v>5.463921225455419E-2</v>
      </c>
    </row>
    <row r="371" spans="1:6" ht="13.2" x14ac:dyDescent="0.25">
      <c r="A371" s="68">
        <f t="shared" si="2"/>
        <v>369</v>
      </c>
      <c r="B371" s="61">
        <v>44286</v>
      </c>
      <c r="C371" s="60">
        <v>39614</v>
      </c>
      <c r="D371" s="60">
        <v>685049</v>
      </c>
      <c r="E371" s="60">
        <f t="shared" si="0"/>
        <v>724663</v>
      </c>
      <c r="F371" s="62">
        <f t="shared" si="1"/>
        <v>5.4665409990574933E-2</v>
      </c>
    </row>
    <row r="372" spans="1:6" ht="13.2" x14ac:dyDescent="0.25">
      <c r="A372" s="68">
        <f t="shared" si="2"/>
        <v>370</v>
      </c>
      <c r="B372" s="61">
        <v>44287</v>
      </c>
      <c r="C372" s="60">
        <v>39639</v>
      </c>
      <c r="D372" s="60">
        <v>685178</v>
      </c>
      <c r="E372" s="60">
        <f t="shared" si="0"/>
        <v>724817</v>
      </c>
      <c r="F372" s="62">
        <f t="shared" si="1"/>
        <v>5.4688286836539431E-2</v>
      </c>
    </row>
    <row r="373" spans="1:6" ht="13.2" x14ac:dyDescent="0.25">
      <c r="A373" s="68">
        <f t="shared" si="2"/>
        <v>371</v>
      </c>
      <c r="B373" s="61">
        <v>44288</v>
      </c>
      <c r="C373" s="60">
        <v>39680</v>
      </c>
      <c r="D373" s="60">
        <v>685285</v>
      </c>
      <c r="E373" s="60">
        <f t="shared" si="0"/>
        <v>724965</v>
      </c>
      <c r="F373" s="62">
        <f t="shared" si="1"/>
        <v>5.4733676798190259E-2</v>
      </c>
    </row>
    <row r="374" spans="1:6" ht="13.2" x14ac:dyDescent="0.25">
      <c r="A374" s="68">
        <f t="shared" si="2"/>
        <v>372</v>
      </c>
      <c r="B374" s="61">
        <v>44289</v>
      </c>
      <c r="C374" s="60">
        <v>39690</v>
      </c>
      <c r="D374" s="60">
        <v>685379</v>
      </c>
      <c r="E374" s="60">
        <f t="shared" si="0"/>
        <v>725069</v>
      </c>
      <c r="F374" s="62">
        <f t="shared" si="1"/>
        <v>5.4739617884642704E-2</v>
      </c>
    </row>
    <row r="375" spans="1:6" ht="13.2" x14ac:dyDescent="0.25">
      <c r="A375" s="68">
        <f t="shared" si="2"/>
        <v>373</v>
      </c>
      <c r="B375" s="61">
        <v>44290</v>
      </c>
      <c r="C375" s="60">
        <v>39691</v>
      </c>
      <c r="D375" s="60">
        <v>685388</v>
      </c>
      <c r="E375" s="60">
        <f t="shared" si="0"/>
        <v>725079</v>
      </c>
      <c r="F375" s="62">
        <f t="shared" si="1"/>
        <v>5.4740242097757623E-2</v>
      </c>
    </row>
    <row r="376" spans="1:6" ht="13.2" x14ac:dyDescent="0.25">
      <c r="A376" s="68">
        <f t="shared" si="2"/>
        <v>374</v>
      </c>
      <c r="B376" s="61">
        <v>44291</v>
      </c>
      <c r="C376" s="60">
        <v>39693</v>
      </c>
      <c r="D376" s="60">
        <v>685414</v>
      </c>
      <c r="E376" s="60">
        <f t="shared" si="0"/>
        <v>725107</v>
      </c>
      <c r="F376" s="62">
        <f t="shared" si="1"/>
        <v>5.4740886517438116E-2</v>
      </c>
    </row>
    <row r="377" spans="1:6" ht="13.2" x14ac:dyDescent="0.25">
      <c r="A377" s="68">
        <f t="shared" si="2"/>
        <v>375</v>
      </c>
      <c r="B377" s="61">
        <v>44292</v>
      </c>
      <c r="C377" s="60">
        <v>39699</v>
      </c>
      <c r="D377" s="60">
        <v>685420</v>
      </c>
      <c r="E377" s="60">
        <f t="shared" si="0"/>
        <v>725119</v>
      </c>
      <c r="F377" s="62">
        <f t="shared" si="1"/>
        <v>5.474825511398819E-2</v>
      </c>
    </row>
    <row r="378" spans="1:6" ht="13.2" x14ac:dyDescent="0.25">
      <c r="A378" s="68">
        <f t="shared" si="2"/>
        <v>376</v>
      </c>
      <c r="B378" s="61">
        <v>44293</v>
      </c>
      <c r="C378" s="60">
        <v>39714</v>
      </c>
      <c r="D378" s="60">
        <v>685542</v>
      </c>
      <c r="E378" s="60">
        <f t="shared" si="0"/>
        <v>725256</v>
      </c>
      <c r="F378" s="62">
        <f t="shared" si="1"/>
        <v>5.4758595585558754E-2</v>
      </c>
    </row>
    <row r="379" spans="1:6" ht="13.2" x14ac:dyDescent="0.25">
      <c r="A379" s="68">
        <f t="shared" si="2"/>
        <v>377</v>
      </c>
      <c r="B379" s="61">
        <v>44294</v>
      </c>
      <c r="C379" s="60">
        <v>39722</v>
      </c>
      <c r="D379" s="60">
        <v>685686</v>
      </c>
      <c r="E379" s="60">
        <f t="shared" si="0"/>
        <v>725408</v>
      </c>
      <c r="F379" s="62">
        <f t="shared" si="1"/>
        <v>5.47581498963342E-2</v>
      </c>
    </row>
    <row r="380" spans="1:6" ht="13.2" x14ac:dyDescent="0.25">
      <c r="A380" s="68">
        <f t="shared" si="2"/>
        <v>378</v>
      </c>
      <c r="B380" s="61">
        <v>44295</v>
      </c>
      <c r="C380" s="60">
        <v>39730</v>
      </c>
      <c r="D380" s="60">
        <v>685798</v>
      </c>
      <c r="E380" s="60">
        <f t="shared" si="0"/>
        <v>725528</v>
      </c>
      <c r="F380" s="62">
        <f t="shared" si="1"/>
        <v>5.4760119526744658E-2</v>
      </c>
    </row>
    <row r="381" spans="1:6" ht="13.2" x14ac:dyDescent="0.25">
      <c r="A381" s="68">
        <f t="shared" si="2"/>
        <v>379</v>
      </c>
      <c r="B381" s="61">
        <v>44296</v>
      </c>
      <c r="C381" s="60">
        <v>39745</v>
      </c>
      <c r="D381" s="60">
        <v>685864</v>
      </c>
      <c r="E381" s="60">
        <f t="shared" si="0"/>
        <v>725609</v>
      </c>
      <c r="F381" s="62">
        <f t="shared" si="1"/>
        <v>5.4774678924875517E-2</v>
      </c>
    </row>
    <row r="382" spans="1:6" ht="13.2" x14ac:dyDescent="0.25">
      <c r="A382" s="68">
        <f t="shared" si="2"/>
        <v>380</v>
      </c>
      <c r="B382" s="61">
        <v>44297</v>
      </c>
      <c r="C382" s="60">
        <v>39750</v>
      </c>
      <c r="D382" s="60">
        <v>685931</v>
      </c>
      <c r="E382" s="60">
        <f t="shared" si="0"/>
        <v>725681</v>
      </c>
      <c r="F382" s="62">
        <f t="shared" si="1"/>
        <v>5.4776134417188822E-2</v>
      </c>
    </row>
    <row r="383" spans="1:6" ht="13.2" x14ac:dyDescent="0.25">
      <c r="A383" s="68">
        <f t="shared" si="2"/>
        <v>381</v>
      </c>
      <c r="B383" s="61">
        <v>44298</v>
      </c>
      <c r="C383" s="60">
        <v>39753</v>
      </c>
      <c r="D383" s="60">
        <v>685945</v>
      </c>
      <c r="E383" s="60">
        <f t="shared" si="0"/>
        <v>725698</v>
      </c>
      <c r="F383" s="62">
        <f t="shared" si="1"/>
        <v>5.4778985197699318E-2</v>
      </c>
    </row>
    <row r="384" spans="1:6" ht="13.2" x14ac:dyDescent="0.25">
      <c r="A384" s="68">
        <f t="shared" si="2"/>
        <v>382</v>
      </c>
      <c r="B384" s="61">
        <v>44299</v>
      </c>
      <c r="C384" s="60">
        <v>39754</v>
      </c>
      <c r="D384" s="60">
        <v>685951</v>
      </c>
      <c r="E384" s="60">
        <f t="shared" si="0"/>
        <v>725705</v>
      </c>
      <c r="F384" s="62">
        <f t="shared" si="1"/>
        <v>5.4779834781350546E-2</v>
      </c>
    </row>
    <row r="385" spans="1:6" ht="13.2" x14ac:dyDescent="0.25">
      <c r="A385" s="68">
        <f t="shared" si="2"/>
        <v>383</v>
      </c>
      <c r="B385" s="61">
        <v>44300</v>
      </c>
      <c r="C385" s="60">
        <v>39792</v>
      </c>
      <c r="D385" s="60">
        <v>686151</v>
      </c>
      <c r="E385" s="60">
        <f t="shared" si="0"/>
        <v>725943</v>
      </c>
      <c r="F385" s="62">
        <f t="shared" si="1"/>
        <v>5.4814220951231708E-2</v>
      </c>
    </row>
    <row r="386" spans="1:6" ht="13.2" x14ac:dyDescent="0.25">
      <c r="A386" s="68">
        <f t="shared" si="2"/>
        <v>384</v>
      </c>
      <c r="B386" s="61">
        <v>44301</v>
      </c>
      <c r="C386" s="60">
        <v>39804</v>
      </c>
      <c r="D386" s="60">
        <v>686283</v>
      </c>
      <c r="E386" s="60">
        <f t="shared" si="0"/>
        <v>726087</v>
      </c>
      <c r="F386" s="62">
        <f t="shared" si="1"/>
        <v>5.4819876956893596E-2</v>
      </c>
    </row>
    <row r="387" spans="1:6" ht="13.2" x14ac:dyDescent="0.25">
      <c r="A387" s="68">
        <f t="shared" si="2"/>
        <v>385</v>
      </c>
      <c r="B387" s="61">
        <v>44302</v>
      </c>
      <c r="C387" s="60">
        <v>39808</v>
      </c>
      <c r="D387" s="60">
        <v>686337</v>
      </c>
      <c r="E387" s="60">
        <f t="shared" si="0"/>
        <v>726145</v>
      </c>
      <c r="F387" s="62">
        <f t="shared" si="1"/>
        <v>5.4821006823706012E-2</v>
      </c>
    </row>
    <row r="388" spans="1:6" ht="13.2" x14ac:dyDescent="0.25">
      <c r="A388" s="68">
        <f t="shared" si="2"/>
        <v>386</v>
      </c>
      <c r="B388" s="61">
        <v>44303</v>
      </c>
      <c r="C388" s="60">
        <v>39818</v>
      </c>
      <c r="D388" s="60">
        <v>686410</v>
      </c>
      <c r="E388" s="60">
        <f t="shared" si="0"/>
        <v>726228</v>
      </c>
      <c r="F388" s="62">
        <f t="shared" si="1"/>
        <v>5.4828511156275989E-2</v>
      </c>
    </row>
    <row r="389" spans="1:6" ht="13.2" x14ac:dyDescent="0.25">
      <c r="A389" s="68">
        <f t="shared" si="2"/>
        <v>387</v>
      </c>
      <c r="B389" s="61">
        <v>44304</v>
      </c>
      <c r="C389" s="60">
        <v>39854</v>
      </c>
      <c r="D389" s="60">
        <v>686543</v>
      </c>
      <c r="E389" s="60">
        <f t="shared" si="0"/>
        <v>726397</v>
      </c>
      <c r="F389" s="62">
        <f t="shared" si="1"/>
        <v>5.4865314697059596E-2</v>
      </c>
    </row>
    <row r="390" spans="1:6" ht="13.2" x14ac:dyDescent="0.25">
      <c r="A390" s="68">
        <f t="shared" si="2"/>
        <v>388</v>
      </c>
      <c r="B390" s="61">
        <v>44305</v>
      </c>
      <c r="C390" s="60">
        <v>39855</v>
      </c>
      <c r="D390" s="60">
        <v>686544</v>
      </c>
      <c r="E390" s="60">
        <f t="shared" si="0"/>
        <v>726399</v>
      </c>
      <c r="F390" s="62">
        <f t="shared" si="1"/>
        <v>5.4866540289840705E-2</v>
      </c>
    </row>
    <row r="391" spans="1:6" ht="13.2" x14ac:dyDescent="0.25">
      <c r="A391" s="68">
        <f t="shared" si="2"/>
        <v>389</v>
      </c>
      <c r="B391" s="61">
        <v>44306</v>
      </c>
      <c r="C391" s="60">
        <v>39855</v>
      </c>
      <c r="D391" s="60">
        <v>686547</v>
      </c>
      <c r="E391" s="60">
        <f t="shared" si="0"/>
        <v>726402</v>
      </c>
      <c r="F391" s="62">
        <f t="shared" si="1"/>
        <v>5.4866313694070225E-2</v>
      </c>
    </row>
    <row r="392" spans="1:6" ht="13.2" x14ac:dyDescent="0.25">
      <c r="A392" s="68">
        <f t="shared" si="2"/>
        <v>390</v>
      </c>
      <c r="B392" s="61">
        <v>44307</v>
      </c>
      <c r="C392" s="60">
        <v>39881</v>
      </c>
      <c r="D392" s="60">
        <v>686730</v>
      </c>
      <c r="E392" s="60">
        <f t="shared" si="0"/>
        <v>726611</v>
      </c>
      <c r="F392" s="62">
        <f t="shared" si="1"/>
        <v>5.488631468557454E-2</v>
      </c>
    </row>
    <row r="393" spans="1:6" ht="13.2" x14ac:dyDescent="0.25">
      <c r="A393" s="68">
        <f t="shared" si="2"/>
        <v>391</v>
      </c>
      <c r="B393" s="61">
        <v>44308</v>
      </c>
      <c r="C393" s="60">
        <v>39926</v>
      </c>
      <c r="D393" s="60">
        <v>686920</v>
      </c>
      <c r="E393" s="60">
        <f t="shared" si="0"/>
        <v>726846</v>
      </c>
      <c r="F393" s="62">
        <f t="shared" si="1"/>
        <v>5.4930480459409556E-2</v>
      </c>
    </row>
    <row r="394" spans="1:6" ht="13.2" x14ac:dyDescent="0.25">
      <c r="A394" s="68">
        <f t="shared" si="2"/>
        <v>392</v>
      </c>
      <c r="B394" s="61">
        <v>44309</v>
      </c>
      <c r="C394" s="60">
        <v>39963</v>
      </c>
      <c r="D394" s="60">
        <v>687103</v>
      </c>
      <c r="E394" s="60">
        <f t="shared" si="0"/>
        <v>727066</v>
      </c>
      <c r="F394" s="62">
        <f t="shared" si="1"/>
        <v>5.496474872982645E-2</v>
      </c>
    </row>
    <row r="395" spans="1:6" ht="13.2" x14ac:dyDescent="0.25">
      <c r="A395" s="68">
        <f t="shared" si="2"/>
        <v>393</v>
      </c>
      <c r="B395" s="61">
        <v>44310</v>
      </c>
      <c r="C395" s="60">
        <v>39978</v>
      </c>
      <c r="D395" s="60">
        <v>687216</v>
      </c>
      <c r="E395" s="60">
        <f t="shared" si="0"/>
        <v>727194</v>
      </c>
      <c r="F395" s="62">
        <f t="shared" si="1"/>
        <v>5.4975701119646204E-2</v>
      </c>
    </row>
    <row r="396" spans="1:6" ht="13.2" x14ac:dyDescent="0.25">
      <c r="A396" s="68">
        <f t="shared" si="2"/>
        <v>394</v>
      </c>
      <c r="B396" s="61">
        <v>44311</v>
      </c>
      <c r="C396" s="60">
        <v>39998</v>
      </c>
      <c r="D396" s="60">
        <v>687299</v>
      </c>
      <c r="E396" s="60">
        <f t="shared" si="0"/>
        <v>727297</v>
      </c>
      <c r="F396" s="62">
        <f t="shared" si="1"/>
        <v>5.4995414528040125E-2</v>
      </c>
    </row>
    <row r="397" spans="1:6" ht="13.2" x14ac:dyDescent="0.25">
      <c r="A397" s="68">
        <f t="shared" si="2"/>
        <v>395</v>
      </c>
      <c r="B397" s="61">
        <v>44312</v>
      </c>
      <c r="C397" s="60">
        <v>40000</v>
      </c>
      <c r="D397" s="60">
        <v>687324</v>
      </c>
      <c r="E397" s="60">
        <f t="shared" si="0"/>
        <v>727324</v>
      </c>
      <c r="F397" s="62">
        <f t="shared" si="1"/>
        <v>5.499612277334448E-2</v>
      </c>
    </row>
    <row r="398" spans="1:6" ht="13.2" x14ac:dyDescent="0.25">
      <c r="A398" s="68">
        <f t="shared" si="2"/>
        <v>396</v>
      </c>
      <c r="B398" s="61">
        <v>44313</v>
      </c>
      <c r="C398" s="60">
        <v>40001</v>
      </c>
      <c r="D398" s="60">
        <v>687340</v>
      </c>
      <c r="E398" s="60">
        <f t="shared" si="0"/>
        <v>727341</v>
      </c>
      <c r="F398" s="62">
        <f t="shared" si="1"/>
        <v>5.4996212230576852E-2</v>
      </c>
    </row>
    <row r="399" spans="1:6" ht="13.2" x14ac:dyDescent="0.25">
      <c r="A399" s="68">
        <f t="shared" si="2"/>
        <v>397</v>
      </c>
      <c r="B399" s="61">
        <v>44314</v>
      </c>
      <c r="C399" s="60">
        <v>40010</v>
      </c>
      <c r="D399" s="60">
        <v>687453</v>
      </c>
      <c r="E399" s="60">
        <f t="shared" si="0"/>
        <v>727463</v>
      </c>
      <c r="F399" s="62">
        <f t="shared" si="1"/>
        <v>5.4999360792232735E-2</v>
      </c>
    </row>
    <row r="400" spans="1:6" ht="13.2" x14ac:dyDescent="0.25">
      <c r="A400" s="68">
        <f t="shared" si="2"/>
        <v>398</v>
      </c>
      <c r="B400" s="61">
        <v>44315</v>
      </c>
      <c r="C400" s="60">
        <v>40023</v>
      </c>
      <c r="D400" s="60">
        <v>687481</v>
      </c>
      <c r="E400" s="60">
        <f t="shared" si="0"/>
        <v>727504</v>
      </c>
      <c r="F400" s="62">
        <f t="shared" si="1"/>
        <v>5.5014130506498934E-2</v>
      </c>
    </row>
    <row r="401" spans="1:6" ht="13.2" x14ac:dyDescent="0.25">
      <c r="A401" s="68">
        <f t="shared" si="2"/>
        <v>399</v>
      </c>
      <c r="B401" s="61">
        <v>44316</v>
      </c>
      <c r="C401" s="60">
        <v>40038</v>
      </c>
      <c r="D401" s="60">
        <v>687596</v>
      </c>
      <c r="E401" s="60">
        <f t="shared" si="0"/>
        <v>727634</v>
      </c>
      <c r="F401" s="62">
        <f t="shared" si="1"/>
        <v>5.5024916372791818E-2</v>
      </c>
    </row>
    <row r="402" spans="1:6" ht="13.2" x14ac:dyDescent="0.25">
      <c r="A402" s="68">
        <f t="shared" si="2"/>
        <v>400</v>
      </c>
      <c r="B402" s="61">
        <v>44317</v>
      </c>
      <c r="C402" s="60">
        <v>40049</v>
      </c>
      <c r="D402" s="60">
        <v>687671</v>
      </c>
      <c r="E402" s="60">
        <f t="shared" si="0"/>
        <v>727720</v>
      </c>
      <c r="F402" s="62">
        <f t="shared" si="1"/>
        <v>5.503352937943165E-2</v>
      </c>
    </row>
    <row r="403" spans="1:6" ht="13.2" x14ac:dyDescent="0.25">
      <c r="A403" s="68">
        <f t="shared" si="2"/>
        <v>401</v>
      </c>
      <c r="B403" s="61">
        <v>44318</v>
      </c>
      <c r="C403" s="60">
        <v>40053</v>
      </c>
      <c r="D403" s="60">
        <v>687715</v>
      </c>
      <c r="E403" s="60">
        <f t="shared" si="0"/>
        <v>727768</v>
      </c>
      <c r="F403" s="62">
        <f t="shared" si="1"/>
        <v>5.5035395895395238E-2</v>
      </c>
    </row>
    <row r="404" spans="1:6" ht="13.2" x14ac:dyDescent="0.25">
      <c r="A404" s="68">
        <f t="shared" si="2"/>
        <v>402</v>
      </c>
      <c r="B404" s="61">
        <v>44319</v>
      </c>
      <c r="C404" s="60">
        <v>40055</v>
      </c>
      <c r="D404" s="60">
        <v>687735</v>
      </c>
      <c r="E404" s="60">
        <f t="shared" si="0"/>
        <v>727790</v>
      </c>
      <c r="F404" s="62">
        <f t="shared" si="1"/>
        <v>5.5036480303384219E-2</v>
      </c>
    </row>
    <row r="405" spans="1:6" ht="13.2" x14ac:dyDescent="0.25">
      <c r="A405" s="68">
        <f t="shared" si="2"/>
        <v>403</v>
      </c>
      <c r="B405" s="61">
        <v>44320</v>
      </c>
      <c r="C405" s="60">
        <v>40057</v>
      </c>
      <c r="D405" s="60">
        <v>687745</v>
      </c>
      <c r="E405" s="60">
        <f t="shared" si="0"/>
        <v>727802</v>
      </c>
      <c r="F405" s="62">
        <f t="shared" si="1"/>
        <v>5.5038320861992687E-2</v>
      </c>
    </row>
    <row r="406" spans="1:6" ht="13.2" x14ac:dyDescent="0.25">
      <c r="A406" s="68">
        <f t="shared" si="2"/>
        <v>404</v>
      </c>
      <c r="B406" s="61">
        <v>44321</v>
      </c>
      <c r="C406" s="60">
        <v>40066</v>
      </c>
      <c r="D406" s="60">
        <v>687826</v>
      </c>
      <c r="E406" s="60">
        <f t="shared" si="0"/>
        <v>727892</v>
      </c>
      <c r="F406" s="62">
        <f t="shared" si="1"/>
        <v>5.5043880136064142E-2</v>
      </c>
    </row>
    <row r="407" spans="1:6" ht="13.2" x14ac:dyDescent="0.25">
      <c r="A407" s="68">
        <f t="shared" si="2"/>
        <v>405</v>
      </c>
      <c r="B407" s="61">
        <v>44322</v>
      </c>
      <c r="C407" s="60">
        <v>40070</v>
      </c>
      <c r="D407" s="60">
        <v>687884</v>
      </c>
      <c r="E407" s="60">
        <f t="shared" si="0"/>
        <v>727954</v>
      </c>
      <c r="F407" s="62">
        <f t="shared" si="1"/>
        <v>5.5044686889556209E-2</v>
      </c>
    </row>
    <row r="408" spans="1:6" ht="13.2" x14ac:dyDescent="0.25">
      <c r="A408" s="68">
        <f t="shared" si="2"/>
        <v>406</v>
      </c>
      <c r="B408" s="61">
        <v>44323</v>
      </c>
      <c r="C408" s="60">
        <v>40078</v>
      </c>
      <c r="D408" s="60">
        <v>687967</v>
      </c>
      <c r="E408" s="60">
        <f t="shared" si="0"/>
        <v>728045</v>
      </c>
      <c r="F408" s="62">
        <f t="shared" si="1"/>
        <v>5.5048795060744872E-2</v>
      </c>
    </row>
    <row r="409" spans="1:6" ht="13.2" x14ac:dyDescent="0.25">
      <c r="A409" s="68">
        <f t="shared" si="2"/>
        <v>407</v>
      </c>
      <c r="B409" s="61">
        <v>44324</v>
      </c>
      <c r="C409" s="60">
        <v>40084</v>
      </c>
      <c r="D409" s="60">
        <v>688035</v>
      </c>
      <c r="E409" s="60">
        <f t="shared" si="0"/>
        <v>728119</v>
      </c>
      <c r="F409" s="62">
        <f t="shared" si="1"/>
        <v>5.5051440767237225E-2</v>
      </c>
    </row>
    <row r="410" spans="1:6" ht="13.2" x14ac:dyDescent="0.25">
      <c r="A410" s="68">
        <f t="shared" si="2"/>
        <v>408</v>
      </c>
      <c r="B410" s="61">
        <v>44325</v>
      </c>
      <c r="C410" s="60">
        <v>40092</v>
      </c>
      <c r="D410" s="60">
        <v>688139</v>
      </c>
      <c r="E410" s="60">
        <f t="shared" si="0"/>
        <v>728231</v>
      </c>
      <c r="F410" s="62">
        <f t="shared" si="1"/>
        <v>5.5053959526578794E-2</v>
      </c>
    </row>
    <row r="411" spans="1:6" ht="13.2" x14ac:dyDescent="0.25">
      <c r="A411" s="68">
        <f t="shared" si="2"/>
        <v>409</v>
      </c>
      <c r="B411" s="61">
        <v>44326</v>
      </c>
      <c r="C411" s="60">
        <v>40092</v>
      </c>
      <c r="D411" s="60">
        <v>688165</v>
      </c>
      <c r="E411" s="60">
        <f t="shared" si="0"/>
        <v>728257</v>
      </c>
      <c r="F411" s="62">
        <f t="shared" si="1"/>
        <v>5.5051994007609954E-2</v>
      </c>
    </row>
    <row r="412" spans="1:6" ht="13.2" x14ac:dyDescent="0.25">
      <c r="A412" s="68">
        <f t="shared" si="2"/>
        <v>410</v>
      </c>
      <c r="B412" s="61">
        <v>44327</v>
      </c>
      <c r="C412" s="60">
        <v>40097</v>
      </c>
      <c r="D412" s="60">
        <v>688181</v>
      </c>
      <c r="E412" s="60">
        <f t="shared" si="0"/>
        <v>728278</v>
      </c>
      <c r="F412" s="62">
        <f t="shared" si="1"/>
        <v>5.5057272085659595E-2</v>
      </c>
    </row>
    <row r="413" spans="1:6" ht="13.2" x14ac:dyDescent="0.25">
      <c r="A413" s="68">
        <f t="shared" si="2"/>
        <v>411</v>
      </c>
      <c r="B413" s="61">
        <v>44328</v>
      </c>
      <c r="C413" s="60">
        <v>40099</v>
      </c>
      <c r="D413" s="60">
        <v>688243</v>
      </c>
      <c r="E413" s="60">
        <f t="shared" si="0"/>
        <v>728342</v>
      </c>
      <c r="F413" s="62">
        <f t="shared" si="1"/>
        <v>5.5055180121426475E-2</v>
      </c>
    </row>
    <row r="414" spans="1:6" ht="13.2" x14ac:dyDescent="0.25">
      <c r="A414" s="68">
        <f t="shared" si="2"/>
        <v>412</v>
      </c>
      <c r="B414" s="61">
        <v>44329</v>
      </c>
      <c r="C414" s="60">
        <v>40111</v>
      </c>
      <c r="D414" s="60">
        <v>688316</v>
      </c>
      <c r="E414" s="60">
        <f t="shared" si="0"/>
        <v>728427</v>
      </c>
      <c r="F414" s="62">
        <f t="shared" si="1"/>
        <v>5.5065229597475104E-2</v>
      </c>
    </row>
    <row r="415" spans="1:6" ht="13.2" x14ac:dyDescent="0.25">
      <c r="A415" s="68">
        <f t="shared" si="2"/>
        <v>413</v>
      </c>
      <c r="B415" s="61">
        <v>44330</v>
      </c>
      <c r="C415" s="60">
        <v>40116</v>
      </c>
      <c r="D415" s="60">
        <v>688326</v>
      </c>
      <c r="E415" s="60">
        <f t="shared" si="0"/>
        <v>728442</v>
      </c>
      <c r="F415" s="62">
        <f t="shared" si="1"/>
        <v>5.5070959664599239E-2</v>
      </c>
    </row>
    <row r="416" spans="1:6" ht="13.2" x14ac:dyDescent="0.25">
      <c r="A416" s="68">
        <f t="shared" si="2"/>
        <v>414</v>
      </c>
      <c r="B416" s="61">
        <v>44331</v>
      </c>
      <c r="C416" s="60">
        <v>40117</v>
      </c>
      <c r="D416" s="60">
        <v>688334</v>
      </c>
      <c r="E416" s="60">
        <f t="shared" si="0"/>
        <v>728451</v>
      </c>
      <c r="F416" s="62">
        <f t="shared" si="1"/>
        <v>5.507165203973912E-2</v>
      </c>
    </row>
    <row r="417" spans="1:6" ht="13.2" x14ac:dyDescent="0.25">
      <c r="A417" s="68">
        <f t="shared" si="2"/>
        <v>415</v>
      </c>
      <c r="B417" s="61">
        <v>44332</v>
      </c>
      <c r="C417" s="60">
        <v>40119</v>
      </c>
      <c r="D417" s="60">
        <v>688351</v>
      </c>
      <c r="E417" s="60">
        <f t="shared" si="0"/>
        <v>728470</v>
      </c>
      <c r="F417" s="62">
        <f t="shared" si="1"/>
        <v>5.5072961137727014E-2</v>
      </c>
    </row>
    <row r="418" spans="1:6" ht="13.2" x14ac:dyDescent="0.25">
      <c r="A418" s="68">
        <f t="shared" si="2"/>
        <v>416</v>
      </c>
      <c r="B418" s="61">
        <v>44333</v>
      </c>
      <c r="C418" s="60">
        <v>40119</v>
      </c>
      <c r="D418" s="60">
        <v>688356</v>
      </c>
      <c r="E418" s="60">
        <f t="shared" si="0"/>
        <v>728475</v>
      </c>
      <c r="F418" s="62">
        <f t="shared" si="1"/>
        <v>5.5072583136003293E-2</v>
      </c>
    </row>
    <row r="419" spans="1:6" ht="13.2" x14ac:dyDescent="0.25">
      <c r="A419" s="68">
        <f t="shared" si="2"/>
        <v>417</v>
      </c>
      <c r="B419" s="61">
        <v>44334</v>
      </c>
      <c r="C419" s="60">
        <v>40121</v>
      </c>
      <c r="D419" s="60">
        <v>688404</v>
      </c>
      <c r="E419" s="60">
        <f t="shared" si="0"/>
        <v>728525</v>
      </c>
      <c r="F419" s="62">
        <f t="shared" si="1"/>
        <v>5.5071548677121579E-2</v>
      </c>
    </row>
    <row r="420" spans="1:6" ht="13.2" x14ac:dyDescent="0.25">
      <c r="A420" s="68">
        <f t="shared" si="2"/>
        <v>418</v>
      </c>
      <c r="B420" s="61">
        <v>44335</v>
      </c>
      <c r="C420" s="60">
        <v>40141</v>
      </c>
      <c r="D420" s="60">
        <v>688484</v>
      </c>
      <c r="E420" s="60">
        <f t="shared" si="0"/>
        <v>728625</v>
      </c>
      <c r="F420" s="62">
        <f t="shared" si="1"/>
        <v>5.5091439354949388E-2</v>
      </c>
    </row>
    <row r="421" spans="1:6" ht="13.2" x14ac:dyDescent="0.25">
      <c r="A421" s="68">
        <f t="shared" si="2"/>
        <v>419</v>
      </c>
      <c r="B421" s="61">
        <v>44336</v>
      </c>
      <c r="C421" s="60">
        <v>40161</v>
      </c>
      <c r="D421" s="60">
        <v>688538</v>
      </c>
      <c r="E421" s="60">
        <f t="shared" si="0"/>
        <v>728699</v>
      </c>
      <c r="F421" s="62">
        <f t="shared" si="1"/>
        <v>5.5113290947290991E-2</v>
      </c>
    </row>
    <row r="422" spans="1:6" ht="13.2" x14ac:dyDescent="0.25">
      <c r="A422" s="68">
        <f t="shared" si="2"/>
        <v>420</v>
      </c>
      <c r="B422" s="61">
        <v>44337</v>
      </c>
      <c r="C422" s="60">
        <v>40173</v>
      </c>
      <c r="D422" s="60">
        <v>688569</v>
      </c>
      <c r="E422" s="60">
        <f t="shared" si="0"/>
        <v>728742</v>
      </c>
      <c r="F422" s="62">
        <f t="shared" si="1"/>
        <v>5.5126505676906232E-2</v>
      </c>
    </row>
    <row r="423" spans="1:6" ht="13.2" x14ac:dyDescent="0.25">
      <c r="A423" s="68">
        <f t="shared" si="2"/>
        <v>421</v>
      </c>
      <c r="B423" s="61">
        <v>44338</v>
      </c>
      <c r="C423" s="60">
        <v>40178</v>
      </c>
      <c r="D423" s="60">
        <v>688714</v>
      </c>
      <c r="E423" s="60">
        <f t="shared" si="0"/>
        <v>728892</v>
      </c>
      <c r="F423" s="62">
        <f t="shared" si="1"/>
        <v>5.5122020820642839E-2</v>
      </c>
    </row>
    <row r="424" spans="1:6" ht="13.2" x14ac:dyDescent="0.25">
      <c r="A424" s="68">
        <f t="shared" si="2"/>
        <v>422</v>
      </c>
      <c r="B424" s="61">
        <v>44339</v>
      </c>
      <c r="C424" s="60">
        <v>40187</v>
      </c>
      <c r="D424" s="60">
        <v>688860</v>
      </c>
      <c r="E424" s="60">
        <f t="shared" si="0"/>
        <v>729047</v>
      </c>
      <c r="F424" s="62">
        <f t="shared" si="1"/>
        <v>5.5122646413742871E-2</v>
      </c>
    </row>
    <row r="425" spans="1:6" ht="13.2" x14ac:dyDescent="0.25">
      <c r="A425" s="68">
        <f t="shared" si="2"/>
        <v>423</v>
      </c>
      <c r="B425" s="61">
        <v>44340</v>
      </c>
      <c r="C425" s="60">
        <v>40187</v>
      </c>
      <c r="D425" s="60">
        <v>688865</v>
      </c>
      <c r="E425" s="60">
        <f t="shared" si="0"/>
        <v>729052</v>
      </c>
      <c r="F425" s="62">
        <f t="shared" si="1"/>
        <v>5.5122268370431736E-2</v>
      </c>
    </row>
    <row r="426" spans="1:6" ht="13.2" x14ac:dyDescent="0.25">
      <c r="A426" s="68">
        <f t="shared" si="2"/>
        <v>424</v>
      </c>
      <c r="B426" s="61">
        <v>44341</v>
      </c>
      <c r="C426" s="60">
        <v>40192</v>
      </c>
      <c r="D426" s="60">
        <v>688889</v>
      </c>
      <c r="E426" s="60">
        <f t="shared" si="0"/>
        <v>729081</v>
      </c>
      <c r="F426" s="62">
        <f t="shared" si="1"/>
        <v>5.5126933770047501E-2</v>
      </c>
    </row>
    <row r="427" spans="1:6" ht="13.2" x14ac:dyDescent="0.25">
      <c r="A427" s="68">
        <f t="shared" si="2"/>
        <v>425</v>
      </c>
      <c r="B427" s="61">
        <v>44342</v>
      </c>
      <c r="C427" s="60">
        <v>40200</v>
      </c>
      <c r="D427" s="60">
        <v>688984</v>
      </c>
      <c r="E427" s="60">
        <f t="shared" si="0"/>
        <v>729184</v>
      </c>
      <c r="F427" s="62">
        <f t="shared" si="1"/>
        <v>5.5130118049765219E-2</v>
      </c>
    </row>
    <row r="428" spans="1:6" ht="13.2" x14ac:dyDescent="0.25">
      <c r="A428" s="68">
        <f t="shared" si="2"/>
        <v>426</v>
      </c>
      <c r="B428" s="61">
        <v>44343</v>
      </c>
      <c r="C428" s="60">
        <v>40200</v>
      </c>
      <c r="D428" s="60">
        <v>689066</v>
      </c>
      <c r="E428" s="60">
        <f t="shared" si="0"/>
        <v>729266</v>
      </c>
      <c r="F428" s="62">
        <f t="shared" si="1"/>
        <v>5.5123919118675493E-2</v>
      </c>
    </row>
    <row r="429" spans="1:6" ht="13.2" x14ac:dyDescent="0.25">
      <c r="A429" s="68">
        <f t="shared" si="2"/>
        <v>427</v>
      </c>
      <c r="B429" s="61">
        <v>44344</v>
      </c>
      <c r="C429" s="60">
        <v>40200</v>
      </c>
      <c r="D429" s="60">
        <v>689075</v>
      </c>
      <c r="E429" s="60">
        <f t="shared" si="0"/>
        <v>729275</v>
      </c>
      <c r="F429" s="62">
        <f t="shared" si="1"/>
        <v>5.5123238833087652E-2</v>
      </c>
    </row>
    <row r="430" spans="1:6" ht="13.2" x14ac:dyDescent="0.25">
      <c r="A430" s="68">
        <f t="shared" si="2"/>
        <v>428</v>
      </c>
      <c r="B430" s="61">
        <v>44345</v>
      </c>
      <c r="C430" s="60">
        <v>40203</v>
      </c>
      <c r="D430" s="60">
        <v>689117</v>
      </c>
      <c r="E430" s="60">
        <f t="shared" si="0"/>
        <v>729320</v>
      </c>
      <c r="F430" s="62">
        <f t="shared" si="1"/>
        <v>5.5123951077716227E-2</v>
      </c>
    </row>
    <row r="431" spans="1:6" ht="13.2" x14ac:dyDescent="0.25">
      <c r="A431" s="68">
        <f t="shared" si="2"/>
        <v>429</v>
      </c>
      <c r="B431" s="61">
        <v>44346</v>
      </c>
      <c r="C431" s="60">
        <v>40228</v>
      </c>
      <c r="D431" s="60">
        <v>689185</v>
      </c>
      <c r="E431" s="60">
        <f t="shared" si="0"/>
        <v>729413</v>
      </c>
      <c r="F431" s="62">
        <f t="shared" si="1"/>
        <v>5.515119692136005E-2</v>
      </c>
    </row>
    <row r="432" spans="1:6" ht="13.2" x14ac:dyDescent="0.25">
      <c r="A432" s="68">
        <f t="shared" si="2"/>
        <v>430</v>
      </c>
      <c r="B432" s="61">
        <v>44347</v>
      </c>
      <c r="C432" s="60">
        <v>40236</v>
      </c>
      <c r="D432" s="60">
        <v>689213</v>
      </c>
      <c r="E432" s="60">
        <f t="shared" si="0"/>
        <v>729449</v>
      </c>
      <c r="F432" s="62">
        <f t="shared" si="1"/>
        <v>5.5159442263955395E-2</v>
      </c>
    </row>
    <row r="433" spans="1:6" ht="13.2" x14ac:dyDescent="0.25">
      <c r="A433" s="68">
        <f t="shared" si="2"/>
        <v>431</v>
      </c>
      <c r="B433" s="61">
        <v>44348</v>
      </c>
      <c r="C433" s="60">
        <v>40237</v>
      </c>
      <c r="D433" s="60">
        <v>689219</v>
      </c>
      <c r="E433" s="60">
        <f t="shared" si="0"/>
        <v>729456</v>
      </c>
      <c r="F433" s="62">
        <f t="shared" si="1"/>
        <v>5.5160283827948499E-2</v>
      </c>
    </row>
    <row r="434" spans="1:6" ht="13.2" x14ac:dyDescent="0.25">
      <c r="A434" s="68">
        <f t="shared" si="2"/>
        <v>432</v>
      </c>
      <c r="B434" s="61">
        <v>44349</v>
      </c>
      <c r="C434" s="60">
        <v>40256</v>
      </c>
      <c r="D434" s="60">
        <v>689304</v>
      </c>
      <c r="E434" s="60">
        <f t="shared" si="0"/>
        <v>729560</v>
      </c>
      <c r="F434" s="62">
        <f t="shared" si="1"/>
        <v>5.517846373156423E-2</v>
      </c>
    </row>
    <row r="435" spans="1:6" ht="13.2" x14ac:dyDescent="0.25">
      <c r="A435" s="68">
        <f t="shared" si="2"/>
        <v>433</v>
      </c>
      <c r="B435" s="61">
        <v>44350</v>
      </c>
      <c r="C435" s="60">
        <v>40257</v>
      </c>
      <c r="D435" s="60">
        <v>689305</v>
      </c>
      <c r="E435" s="60">
        <f t="shared" si="0"/>
        <v>729562</v>
      </c>
      <c r="F435" s="62">
        <f t="shared" si="1"/>
        <v>5.5179683152357169E-2</v>
      </c>
    </row>
    <row r="436" spans="1:6" ht="13.2" x14ac:dyDescent="0.25">
      <c r="A436" s="68">
        <f t="shared" si="2"/>
        <v>434</v>
      </c>
      <c r="B436" s="61">
        <v>44351</v>
      </c>
      <c r="C436" s="60">
        <v>40262</v>
      </c>
      <c r="D436" s="60">
        <v>689345</v>
      </c>
      <c r="E436" s="60">
        <f t="shared" si="0"/>
        <v>729607</v>
      </c>
      <c r="F436" s="62">
        <f t="shared" si="1"/>
        <v>5.5183132837267189E-2</v>
      </c>
    </row>
    <row r="437" spans="1:6" ht="13.2" x14ac:dyDescent="0.25">
      <c r="A437" s="68">
        <f t="shared" si="2"/>
        <v>435</v>
      </c>
      <c r="B437" s="61">
        <v>44352</v>
      </c>
      <c r="C437" s="60">
        <v>40268</v>
      </c>
      <c r="D437" s="60">
        <v>689420</v>
      </c>
      <c r="E437" s="60">
        <f t="shared" si="0"/>
        <v>729688</v>
      </c>
      <c r="F437" s="62">
        <f t="shared" si="1"/>
        <v>5.5185229851662632E-2</v>
      </c>
    </row>
    <row r="438" spans="1:6" ht="13.2" x14ac:dyDescent="0.25">
      <c r="A438" s="68">
        <f t="shared" si="2"/>
        <v>436</v>
      </c>
      <c r="B438" s="61">
        <v>44353</v>
      </c>
      <c r="C438" s="60">
        <v>40286</v>
      </c>
      <c r="D438" s="60">
        <v>689537</v>
      </c>
      <c r="E438" s="60">
        <f t="shared" si="0"/>
        <v>729823</v>
      </c>
      <c r="F438" s="62">
        <f t="shared" si="1"/>
        <v>5.5199685403173097E-2</v>
      </c>
    </row>
    <row r="439" spans="1:6" ht="13.2" x14ac:dyDescent="0.25">
      <c r="A439" s="68">
        <f t="shared" si="2"/>
        <v>437</v>
      </c>
      <c r="B439" s="61">
        <v>44354</v>
      </c>
      <c r="C439" s="60">
        <v>40291</v>
      </c>
      <c r="D439" s="60">
        <v>689548</v>
      </c>
      <c r="E439" s="60">
        <f t="shared" si="0"/>
        <v>729839</v>
      </c>
      <c r="F439" s="62">
        <f t="shared" si="1"/>
        <v>5.5205326106168622E-2</v>
      </c>
    </row>
    <row r="440" spans="1:6" ht="13.2" x14ac:dyDescent="0.25">
      <c r="A440" s="68">
        <f t="shared" si="2"/>
        <v>438</v>
      </c>
      <c r="B440" s="61">
        <v>44355</v>
      </c>
      <c r="C440" s="60">
        <v>40291</v>
      </c>
      <c r="D440" s="60">
        <v>689563</v>
      </c>
      <c r="E440" s="60">
        <f t="shared" si="0"/>
        <v>729854</v>
      </c>
      <c r="F440" s="62">
        <f t="shared" si="1"/>
        <v>5.5204191523236155E-2</v>
      </c>
    </row>
    <row r="441" spans="1:6" ht="13.2" x14ac:dyDescent="0.25">
      <c r="A441" s="68">
        <f t="shared" si="2"/>
        <v>439</v>
      </c>
      <c r="B441" s="61">
        <v>44356</v>
      </c>
      <c r="C441" s="60">
        <v>40293</v>
      </c>
      <c r="D441" s="60">
        <v>689581</v>
      </c>
      <c r="E441" s="60">
        <f t="shared" si="0"/>
        <v>729874</v>
      </c>
      <c r="F441" s="62">
        <f t="shared" si="1"/>
        <v>5.5205419017529053E-2</v>
      </c>
    </row>
    <row r="442" spans="1:6" ht="13.2" x14ac:dyDescent="0.25">
      <c r="A442" s="68">
        <f t="shared" si="2"/>
        <v>440</v>
      </c>
      <c r="B442" s="61">
        <v>44357</v>
      </c>
      <c r="C442" s="60">
        <v>40294</v>
      </c>
      <c r="D442" s="60">
        <v>689608</v>
      </c>
      <c r="E442" s="60">
        <f t="shared" si="0"/>
        <v>729902</v>
      </c>
      <c r="F442" s="62">
        <f t="shared" si="1"/>
        <v>5.5204671312039148E-2</v>
      </c>
    </row>
    <row r="443" spans="1:6" ht="13.2" x14ac:dyDescent="0.25">
      <c r="A443" s="68">
        <f t="shared" si="2"/>
        <v>441</v>
      </c>
      <c r="B443" s="61">
        <v>44358</v>
      </c>
      <c r="C443" s="60">
        <v>40294</v>
      </c>
      <c r="D443" s="60">
        <v>689635</v>
      </c>
      <c r="E443" s="60">
        <f t="shared" si="0"/>
        <v>729929</v>
      </c>
      <c r="F443" s="62">
        <f t="shared" si="1"/>
        <v>5.5202629296822021E-2</v>
      </c>
    </row>
    <row r="444" spans="1:6" ht="13.2" x14ac:dyDescent="0.25">
      <c r="A444" s="68">
        <f t="shared" si="2"/>
        <v>442</v>
      </c>
      <c r="B444" s="61">
        <v>44359</v>
      </c>
      <c r="C444" s="60">
        <v>40298</v>
      </c>
      <c r="D444" s="60">
        <v>689650</v>
      </c>
      <c r="E444" s="60">
        <f t="shared" si="0"/>
        <v>729948</v>
      </c>
      <c r="F444" s="62">
        <f t="shared" si="1"/>
        <v>5.5206672256105913E-2</v>
      </c>
    </row>
    <row r="445" spans="1:6" ht="13.2" x14ac:dyDescent="0.25">
      <c r="A445" s="68">
        <f t="shared" si="2"/>
        <v>443</v>
      </c>
      <c r="B445" s="61">
        <v>44360</v>
      </c>
      <c r="C445" s="60">
        <v>40306</v>
      </c>
      <c r="D445" s="60">
        <v>689734</v>
      </c>
      <c r="E445" s="60">
        <f t="shared" si="0"/>
        <v>730040</v>
      </c>
      <c r="F445" s="62">
        <f t="shared" si="1"/>
        <v>5.5210673387759576E-2</v>
      </c>
    </row>
    <row r="446" spans="1:6" ht="13.2" x14ac:dyDescent="0.25">
      <c r="A446" s="68">
        <f t="shared" si="2"/>
        <v>444</v>
      </c>
      <c r="B446" s="61">
        <v>44361</v>
      </c>
      <c r="C446" s="60">
        <v>40306</v>
      </c>
      <c r="D446" s="60">
        <v>689744</v>
      </c>
      <c r="E446" s="60">
        <f t="shared" si="0"/>
        <v>730050</v>
      </c>
      <c r="F446" s="62">
        <f t="shared" si="1"/>
        <v>5.5209917128963767E-2</v>
      </c>
    </row>
    <row r="447" spans="1:6" ht="13.2" x14ac:dyDescent="0.25">
      <c r="A447" s="68">
        <f t="shared" si="2"/>
        <v>445</v>
      </c>
      <c r="B447" s="61">
        <v>44362</v>
      </c>
      <c r="C447" s="60">
        <v>40306</v>
      </c>
      <c r="D447" s="60">
        <v>689751</v>
      </c>
      <c r="E447" s="60">
        <f t="shared" si="0"/>
        <v>730057</v>
      </c>
      <c r="F447" s="62">
        <f t="shared" si="1"/>
        <v>5.5209387760133795E-2</v>
      </c>
    </row>
    <row r="448" spans="1:6" ht="13.2" x14ac:dyDescent="0.25">
      <c r="A448" s="68">
        <f t="shared" si="2"/>
        <v>446</v>
      </c>
      <c r="B448" s="61">
        <v>44363</v>
      </c>
      <c r="C448" s="60">
        <v>40311</v>
      </c>
      <c r="D448" s="60">
        <v>689768</v>
      </c>
      <c r="E448" s="60">
        <f t="shared" si="0"/>
        <v>730079</v>
      </c>
      <c r="F448" s="62">
        <f t="shared" si="1"/>
        <v>5.5214572669533023E-2</v>
      </c>
    </row>
    <row r="449" spans="1:6" ht="13.2" x14ac:dyDescent="0.25">
      <c r="A449" s="68">
        <f t="shared" si="2"/>
        <v>447</v>
      </c>
      <c r="B449" s="61">
        <v>44364</v>
      </c>
      <c r="C449" s="60">
        <v>40328</v>
      </c>
      <c r="D449" s="60">
        <v>689845</v>
      </c>
      <c r="E449" s="60">
        <f t="shared" si="0"/>
        <v>730173</v>
      </c>
      <c r="F449" s="62">
        <f t="shared" si="1"/>
        <v>5.5230746686059332E-2</v>
      </c>
    </row>
    <row r="450" spans="1:6" ht="13.2" x14ac:dyDescent="0.25">
      <c r="A450" s="68">
        <f t="shared" si="2"/>
        <v>448</v>
      </c>
      <c r="B450" s="61">
        <v>44365</v>
      </c>
      <c r="C450" s="60">
        <v>40351</v>
      </c>
      <c r="D450" s="60">
        <v>689907</v>
      </c>
      <c r="E450" s="60">
        <f t="shared" si="0"/>
        <v>730258</v>
      </c>
      <c r="F450" s="62">
        <f t="shared" si="1"/>
        <v>5.525581369872018E-2</v>
      </c>
    </row>
    <row r="451" spans="1:6" ht="13.2" x14ac:dyDescent="0.25">
      <c r="A451" s="68">
        <f t="shared" si="2"/>
        <v>449</v>
      </c>
      <c r="B451" s="61">
        <v>44366</v>
      </c>
      <c r="C451" s="60">
        <v>40362</v>
      </c>
      <c r="D451" s="60">
        <v>689972</v>
      </c>
      <c r="E451" s="60">
        <f t="shared" si="0"/>
        <v>730334</v>
      </c>
      <c r="F451" s="62">
        <f t="shared" si="1"/>
        <v>5.5265125271451145E-2</v>
      </c>
    </row>
    <row r="452" spans="1:6" ht="13.2" x14ac:dyDescent="0.25">
      <c r="A452" s="68">
        <f t="shared" si="2"/>
        <v>450</v>
      </c>
      <c r="B452" s="61">
        <v>44367</v>
      </c>
      <c r="C452" s="60">
        <v>40369</v>
      </c>
      <c r="D452" s="60">
        <v>690034</v>
      </c>
      <c r="E452" s="60">
        <f t="shared" si="0"/>
        <v>730403</v>
      </c>
      <c r="F452" s="62">
        <f t="shared" si="1"/>
        <v>5.5269488214040742E-2</v>
      </c>
    </row>
    <row r="453" spans="1:6" ht="13.2" x14ac:dyDescent="0.25">
      <c r="A453" s="68">
        <f t="shared" si="2"/>
        <v>451</v>
      </c>
      <c r="B453" s="61">
        <v>44368</v>
      </c>
      <c r="C453" s="60">
        <v>40372</v>
      </c>
      <c r="D453" s="60">
        <v>690065</v>
      </c>
      <c r="E453" s="60">
        <f t="shared" si="0"/>
        <v>730437</v>
      </c>
      <c r="F453" s="62">
        <f t="shared" si="1"/>
        <v>5.5271022689157311E-2</v>
      </c>
    </row>
    <row r="454" spans="1:6" ht="13.2" x14ac:dyDescent="0.25">
      <c r="A454" s="68">
        <f t="shared" si="2"/>
        <v>452</v>
      </c>
      <c r="B454" s="61">
        <v>44369</v>
      </c>
      <c r="C454" s="60">
        <v>40377</v>
      </c>
      <c r="D454" s="60">
        <v>690075</v>
      </c>
      <c r="E454" s="60">
        <f t="shared" si="0"/>
        <v>730452</v>
      </c>
      <c r="F454" s="62">
        <f t="shared" si="1"/>
        <v>5.5276732762727737E-2</v>
      </c>
    </row>
    <row r="455" spans="1:6" ht="13.2" x14ac:dyDescent="0.25">
      <c r="A455" s="68">
        <f t="shared" si="2"/>
        <v>453</v>
      </c>
      <c r="B455" s="61">
        <v>44370</v>
      </c>
      <c r="C455" s="60">
        <v>40383</v>
      </c>
      <c r="D455" s="60">
        <v>690119</v>
      </c>
      <c r="E455" s="60">
        <f t="shared" si="0"/>
        <v>730502</v>
      </c>
      <c r="F455" s="62">
        <f t="shared" si="1"/>
        <v>5.528116281680269E-2</v>
      </c>
    </row>
    <row r="456" spans="1:6" ht="13.2" x14ac:dyDescent="0.25">
      <c r="A456" s="68">
        <f t="shared" si="2"/>
        <v>454</v>
      </c>
      <c r="B456" s="61">
        <v>44371</v>
      </c>
      <c r="C456" s="60">
        <v>40391</v>
      </c>
      <c r="D456" s="60">
        <v>690140</v>
      </c>
      <c r="E456" s="60">
        <f t="shared" si="0"/>
        <v>730531</v>
      </c>
      <c r="F456" s="62">
        <f t="shared" si="1"/>
        <v>5.5289919250517773E-2</v>
      </c>
    </row>
    <row r="457" spans="1:6" ht="13.2" x14ac:dyDescent="0.25">
      <c r="A457" s="68">
        <f t="shared" si="2"/>
        <v>455</v>
      </c>
      <c r="B457" s="61">
        <v>44372</v>
      </c>
      <c r="C457" s="60">
        <v>40405</v>
      </c>
      <c r="D457" s="60">
        <v>690218</v>
      </c>
      <c r="E457" s="60">
        <f t="shared" si="0"/>
        <v>730623</v>
      </c>
      <c r="F457" s="62">
        <f t="shared" si="1"/>
        <v>5.5302118876629947E-2</v>
      </c>
    </row>
    <row r="458" spans="1:6" ht="13.2" x14ac:dyDescent="0.25">
      <c r="A458" s="68">
        <f t="shared" si="2"/>
        <v>456</v>
      </c>
      <c r="B458" s="61">
        <v>44373</v>
      </c>
      <c r="C458" s="60">
        <v>40406</v>
      </c>
      <c r="D458" s="60">
        <v>690249</v>
      </c>
      <c r="E458" s="60">
        <f t="shared" si="0"/>
        <v>730655</v>
      </c>
      <c r="F458" s="62">
        <f t="shared" si="1"/>
        <v>5.5301065482341184E-2</v>
      </c>
    </row>
    <row r="459" spans="1:6" ht="15" customHeight="1" x14ac:dyDescent="0.25">
      <c r="A459" s="68">
        <f t="shared" si="2"/>
        <v>457</v>
      </c>
      <c r="B459" s="61">
        <v>44374</v>
      </c>
      <c r="C459" s="60">
        <v>40409</v>
      </c>
      <c r="D459" s="60">
        <v>690277</v>
      </c>
      <c r="E459" s="60">
        <f t="shared" si="0"/>
        <v>730686</v>
      </c>
      <c r="F459" s="62">
        <f t="shared" si="1"/>
        <v>5.530282501649135E-2</v>
      </c>
    </row>
    <row r="460" spans="1:6" ht="13.2" x14ac:dyDescent="0.25">
      <c r="A460" s="68">
        <f t="shared" si="2"/>
        <v>458</v>
      </c>
      <c r="B460" s="61">
        <v>44375</v>
      </c>
      <c r="C460" s="60">
        <v>40409</v>
      </c>
      <c r="D460" s="60">
        <v>690277</v>
      </c>
      <c r="E460" s="60">
        <f t="shared" si="0"/>
        <v>730686</v>
      </c>
      <c r="F460" s="62">
        <f t="shared" si="1"/>
        <v>5.530282501649135E-2</v>
      </c>
    </row>
    <row r="461" spans="1:6" ht="13.2" x14ac:dyDescent="0.25">
      <c r="C461" s="68"/>
      <c r="D461" s="68"/>
    </row>
    <row r="462" spans="1:6" ht="13.2" x14ac:dyDescent="0.25">
      <c r="C462" s="68"/>
      <c r="D462" s="68"/>
    </row>
    <row r="463" spans="1:6" ht="13.2" x14ac:dyDescent="0.25">
      <c r="C463" s="68"/>
      <c r="D463" s="68"/>
    </row>
    <row r="464" spans="1:6" ht="13.2" x14ac:dyDescent="0.25">
      <c r="C464" s="68"/>
      <c r="D464" s="68"/>
    </row>
    <row r="465" spans="3:4" ht="13.2" x14ac:dyDescent="0.25">
      <c r="C465" s="68"/>
      <c r="D465" s="68"/>
    </row>
    <row r="466" spans="3:4" ht="13.2" x14ac:dyDescent="0.25">
      <c r="C466" s="68"/>
      <c r="D466" s="68"/>
    </row>
    <row r="467" spans="3:4" ht="13.2" x14ac:dyDescent="0.25">
      <c r="C467" s="68"/>
      <c r="D467" s="68"/>
    </row>
    <row r="468" spans="3:4" ht="13.2" x14ac:dyDescent="0.25">
      <c r="C468" s="68"/>
      <c r="D468" s="68"/>
    </row>
    <row r="469" spans="3:4" ht="13.2" x14ac:dyDescent="0.25">
      <c r="C469" s="68"/>
      <c r="D469" s="68"/>
    </row>
    <row r="470" spans="3:4" ht="13.2" x14ac:dyDescent="0.25">
      <c r="C470" s="68"/>
      <c r="D470" s="68"/>
    </row>
    <row r="471" spans="3:4" ht="13.2" x14ac:dyDescent="0.25">
      <c r="C471" s="68"/>
      <c r="D471" s="68"/>
    </row>
    <row r="472" spans="3:4" ht="13.2" x14ac:dyDescent="0.25">
      <c r="C472" s="68"/>
      <c r="D472" s="68"/>
    </row>
    <row r="473" spans="3:4" ht="13.2" x14ac:dyDescent="0.25">
      <c r="C473" s="68"/>
      <c r="D473" s="68"/>
    </row>
    <row r="474" spans="3:4" ht="13.2" x14ac:dyDescent="0.25">
      <c r="C474" s="68"/>
      <c r="D474" s="68"/>
    </row>
    <row r="475" spans="3:4" ht="13.2" x14ac:dyDescent="0.25">
      <c r="C475" s="68"/>
      <c r="D475" s="68"/>
    </row>
    <row r="476" spans="3:4" ht="13.2" x14ac:dyDescent="0.25">
      <c r="C476" s="68"/>
      <c r="D476" s="68"/>
    </row>
    <row r="477" spans="3:4" ht="13.2" x14ac:dyDescent="0.25">
      <c r="C477" s="68"/>
      <c r="D477" s="68"/>
    </row>
    <row r="478" spans="3:4" ht="13.2" x14ac:dyDescent="0.25">
      <c r="C478" s="68"/>
      <c r="D478" s="68"/>
    </row>
    <row r="479" spans="3:4" ht="13.2" x14ac:dyDescent="0.25">
      <c r="C479" s="68"/>
      <c r="D479" s="68"/>
    </row>
    <row r="480" spans="3:4" ht="13.2" x14ac:dyDescent="0.25">
      <c r="C480" s="68"/>
      <c r="D480" s="68"/>
    </row>
    <row r="481" spans="3:4" ht="13.2" x14ac:dyDescent="0.25">
      <c r="C481" s="68"/>
      <c r="D481" s="68"/>
    </row>
    <row r="482" spans="3:4" ht="13.2" x14ac:dyDescent="0.25">
      <c r="C482" s="68"/>
      <c r="D482" s="68"/>
    </row>
    <row r="483" spans="3:4" ht="13.2" x14ac:dyDescent="0.25">
      <c r="C483" s="68"/>
      <c r="D483" s="68"/>
    </row>
    <row r="484" spans="3:4" ht="13.2" x14ac:dyDescent="0.25">
      <c r="C484" s="68"/>
      <c r="D484" s="68"/>
    </row>
    <row r="485" spans="3:4" ht="13.2" x14ac:dyDescent="0.25">
      <c r="C485" s="68"/>
      <c r="D485" s="68"/>
    </row>
    <row r="486" spans="3:4" ht="13.2" x14ac:dyDescent="0.25">
      <c r="C486" s="68"/>
      <c r="D486" s="68"/>
    </row>
    <row r="487" spans="3:4" ht="13.2" x14ac:dyDescent="0.25">
      <c r="C487" s="68"/>
      <c r="D487" s="68"/>
    </row>
    <row r="488" spans="3:4" ht="13.2" x14ac:dyDescent="0.25">
      <c r="C488" s="68"/>
      <c r="D488" s="68"/>
    </row>
    <row r="489" spans="3:4" ht="13.2" x14ac:dyDescent="0.25">
      <c r="C489" s="68"/>
      <c r="D489" s="68"/>
    </row>
    <row r="490" spans="3:4" ht="13.2" x14ac:dyDescent="0.25">
      <c r="C490" s="68"/>
      <c r="D490" s="68"/>
    </row>
    <row r="491" spans="3:4" ht="13.2" x14ac:dyDescent="0.25">
      <c r="C491" s="68"/>
      <c r="D491" s="68"/>
    </row>
    <row r="492" spans="3:4" ht="13.2" x14ac:dyDescent="0.25">
      <c r="C492" s="68"/>
      <c r="D492" s="68"/>
    </row>
    <row r="493" spans="3:4" ht="13.2" x14ac:dyDescent="0.25">
      <c r="C493" s="68"/>
      <c r="D493" s="68"/>
    </row>
    <row r="494" spans="3:4" ht="13.2" x14ac:dyDescent="0.25">
      <c r="C494" s="68"/>
      <c r="D494" s="68"/>
    </row>
    <row r="495" spans="3:4" ht="13.2" x14ac:dyDescent="0.25">
      <c r="C495" s="68"/>
      <c r="D495" s="68"/>
    </row>
    <row r="496" spans="3:4" ht="13.2" x14ac:dyDescent="0.25">
      <c r="C496" s="68"/>
      <c r="D496" s="68"/>
    </row>
    <row r="497" spans="3:4" ht="13.2" x14ac:dyDescent="0.25">
      <c r="C497" s="68"/>
      <c r="D497" s="68"/>
    </row>
    <row r="498" spans="3:4" ht="13.2" x14ac:dyDescent="0.25">
      <c r="C498" s="68"/>
      <c r="D498" s="68"/>
    </row>
    <row r="499" spans="3:4" ht="13.2" x14ac:dyDescent="0.25">
      <c r="C499" s="68"/>
      <c r="D499" s="68"/>
    </row>
    <row r="500" spans="3:4" ht="13.2" x14ac:dyDescent="0.25">
      <c r="C500" s="68"/>
      <c r="D500" s="68"/>
    </row>
    <row r="501" spans="3:4" ht="13.2" x14ac:dyDescent="0.25">
      <c r="C501" s="68"/>
      <c r="D501" s="68"/>
    </row>
    <row r="502" spans="3:4" ht="13.2" x14ac:dyDescent="0.25">
      <c r="C502" s="68"/>
      <c r="D502" s="68"/>
    </row>
    <row r="503" spans="3:4" ht="13.2" x14ac:dyDescent="0.25">
      <c r="C503" s="68"/>
      <c r="D503" s="68"/>
    </row>
    <row r="504" spans="3:4" ht="13.2" x14ac:dyDescent="0.25">
      <c r="C504" s="68"/>
      <c r="D504" s="68"/>
    </row>
    <row r="505" spans="3:4" ht="13.2" x14ac:dyDescent="0.25">
      <c r="C505" s="68"/>
      <c r="D505" s="68"/>
    </row>
    <row r="506" spans="3:4" ht="13.2" x14ac:dyDescent="0.25">
      <c r="C506" s="68"/>
      <c r="D506" s="68"/>
    </row>
    <row r="507" spans="3:4" ht="13.2" x14ac:dyDescent="0.25">
      <c r="C507" s="68"/>
      <c r="D507" s="68"/>
    </row>
    <row r="508" spans="3:4" ht="13.2" x14ac:dyDescent="0.25">
      <c r="C508" s="68"/>
      <c r="D508" s="68"/>
    </row>
    <row r="509" spans="3:4" ht="13.2" x14ac:dyDescent="0.25">
      <c r="C509" s="68"/>
      <c r="D509" s="68"/>
    </row>
    <row r="510" spans="3:4" ht="13.2" x14ac:dyDescent="0.25">
      <c r="C510" s="68"/>
      <c r="D510" s="68"/>
    </row>
    <row r="511" spans="3:4" ht="13.2" x14ac:dyDescent="0.25">
      <c r="C511" s="68"/>
      <c r="D511" s="68"/>
    </row>
    <row r="512" spans="3:4" ht="13.2" x14ac:dyDescent="0.25">
      <c r="C512" s="68"/>
      <c r="D512" s="68"/>
    </row>
    <row r="513" spans="3:4" ht="13.2" x14ac:dyDescent="0.25">
      <c r="C513" s="68"/>
      <c r="D513" s="68"/>
    </row>
    <row r="514" spans="3:4" ht="13.2" x14ac:dyDescent="0.25">
      <c r="C514" s="68"/>
      <c r="D514" s="68"/>
    </row>
    <row r="515" spans="3:4" ht="13.2" x14ac:dyDescent="0.25">
      <c r="C515" s="68"/>
      <c r="D515" s="68"/>
    </row>
    <row r="516" spans="3:4" ht="13.2" x14ac:dyDescent="0.25">
      <c r="C516" s="68"/>
      <c r="D516" s="68"/>
    </row>
    <row r="517" spans="3:4" ht="13.2" x14ac:dyDescent="0.25">
      <c r="C517" s="68"/>
      <c r="D517" s="68"/>
    </row>
    <row r="518" spans="3:4" ht="13.2" x14ac:dyDescent="0.25">
      <c r="C518" s="68"/>
      <c r="D518" s="68"/>
    </row>
    <row r="519" spans="3:4" ht="13.2" x14ac:dyDescent="0.25">
      <c r="C519" s="68"/>
      <c r="D519" s="68"/>
    </row>
    <row r="520" spans="3:4" ht="13.2" x14ac:dyDescent="0.25">
      <c r="C520" s="68"/>
      <c r="D520" s="68"/>
    </row>
    <row r="521" spans="3:4" ht="13.2" x14ac:dyDescent="0.25">
      <c r="C521" s="68"/>
      <c r="D521" s="68"/>
    </row>
    <row r="522" spans="3:4" ht="13.2" x14ac:dyDescent="0.25">
      <c r="C522" s="68"/>
      <c r="D522" s="68"/>
    </row>
    <row r="523" spans="3:4" ht="13.2" x14ac:dyDescent="0.25">
      <c r="C523" s="68"/>
      <c r="D523" s="68"/>
    </row>
    <row r="524" spans="3:4" ht="13.2" x14ac:dyDescent="0.25">
      <c r="C524" s="68"/>
      <c r="D524" s="68"/>
    </row>
    <row r="525" spans="3:4" ht="13.2" x14ac:dyDescent="0.25">
      <c r="C525" s="68"/>
      <c r="D525" s="68"/>
    </row>
    <row r="526" spans="3:4" ht="13.2" x14ac:dyDescent="0.25">
      <c r="C526" s="68"/>
      <c r="D526" s="68"/>
    </row>
    <row r="527" spans="3:4" ht="13.2" x14ac:dyDescent="0.25">
      <c r="C527" s="68"/>
      <c r="D527" s="68"/>
    </row>
    <row r="528" spans="3:4" ht="13.2" x14ac:dyDescent="0.25">
      <c r="C528" s="68"/>
      <c r="D528" s="68"/>
    </row>
    <row r="529" spans="3:4" ht="13.2" x14ac:dyDescent="0.25">
      <c r="C529" s="68"/>
      <c r="D529" s="68"/>
    </row>
    <row r="530" spans="3:4" ht="13.2" x14ac:dyDescent="0.25">
      <c r="C530" s="68"/>
      <c r="D530" s="68"/>
    </row>
    <row r="531" spans="3:4" ht="13.2" x14ac:dyDescent="0.25">
      <c r="C531" s="68"/>
      <c r="D531" s="68"/>
    </row>
    <row r="532" spans="3:4" ht="13.2" x14ac:dyDescent="0.25">
      <c r="C532" s="68"/>
      <c r="D532" s="68"/>
    </row>
    <row r="533" spans="3:4" ht="13.2" x14ac:dyDescent="0.25">
      <c r="C533" s="68"/>
      <c r="D533" s="68"/>
    </row>
    <row r="534" spans="3:4" ht="13.2" x14ac:dyDescent="0.25">
      <c r="C534" s="68"/>
      <c r="D534" s="68"/>
    </row>
    <row r="535" spans="3:4" ht="13.2" x14ac:dyDescent="0.25">
      <c r="C535" s="68"/>
      <c r="D535" s="68"/>
    </row>
    <row r="536" spans="3:4" ht="13.2" x14ac:dyDescent="0.25">
      <c r="C536" s="68"/>
      <c r="D536" s="68"/>
    </row>
    <row r="537" spans="3:4" ht="13.2" x14ac:dyDescent="0.25">
      <c r="C537" s="68"/>
      <c r="D537" s="68"/>
    </row>
    <row r="538" spans="3:4" ht="13.2" x14ac:dyDescent="0.25">
      <c r="C538" s="68"/>
      <c r="D538" s="68"/>
    </row>
    <row r="539" spans="3:4" ht="13.2" x14ac:dyDescent="0.25">
      <c r="C539" s="68"/>
      <c r="D539" s="68"/>
    </row>
    <row r="540" spans="3:4" ht="13.2" x14ac:dyDescent="0.25">
      <c r="C540" s="68"/>
      <c r="D540" s="68"/>
    </row>
    <row r="541" spans="3:4" ht="13.2" x14ac:dyDescent="0.25">
      <c r="C541" s="68"/>
      <c r="D541" s="68"/>
    </row>
    <row r="542" spans="3:4" ht="13.2" x14ac:dyDescent="0.25">
      <c r="C542" s="68"/>
      <c r="D542" s="68"/>
    </row>
    <row r="543" spans="3:4" ht="13.2" x14ac:dyDescent="0.25">
      <c r="C543" s="68"/>
      <c r="D543" s="68"/>
    </row>
    <row r="544" spans="3:4" ht="13.2" x14ac:dyDescent="0.25">
      <c r="C544" s="68"/>
      <c r="D544" s="68"/>
    </row>
    <row r="545" spans="3:4" ht="13.2" x14ac:dyDescent="0.25">
      <c r="C545" s="68"/>
      <c r="D545" s="68"/>
    </row>
    <row r="546" spans="3:4" ht="13.2" x14ac:dyDescent="0.25">
      <c r="C546" s="68"/>
      <c r="D546" s="68"/>
    </row>
    <row r="547" spans="3:4" ht="13.2" x14ac:dyDescent="0.25">
      <c r="C547" s="68"/>
      <c r="D547" s="68"/>
    </row>
    <row r="548" spans="3:4" ht="13.2" x14ac:dyDescent="0.25">
      <c r="C548" s="68"/>
      <c r="D548" s="68"/>
    </row>
    <row r="549" spans="3:4" ht="13.2" x14ac:dyDescent="0.25">
      <c r="C549" s="68"/>
      <c r="D549" s="68"/>
    </row>
    <row r="550" spans="3:4" ht="13.2" x14ac:dyDescent="0.25">
      <c r="C550" s="68"/>
      <c r="D550" s="68"/>
    </row>
    <row r="551" spans="3:4" ht="13.2" x14ac:dyDescent="0.25">
      <c r="C551" s="68"/>
      <c r="D551" s="68"/>
    </row>
    <row r="552" spans="3:4" ht="13.2" x14ac:dyDescent="0.25">
      <c r="C552" s="68"/>
      <c r="D552" s="68"/>
    </row>
    <row r="553" spans="3:4" ht="13.2" x14ac:dyDescent="0.25">
      <c r="C553" s="68"/>
      <c r="D553" s="68"/>
    </row>
    <row r="554" spans="3:4" ht="13.2" x14ac:dyDescent="0.25">
      <c r="C554" s="68"/>
      <c r="D554" s="68"/>
    </row>
    <row r="555" spans="3:4" ht="13.2" x14ac:dyDescent="0.25">
      <c r="C555" s="68"/>
      <c r="D555" s="68"/>
    </row>
    <row r="556" spans="3:4" ht="13.2" x14ac:dyDescent="0.25">
      <c r="C556" s="68"/>
      <c r="D556" s="68"/>
    </row>
    <row r="557" spans="3:4" ht="13.2" x14ac:dyDescent="0.25">
      <c r="C557" s="68"/>
      <c r="D557" s="68"/>
    </row>
    <row r="558" spans="3:4" ht="13.2" x14ac:dyDescent="0.25">
      <c r="C558" s="68"/>
      <c r="D558" s="68"/>
    </row>
    <row r="559" spans="3:4" ht="13.2" x14ac:dyDescent="0.25">
      <c r="C559" s="68"/>
      <c r="D559" s="68"/>
    </row>
    <row r="560" spans="3:4" ht="13.2" x14ac:dyDescent="0.25">
      <c r="C560" s="68"/>
      <c r="D560" s="68"/>
    </row>
    <row r="561" spans="3:4" ht="13.2" x14ac:dyDescent="0.25">
      <c r="C561" s="68"/>
      <c r="D561" s="68"/>
    </row>
    <row r="562" spans="3:4" ht="13.2" x14ac:dyDescent="0.25">
      <c r="C562" s="68"/>
      <c r="D562" s="68"/>
    </row>
    <row r="563" spans="3:4" ht="13.2" x14ac:dyDescent="0.25">
      <c r="C563" s="68"/>
      <c r="D563" s="68"/>
    </row>
    <row r="564" spans="3:4" ht="13.2" x14ac:dyDescent="0.25">
      <c r="C564" s="68"/>
      <c r="D564" s="68"/>
    </row>
    <row r="565" spans="3:4" ht="13.2" x14ac:dyDescent="0.25">
      <c r="C565" s="68"/>
      <c r="D565" s="68"/>
    </row>
    <row r="566" spans="3:4" ht="13.2" x14ac:dyDescent="0.25">
      <c r="C566" s="68"/>
      <c r="D566" s="68"/>
    </row>
    <row r="567" spans="3:4" ht="13.2" x14ac:dyDescent="0.25">
      <c r="C567" s="68"/>
      <c r="D567" s="68"/>
    </row>
    <row r="568" spans="3:4" ht="13.2" x14ac:dyDescent="0.25">
      <c r="C568" s="68"/>
      <c r="D568" s="68"/>
    </row>
    <row r="569" spans="3:4" ht="13.2" x14ac:dyDescent="0.25">
      <c r="C569" s="68"/>
      <c r="D569" s="68"/>
    </row>
    <row r="570" spans="3:4" ht="13.2" x14ac:dyDescent="0.25">
      <c r="C570" s="68"/>
      <c r="D570" s="68"/>
    </row>
    <row r="571" spans="3:4" ht="13.2" x14ac:dyDescent="0.25">
      <c r="C571" s="68"/>
      <c r="D571" s="68"/>
    </row>
    <row r="572" spans="3:4" ht="13.2" x14ac:dyDescent="0.25">
      <c r="C572" s="68"/>
      <c r="D572" s="68"/>
    </row>
    <row r="573" spans="3:4" ht="13.2" x14ac:dyDescent="0.25">
      <c r="C573" s="68"/>
      <c r="D573" s="68"/>
    </row>
    <row r="574" spans="3:4" ht="13.2" x14ac:dyDescent="0.25">
      <c r="C574" s="68"/>
      <c r="D574" s="68"/>
    </row>
    <row r="575" spans="3:4" ht="13.2" x14ac:dyDescent="0.25">
      <c r="C575" s="68"/>
      <c r="D575" s="68"/>
    </row>
    <row r="576" spans="3:4" ht="13.2" x14ac:dyDescent="0.25">
      <c r="C576" s="68"/>
      <c r="D576" s="68"/>
    </row>
    <row r="577" spans="3:4" ht="13.2" x14ac:dyDescent="0.25">
      <c r="C577" s="68"/>
      <c r="D577" s="68"/>
    </row>
    <row r="578" spans="3:4" ht="13.2" x14ac:dyDescent="0.25">
      <c r="C578" s="68"/>
      <c r="D578" s="68"/>
    </row>
    <row r="579" spans="3:4" ht="13.2" x14ac:dyDescent="0.25">
      <c r="C579" s="68"/>
      <c r="D579" s="68"/>
    </row>
    <row r="580" spans="3:4" ht="13.2" x14ac:dyDescent="0.25">
      <c r="C580" s="68"/>
      <c r="D580" s="68"/>
    </row>
    <row r="581" spans="3:4" ht="13.2" x14ac:dyDescent="0.25">
      <c r="C581" s="68"/>
      <c r="D581" s="68"/>
    </row>
    <row r="582" spans="3:4" ht="13.2" x14ac:dyDescent="0.25">
      <c r="C582" s="68"/>
      <c r="D582" s="68"/>
    </row>
    <row r="583" spans="3:4" ht="13.2" x14ac:dyDescent="0.25">
      <c r="C583" s="68"/>
      <c r="D583" s="68"/>
    </row>
    <row r="584" spans="3:4" ht="13.2" x14ac:dyDescent="0.25">
      <c r="C584" s="68"/>
      <c r="D584" s="68"/>
    </row>
    <row r="585" spans="3:4" ht="13.2" x14ac:dyDescent="0.25">
      <c r="C585" s="68"/>
      <c r="D585" s="68"/>
    </row>
    <row r="586" spans="3:4" ht="13.2" x14ac:dyDescent="0.25">
      <c r="C586" s="68"/>
      <c r="D586" s="68"/>
    </row>
    <row r="587" spans="3:4" ht="13.2" x14ac:dyDescent="0.25">
      <c r="C587" s="68"/>
      <c r="D587" s="68"/>
    </row>
    <row r="588" spans="3:4" ht="13.2" x14ac:dyDescent="0.25">
      <c r="C588" s="68"/>
      <c r="D588" s="68"/>
    </row>
    <row r="589" spans="3:4" ht="13.2" x14ac:dyDescent="0.25">
      <c r="C589" s="68"/>
      <c r="D589" s="68"/>
    </row>
    <row r="590" spans="3:4" ht="13.2" x14ac:dyDescent="0.25">
      <c r="C590" s="68"/>
      <c r="D590" s="68"/>
    </row>
    <row r="591" spans="3:4" ht="13.2" x14ac:dyDescent="0.25">
      <c r="C591" s="68"/>
      <c r="D591" s="68"/>
    </row>
    <row r="592" spans="3:4" ht="13.2" x14ac:dyDescent="0.25">
      <c r="C592" s="68"/>
      <c r="D592" s="68"/>
    </row>
    <row r="593" spans="3:4" ht="13.2" x14ac:dyDescent="0.25">
      <c r="C593" s="68"/>
      <c r="D593" s="68"/>
    </row>
    <row r="594" spans="3:4" ht="13.2" x14ac:dyDescent="0.25">
      <c r="C594" s="68"/>
      <c r="D594" s="68"/>
    </row>
    <row r="595" spans="3:4" ht="13.2" x14ac:dyDescent="0.25">
      <c r="C595" s="68"/>
      <c r="D595" s="68"/>
    </row>
    <row r="596" spans="3:4" ht="13.2" x14ac:dyDescent="0.25">
      <c r="C596" s="68"/>
      <c r="D596" s="68"/>
    </row>
    <row r="597" spans="3:4" ht="13.2" x14ac:dyDescent="0.25">
      <c r="C597" s="68"/>
      <c r="D597" s="68"/>
    </row>
    <row r="598" spans="3:4" ht="13.2" x14ac:dyDescent="0.25">
      <c r="C598" s="68"/>
      <c r="D598" s="68"/>
    </row>
    <row r="599" spans="3:4" ht="13.2" x14ac:dyDescent="0.25">
      <c r="C599" s="68"/>
      <c r="D599" s="68"/>
    </row>
    <row r="600" spans="3:4" ht="13.2" x14ac:dyDescent="0.25">
      <c r="C600" s="68"/>
      <c r="D600" s="68"/>
    </row>
    <row r="601" spans="3:4" ht="13.2" x14ac:dyDescent="0.25">
      <c r="C601" s="68"/>
      <c r="D601" s="68"/>
    </row>
    <row r="602" spans="3:4" ht="13.2" x14ac:dyDescent="0.25">
      <c r="C602" s="68"/>
      <c r="D602" s="68"/>
    </row>
    <row r="603" spans="3:4" ht="13.2" x14ac:dyDescent="0.25">
      <c r="C603" s="68"/>
      <c r="D603" s="68"/>
    </row>
    <row r="604" spans="3:4" ht="13.2" x14ac:dyDescent="0.25">
      <c r="C604" s="68"/>
      <c r="D604" s="68"/>
    </row>
    <row r="605" spans="3:4" ht="13.2" x14ac:dyDescent="0.25">
      <c r="C605" s="68"/>
      <c r="D605" s="68"/>
    </row>
    <row r="606" spans="3:4" ht="13.2" x14ac:dyDescent="0.25">
      <c r="C606" s="68"/>
      <c r="D606" s="68"/>
    </row>
    <row r="607" spans="3:4" ht="13.2" x14ac:dyDescent="0.25">
      <c r="C607" s="68"/>
      <c r="D607" s="68"/>
    </row>
    <row r="608" spans="3:4" ht="13.2" x14ac:dyDescent="0.25">
      <c r="C608" s="68"/>
      <c r="D608" s="68"/>
    </row>
    <row r="609" spans="3:4" ht="13.2" x14ac:dyDescent="0.25">
      <c r="C609" s="68"/>
      <c r="D609" s="68"/>
    </row>
    <row r="610" spans="3:4" ht="13.2" x14ac:dyDescent="0.25">
      <c r="C610" s="68"/>
      <c r="D610" s="68"/>
    </row>
    <row r="611" spans="3:4" ht="13.2" x14ac:dyDescent="0.25">
      <c r="C611" s="68"/>
      <c r="D611" s="68"/>
    </row>
    <row r="612" spans="3:4" ht="13.2" x14ac:dyDescent="0.25">
      <c r="C612" s="68"/>
      <c r="D612" s="68"/>
    </row>
    <row r="613" spans="3:4" ht="13.2" x14ac:dyDescent="0.25">
      <c r="C613" s="68"/>
      <c r="D613" s="68"/>
    </row>
    <row r="614" spans="3:4" ht="13.2" x14ac:dyDescent="0.25">
      <c r="C614" s="68"/>
      <c r="D614" s="68"/>
    </row>
    <row r="615" spans="3:4" ht="13.2" x14ac:dyDescent="0.25">
      <c r="C615" s="68"/>
      <c r="D615" s="68"/>
    </row>
    <row r="616" spans="3:4" ht="13.2" x14ac:dyDescent="0.25">
      <c r="C616" s="68"/>
      <c r="D616" s="68"/>
    </row>
    <row r="617" spans="3:4" ht="13.2" x14ac:dyDescent="0.25">
      <c r="C617" s="68"/>
      <c r="D617" s="68"/>
    </row>
    <row r="618" spans="3:4" ht="13.2" x14ac:dyDescent="0.25">
      <c r="C618" s="68"/>
      <c r="D618" s="68"/>
    </row>
    <row r="619" spans="3:4" ht="13.2" x14ac:dyDescent="0.25">
      <c r="C619" s="68"/>
      <c r="D619" s="68"/>
    </row>
    <row r="620" spans="3:4" ht="13.2" x14ac:dyDescent="0.25">
      <c r="C620" s="68"/>
      <c r="D620" s="68"/>
    </row>
    <row r="621" spans="3:4" ht="13.2" x14ac:dyDescent="0.25">
      <c r="C621" s="68"/>
      <c r="D621" s="68"/>
    </row>
    <row r="622" spans="3:4" ht="13.2" x14ac:dyDescent="0.25">
      <c r="C622" s="68"/>
      <c r="D622" s="68"/>
    </row>
    <row r="623" spans="3:4" ht="13.2" x14ac:dyDescent="0.25">
      <c r="C623" s="68"/>
      <c r="D623" s="68"/>
    </row>
    <row r="624" spans="3:4" ht="13.2" x14ac:dyDescent="0.25">
      <c r="C624" s="68"/>
      <c r="D624" s="68"/>
    </row>
    <row r="625" spans="3:4" ht="13.2" x14ac:dyDescent="0.25">
      <c r="C625" s="68"/>
      <c r="D625" s="68"/>
    </row>
    <row r="626" spans="3:4" ht="13.2" x14ac:dyDescent="0.25">
      <c r="C626" s="68"/>
      <c r="D626" s="68"/>
    </row>
    <row r="627" spans="3:4" ht="13.2" x14ac:dyDescent="0.25">
      <c r="C627" s="68"/>
      <c r="D627" s="68"/>
    </row>
    <row r="628" spans="3:4" ht="13.2" x14ac:dyDescent="0.25">
      <c r="C628" s="68"/>
      <c r="D628" s="68"/>
    </row>
    <row r="629" spans="3:4" ht="13.2" x14ac:dyDescent="0.25">
      <c r="C629" s="68"/>
      <c r="D629" s="68"/>
    </row>
    <row r="630" spans="3:4" ht="13.2" x14ac:dyDescent="0.25">
      <c r="C630" s="68"/>
      <c r="D630" s="68"/>
    </row>
    <row r="631" spans="3:4" ht="13.2" x14ac:dyDescent="0.25">
      <c r="C631" s="68"/>
      <c r="D631" s="68"/>
    </row>
    <row r="632" spans="3:4" ht="13.2" x14ac:dyDescent="0.25">
      <c r="C632" s="68"/>
      <c r="D632" s="68"/>
    </row>
    <row r="633" spans="3:4" ht="13.2" x14ac:dyDescent="0.25">
      <c r="C633" s="68"/>
      <c r="D633" s="68"/>
    </row>
    <row r="634" spans="3:4" ht="13.2" x14ac:dyDescent="0.25">
      <c r="C634" s="68"/>
      <c r="D634" s="68"/>
    </row>
    <row r="635" spans="3:4" ht="13.2" x14ac:dyDescent="0.25">
      <c r="C635" s="68"/>
      <c r="D635" s="68"/>
    </row>
    <row r="636" spans="3:4" ht="13.2" x14ac:dyDescent="0.25">
      <c r="C636" s="68"/>
      <c r="D636" s="68"/>
    </row>
    <row r="637" spans="3:4" ht="13.2" x14ac:dyDescent="0.25">
      <c r="C637" s="68"/>
      <c r="D637" s="68"/>
    </row>
    <row r="638" spans="3:4" ht="13.2" x14ac:dyDescent="0.25">
      <c r="C638" s="68"/>
      <c r="D638" s="68"/>
    </row>
    <row r="639" spans="3:4" ht="13.2" x14ac:dyDescent="0.25">
      <c r="C639" s="68"/>
      <c r="D639" s="68"/>
    </row>
    <row r="640" spans="3:4" ht="13.2" x14ac:dyDescent="0.25">
      <c r="C640" s="68"/>
      <c r="D640" s="68"/>
    </row>
    <row r="641" spans="3:4" ht="13.2" x14ac:dyDescent="0.25">
      <c r="C641" s="68"/>
      <c r="D641" s="68"/>
    </row>
    <row r="642" spans="3:4" ht="13.2" x14ac:dyDescent="0.25">
      <c r="C642" s="68"/>
      <c r="D642" s="68"/>
    </row>
    <row r="643" spans="3:4" ht="13.2" x14ac:dyDescent="0.25">
      <c r="C643" s="68"/>
      <c r="D643" s="68"/>
    </row>
    <row r="644" spans="3:4" ht="13.2" x14ac:dyDescent="0.25">
      <c r="C644" s="68"/>
      <c r="D644" s="68"/>
    </row>
    <row r="645" spans="3:4" ht="13.2" x14ac:dyDescent="0.25">
      <c r="C645" s="68"/>
      <c r="D645" s="68"/>
    </row>
    <row r="646" spans="3:4" ht="13.2" x14ac:dyDescent="0.25">
      <c r="C646" s="68"/>
      <c r="D646" s="68"/>
    </row>
    <row r="647" spans="3:4" ht="13.2" x14ac:dyDescent="0.25">
      <c r="C647" s="68"/>
      <c r="D647" s="68"/>
    </row>
    <row r="648" spans="3:4" ht="13.2" x14ac:dyDescent="0.25">
      <c r="C648" s="68"/>
      <c r="D648" s="68"/>
    </row>
    <row r="649" spans="3:4" ht="13.2" x14ac:dyDescent="0.25">
      <c r="C649" s="68"/>
      <c r="D649" s="68"/>
    </row>
    <row r="650" spans="3:4" ht="13.2" x14ac:dyDescent="0.25">
      <c r="C650" s="68"/>
      <c r="D650" s="68"/>
    </row>
    <row r="651" spans="3:4" ht="13.2" x14ac:dyDescent="0.25">
      <c r="C651" s="68"/>
      <c r="D651" s="68"/>
    </row>
    <row r="652" spans="3:4" ht="13.2" x14ac:dyDescent="0.25">
      <c r="C652" s="68"/>
      <c r="D652" s="68"/>
    </row>
    <row r="653" spans="3:4" ht="13.2" x14ac:dyDescent="0.25">
      <c r="C653" s="68"/>
      <c r="D653" s="68"/>
    </row>
    <row r="654" spans="3:4" ht="13.2" x14ac:dyDescent="0.25">
      <c r="C654" s="68"/>
      <c r="D654" s="68"/>
    </row>
    <row r="655" spans="3:4" ht="13.2" x14ac:dyDescent="0.25">
      <c r="C655" s="68"/>
      <c r="D655" s="68"/>
    </row>
    <row r="656" spans="3:4" ht="13.2" x14ac:dyDescent="0.25">
      <c r="C656" s="68"/>
      <c r="D656" s="68"/>
    </row>
    <row r="657" spans="3:4" ht="13.2" x14ac:dyDescent="0.25">
      <c r="C657" s="68"/>
      <c r="D657" s="68"/>
    </row>
    <row r="658" spans="3:4" ht="13.2" x14ac:dyDescent="0.25">
      <c r="C658" s="68"/>
      <c r="D658" s="68"/>
    </row>
    <row r="659" spans="3:4" ht="13.2" x14ac:dyDescent="0.25">
      <c r="C659" s="68"/>
      <c r="D659" s="68"/>
    </row>
    <row r="660" spans="3:4" ht="13.2" x14ac:dyDescent="0.25">
      <c r="C660" s="68"/>
      <c r="D660" s="68"/>
    </row>
    <row r="661" spans="3:4" ht="13.2" x14ac:dyDescent="0.25">
      <c r="C661" s="68"/>
      <c r="D661" s="68"/>
    </row>
    <row r="662" spans="3:4" ht="13.2" x14ac:dyDescent="0.25">
      <c r="C662" s="68"/>
      <c r="D662" s="68"/>
    </row>
    <row r="663" spans="3:4" ht="13.2" x14ac:dyDescent="0.25">
      <c r="C663" s="68"/>
      <c r="D663" s="68"/>
    </row>
    <row r="664" spans="3:4" ht="13.2" x14ac:dyDescent="0.25">
      <c r="C664" s="68"/>
      <c r="D664" s="68"/>
    </row>
    <row r="665" spans="3:4" ht="13.2" x14ac:dyDescent="0.25">
      <c r="C665" s="68"/>
      <c r="D665" s="68"/>
    </row>
    <row r="666" spans="3:4" ht="13.2" x14ac:dyDescent="0.25">
      <c r="C666" s="68"/>
      <c r="D666" s="68"/>
    </row>
    <row r="667" spans="3:4" ht="13.2" x14ac:dyDescent="0.25">
      <c r="C667" s="68"/>
      <c r="D667" s="68"/>
    </row>
    <row r="668" spans="3:4" ht="13.2" x14ac:dyDescent="0.25">
      <c r="C668" s="68"/>
      <c r="D668" s="68"/>
    </row>
    <row r="669" spans="3:4" ht="13.2" x14ac:dyDescent="0.25">
      <c r="C669" s="68"/>
      <c r="D669" s="68"/>
    </row>
    <row r="670" spans="3:4" ht="13.2" x14ac:dyDescent="0.25">
      <c r="C670" s="68"/>
      <c r="D670" s="68"/>
    </row>
    <row r="671" spans="3:4" ht="13.2" x14ac:dyDescent="0.25">
      <c r="C671" s="68"/>
      <c r="D671" s="68"/>
    </row>
    <row r="672" spans="3:4" ht="13.2" x14ac:dyDescent="0.25">
      <c r="C672" s="68"/>
      <c r="D672" s="68"/>
    </row>
    <row r="673" spans="3:4" ht="13.2" x14ac:dyDescent="0.25">
      <c r="C673" s="68"/>
      <c r="D673" s="68"/>
    </row>
    <row r="674" spans="3:4" ht="13.2" x14ac:dyDescent="0.25">
      <c r="C674" s="68"/>
      <c r="D674" s="68"/>
    </row>
    <row r="675" spans="3:4" ht="13.2" x14ac:dyDescent="0.25">
      <c r="C675" s="68"/>
      <c r="D675" s="68"/>
    </row>
    <row r="676" spans="3:4" ht="13.2" x14ac:dyDescent="0.25">
      <c r="C676" s="68"/>
      <c r="D676" s="68"/>
    </row>
    <row r="677" spans="3:4" ht="13.2" x14ac:dyDescent="0.25">
      <c r="C677" s="68"/>
      <c r="D677" s="68"/>
    </row>
    <row r="678" spans="3:4" ht="13.2" x14ac:dyDescent="0.25">
      <c r="C678" s="68"/>
      <c r="D678" s="68"/>
    </row>
    <row r="679" spans="3:4" ht="13.2" x14ac:dyDescent="0.25">
      <c r="C679" s="68"/>
      <c r="D679" s="68"/>
    </row>
    <row r="680" spans="3:4" ht="13.2" x14ac:dyDescent="0.25">
      <c r="C680" s="68"/>
      <c r="D680" s="68"/>
    </row>
    <row r="681" spans="3:4" ht="13.2" x14ac:dyDescent="0.25">
      <c r="C681" s="68"/>
      <c r="D681" s="68"/>
    </row>
    <row r="682" spans="3:4" ht="13.2" x14ac:dyDescent="0.25">
      <c r="C682" s="68"/>
      <c r="D682" s="68"/>
    </row>
    <row r="683" spans="3:4" ht="13.2" x14ac:dyDescent="0.25">
      <c r="C683" s="68"/>
      <c r="D683" s="68"/>
    </row>
    <row r="684" spans="3:4" ht="13.2" x14ac:dyDescent="0.25">
      <c r="C684" s="68"/>
      <c r="D684" s="68"/>
    </row>
    <row r="685" spans="3:4" ht="13.2" x14ac:dyDescent="0.25">
      <c r="C685" s="68"/>
      <c r="D685" s="68"/>
    </row>
    <row r="686" spans="3:4" ht="13.2" x14ac:dyDescent="0.25">
      <c r="C686" s="68"/>
      <c r="D686" s="68"/>
    </row>
    <row r="687" spans="3:4" ht="13.2" x14ac:dyDescent="0.25">
      <c r="C687" s="68"/>
      <c r="D687" s="68"/>
    </row>
    <row r="688" spans="3:4" ht="13.2" x14ac:dyDescent="0.25">
      <c r="C688" s="68"/>
      <c r="D688" s="68"/>
    </row>
    <row r="689" spans="3:4" ht="13.2" x14ac:dyDescent="0.25">
      <c r="C689" s="68"/>
      <c r="D689" s="68"/>
    </row>
    <row r="690" spans="3:4" ht="13.2" x14ac:dyDescent="0.25">
      <c r="C690" s="68"/>
      <c r="D690" s="68"/>
    </row>
    <row r="691" spans="3:4" ht="13.2" x14ac:dyDescent="0.25">
      <c r="C691" s="68"/>
      <c r="D691" s="68"/>
    </row>
    <row r="692" spans="3:4" ht="13.2" x14ac:dyDescent="0.25">
      <c r="C692" s="68"/>
      <c r="D692" s="68"/>
    </row>
    <row r="693" spans="3:4" ht="13.2" x14ac:dyDescent="0.25">
      <c r="C693" s="68"/>
      <c r="D693" s="68"/>
    </row>
    <row r="694" spans="3:4" ht="13.2" x14ac:dyDescent="0.25">
      <c r="C694" s="68"/>
      <c r="D694" s="68"/>
    </row>
    <row r="695" spans="3:4" ht="13.2" x14ac:dyDescent="0.25">
      <c r="C695" s="68"/>
      <c r="D695" s="68"/>
    </row>
    <row r="696" spans="3:4" ht="13.2" x14ac:dyDescent="0.25">
      <c r="C696" s="68"/>
      <c r="D696" s="68"/>
    </row>
    <row r="697" spans="3:4" ht="13.2" x14ac:dyDescent="0.25">
      <c r="C697" s="68"/>
      <c r="D697" s="68"/>
    </row>
    <row r="698" spans="3:4" ht="13.2" x14ac:dyDescent="0.25">
      <c r="C698" s="68"/>
      <c r="D698" s="68"/>
    </row>
    <row r="699" spans="3:4" ht="13.2" x14ac:dyDescent="0.25">
      <c r="C699" s="68"/>
      <c r="D699" s="68"/>
    </row>
    <row r="700" spans="3:4" ht="13.2" x14ac:dyDescent="0.25">
      <c r="C700" s="68"/>
      <c r="D700" s="68"/>
    </row>
    <row r="701" spans="3:4" ht="13.2" x14ac:dyDescent="0.25">
      <c r="C701" s="68"/>
      <c r="D701" s="68"/>
    </row>
    <row r="702" spans="3:4" ht="13.2" x14ac:dyDescent="0.25">
      <c r="C702" s="68"/>
      <c r="D702" s="68"/>
    </row>
    <row r="703" spans="3:4" ht="13.2" x14ac:dyDescent="0.25">
      <c r="C703" s="68"/>
      <c r="D703" s="68"/>
    </row>
    <row r="704" spans="3:4" ht="13.2" x14ac:dyDescent="0.25">
      <c r="C704" s="68"/>
      <c r="D704" s="68"/>
    </row>
    <row r="705" spans="3:4" ht="13.2" x14ac:dyDescent="0.25">
      <c r="C705" s="68"/>
      <c r="D705" s="68"/>
    </row>
    <row r="706" spans="3:4" ht="13.2" x14ac:dyDescent="0.25">
      <c r="C706" s="68"/>
      <c r="D706" s="68"/>
    </row>
    <row r="707" spans="3:4" ht="13.2" x14ac:dyDescent="0.25">
      <c r="C707" s="68"/>
      <c r="D707" s="68"/>
    </row>
    <row r="708" spans="3:4" ht="13.2" x14ac:dyDescent="0.25">
      <c r="C708" s="68"/>
      <c r="D708" s="68"/>
    </row>
    <row r="709" spans="3:4" ht="13.2" x14ac:dyDescent="0.25">
      <c r="C709" s="68"/>
      <c r="D709" s="68"/>
    </row>
    <row r="710" spans="3:4" ht="13.2" x14ac:dyDescent="0.25">
      <c r="C710" s="68"/>
      <c r="D710" s="68"/>
    </row>
    <row r="711" spans="3:4" ht="13.2" x14ac:dyDescent="0.25">
      <c r="C711" s="68"/>
      <c r="D711" s="68"/>
    </row>
    <row r="712" spans="3:4" ht="13.2" x14ac:dyDescent="0.25">
      <c r="C712" s="68"/>
      <c r="D712" s="68"/>
    </row>
    <row r="713" spans="3:4" ht="13.2" x14ac:dyDescent="0.25">
      <c r="C713" s="68"/>
      <c r="D713" s="68"/>
    </row>
    <row r="714" spans="3:4" ht="13.2" x14ac:dyDescent="0.25">
      <c r="C714" s="68"/>
      <c r="D714" s="68"/>
    </row>
    <row r="715" spans="3:4" ht="13.2" x14ac:dyDescent="0.25">
      <c r="C715" s="68"/>
      <c r="D715" s="68"/>
    </row>
    <row r="716" spans="3:4" ht="13.2" x14ac:dyDescent="0.25">
      <c r="C716" s="68"/>
      <c r="D716" s="68"/>
    </row>
    <row r="717" spans="3:4" ht="13.2" x14ac:dyDescent="0.25">
      <c r="C717" s="68"/>
      <c r="D717" s="68"/>
    </row>
    <row r="718" spans="3:4" ht="13.2" x14ac:dyDescent="0.25">
      <c r="C718" s="68"/>
      <c r="D718" s="68"/>
    </row>
    <row r="719" spans="3:4" ht="13.2" x14ac:dyDescent="0.25">
      <c r="C719" s="68"/>
      <c r="D719" s="68"/>
    </row>
    <row r="720" spans="3:4" ht="13.2" x14ac:dyDescent="0.25">
      <c r="C720" s="68"/>
      <c r="D720" s="68"/>
    </row>
    <row r="721" spans="3:4" ht="13.2" x14ac:dyDescent="0.25">
      <c r="C721" s="68"/>
      <c r="D721" s="68"/>
    </row>
    <row r="722" spans="3:4" ht="13.2" x14ac:dyDescent="0.25">
      <c r="C722" s="68"/>
      <c r="D722" s="68"/>
    </row>
    <row r="723" spans="3:4" ht="13.2" x14ac:dyDescent="0.25">
      <c r="C723" s="68"/>
      <c r="D723" s="68"/>
    </row>
    <row r="724" spans="3:4" ht="13.2" x14ac:dyDescent="0.25">
      <c r="C724" s="68"/>
      <c r="D724" s="68"/>
    </row>
    <row r="725" spans="3:4" ht="13.2" x14ac:dyDescent="0.25">
      <c r="C725" s="68"/>
      <c r="D725" s="68"/>
    </row>
    <row r="726" spans="3:4" ht="13.2" x14ac:dyDescent="0.25">
      <c r="C726" s="68"/>
      <c r="D726" s="68"/>
    </row>
    <row r="727" spans="3:4" ht="13.2" x14ac:dyDescent="0.25">
      <c r="C727" s="68"/>
      <c r="D727" s="68"/>
    </row>
    <row r="728" spans="3:4" ht="13.2" x14ac:dyDescent="0.25">
      <c r="C728" s="68"/>
      <c r="D728" s="68"/>
    </row>
    <row r="729" spans="3:4" ht="13.2" x14ac:dyDescent="0.25">
      <c r="C729" s="68"/>
      <c r="D729" s="68"/>
    </row>
    <row r="730" spans="3:4" ht="13.2" x14ac:dyDescent="0.25">
      <c r="C730" s="68"/>
      <c r="D730" s="68"/>
    </row>
    <row r="731" spans="3:4" ht="13.2" x14ac:dyDescent="0.25">
      <c r="C731" s="68"/>
      <c r="D731" s="68"/>
    </row>
    <row r="732" spans="3:4" ht="13.2" x14ac:dyDescent="0.25">
      <c r="C732" s="68"/>
      <c r="D732" s="68"/>
    </row>
    <row r="733" spans="3:4" ht="13.2" x14ac:dyDescent="0.25">
      <c r="C733" s="68"/>
      <c r="D733" s="68"/>
    </row>
    <row r="734" spans="3:4" ht="13.2" x14ac:dyDescent="0.25">
      <c r="C734" s="68"/>
      <c r="D734" s="68"/>
    </row>
    <row r="735" spans="3:4" ht="13.2" x14ac:dyDescent="0.25">
      <c r="C735" s="68"/>
      <c r="D735" s="68"/>
    </row>
    <row r="736" spans="3:4" ht="13.2" x14ac:dyDescent="0.25">
      <c r="C736" s="68"/>
      <c r="D736" s="68"/>
    </row>
    <row r="737" spans="3:4" ht="13.2" x14ac:dyDescent="0.25">
      <c r="C737" s="68"/>
      <c r="D737" s="68"/>
    </row>
    <row r="738" spans="3:4" ht="13.2" x14ac:dyDescent="0.25">
      <c r="C738" s="68"/>
      <c r="D738" s="68"/>
    </row>
    <row r="739" spans="3:4" ht="13.2" x14ac:dyDescent="0.25">
      <c r="C739" s="68"/>
      <c r="D739" s="68"/>
    </row>
    <row r="740" spans="3:4" ht="13.2" x14ac:dyDescent="0.25">
      <c r="C740" s="68"/>
      <c r="D740" s="68"/>
    </row>
    <row r="741" spans="3:4" ht="13.2" x14ac:dyDescent="0.25">
      <c r="C741" s="68"/>
      <c r="D741" s="68"/>
    </row>
    <row r="742" spans="3:4" ht="13.2" x14ac:dyDescent="0.25">
      <c r="C742" s="68"/>
      <c r="D742" s="68"/>
    </row>
    <row r="743" spans="3:4" ht="13.2" x14ac:dyDescent="0.25">
      <c r="C743" s="68"/>
      <c r="D743" s="68"/>
    </row>
    <row r="744" spans="3:4" ht="13.2" x14ac:dyDescent="0.25">
      <c r="C744" s="68"/>
      <c r="D744" s="68"/>
    </row>
    <row r="745" spans="3:4" ht="13.2" x14ac:dyDescent="0.25">
      <c r="C745" s="68"/>
      <c r="D745" s="68"/>
    </row>
    <row r="746" spans="3:4" ht="13.2" x14ac:dyDescent="0.25">
      <c r="C746" s="68"/>
      <c r="D746" s="68"/>
    </row>
    <row r="747" spans="3:4" ht="13.2" x14ac:dyDescent="0.25">
      <c r="C747" s="68"/>
      <c r="D747" s="68"/>
    </row>
    <row r="748" spans="3:4" ht="13.2" x14ac:dyDescent="0.25">
      <c r="C748" s="68"/>
      <c r="D748" s="68"/>
    </row>
    <row r="749" spans="3:4" ht="13.2" x14ac:dyDescent="0.25">
      <c r="C749" s="68"/>
      <c r="D749" s="68"/>
    </row>
    <row r="750" spans="3:4" ht="13.2" x14ac:dyDescent="0.25">
      <c r="C750" s="68"/>
      <c r="D750" s="68"/>
    </row>
    <row r="751" spans="3:4" ht="13.2" x14ac:dyDescent="0.25">
      <c r="C751" s="68"/>
      <c r="D751" s="68"/>
    </row>
    <row r="752" spans="3:4" ht="13.2" x14ac:dyDescent="0.25">
      <c r="C752" s="68"/>
      <c r="D752" s="68"/>
    </row>
    <row r="753" spans="3:4" ht="13.2" x14ac:dyDescent="0.25">
      <c r="C753" s="68"/>
      <c r="D753" s="68"/>
    </row>
    <row r="754" spans="3:4" ht="13.2" x14ac:dyDescent="0.25">
      <c r="C754" s="68"/>
      <c r="D754" s="68"/>
    </row>
    <row r="755" spans="3:4" ht="13.2" x14ac:dyDescent="0.25">
      <c r="C755" s="68"/>
      <c r="D755" s="68"/>
    </row>
    <row r="756" spans="3:4" ht="13.2" x14ac:dyDescent="0.25">
      <c r="C756" s="68"/>
      <c r="D756" s="68"/>
    </row>
    <row r="757" spans="3:4" ht="13.2" x14ac:dyDescent="0.25">
      <c r="C757" s="68"/>
      <c r="D757" s="68"/>
    </row>
    <row r="758" spans="3:4" ht="13.2" x14ac:dyDescent="0.25">
      <c r="C758" s="68"/>
      <c r="D758" s="68"/>
    </row>
    <row r="759" spans="3:4" ht="13.2" x14ac:dyDescent="0.25">
      <c r="C759" s="68"/>
      <c r="D759" s="68"/>
    </row>
    <row r="760" spans="3:4" ht="13.2" x14ac:dyDescent="0.25">
      <c r="C760" s="68"/>
      <c r="D760" s="68"/>
    </row>
    <row r="761" spans="3:4" ht="13.2" x14ac:dyDescent="0.25">
      <c r="C761" s="68"/>
      <c r="D761" s="68"/>
    </row>
    <row r="762" spans="3:4" ht="13.2" x14ac:dyDescent="0.25">
      <c r="C762" s="68"/>
      <c r="D762" s="68"/>
    </row>
    <row r="763" spans="3:4" ht="13.2" x14ac:dyDescent="0.25">
      <c r="C763" s="68"/>
      <c r="D763" s="68"/>
    </row>
    <row r="764" spans="3:4" ht="13.2" x14ac:dyDescent="0.25">
      <c r="C764" s="68"/>
      <c r="D764" s="68"/>
    </row>
    <row r="765" spans="3:4" ht="13.2" x14ac:dyDescent="0.25">
      <c r="C765" s="68"/>
      <c r="D765" s="68"/>
    </row>
    <row r="766" spans="3:4" ht="13.2" x14ac:dyDescent="0.25">
      <c r="C766" s="68"/>
      <c r="D766" s="68"/>
    </row>
    <row r="767" spans="3:4" ht="13.2" x14ac:dyDescent="0.25">
      <c r="C767" s="68"/>
      <c r="D767" s="68"/>
    </row>
    <row r="768" spans="3:4" ht="13.2" x14ac:dyDescent="0.25">
      <c r="C768" s="68"/>
      <c r="D768" s="68"/>
    </row>
    <row r="769" spans="3:4" ht="13.2" x14ac:dyDescent="0.25">
      <c r="C769" s="68"/>
      <c r="D769" s="68"/>
    </row>
    <row r="770" spans="3:4" ht="13.2" x14ac:dyDescent="0.25">
      <c r="C770" s="68"/>
      <c r="D770" s="68"/>
    </row>
    <row r="771" spans="3:4" ht="13.2" x14ac:dyDescent="0.25">
      <c r="C771" s="68"/>
      <c r="D771" s="68"/>
    </row>
    <row r="772" spans="3:4" ht="13.2" x14ac:dyDescent="0.25">
      <c r="C772" s="68"/>
      <c r="D772" s="68"/>
    </row>
    <row r="773" spans="3:4" ht="13.2" x14ac:dyDescent="0.25">
      <c r="C773" s="68"/>
      <c r="D773" s="68"/>
    </row>
    <row r="774" spans="3:4" ht="13.2" x14ac:dyDescent="0.25">
      <c r="C774" s="68"/>
      <c r="D774" s="68"/>
    </row>
    <row r="775" spans="3:4" ht="13.2" x14ac:dyDescent="0.25">
      <c r="C775" s="68"/>
      <c r="D775" s="68"/>
    </row>
    <row r="776" spans="3:4" ht="13.2" x14ac:dyDescent="0.25">
      <c r="C776" s="68"/>
      <c r="D776" s="68"/>
    </row>
    <row r="777" spans="3:4" ht="13.2" x14ac:dyDescent="0.25">
      <c r="C777" s="68"/>
      <c r="D777" s="68"/>
    </row>
    <row r="778" spans="3:4" ht="13.2" x14ac:dyDescent="0.25">
      <c r="C778" s="68"/>
      <c r="D778" s="68"/>
    </row>
    <row r="779" spans="3:4" ht="13.2" x14ac:dyDescent="0.25">
      <c r="C779" s="68"/>
      <c r="D779" s="68"/>
    </row>
    <row r="780" spans="3:4" ht="13.2" x14ac:dyDescent="0.25">
      <c r="C780" s="68"/>
      <c r="D780" s="68"/>
    </row>
    <row r="781" spans="3:4" ht="13.2" x14ac:dyDescent="0.25">
      <c r="C781" s="68"/>
      <c r="D781" s="68"/>
    </row>
    <row r="782" spans="3:4" ht="13.2" x14ac:dyDescent="0.25">
      <c r="C782" s="68"/>
      <c r="D782" s="68"/>
    </row>
    <row r="783" spans="3:4" ht="13.2" x14ac:dyDescent="0.25">
      <c r="C783" s="68"/>
      <c r="D783" s="68"/>
    </row>
    <row r="784" spans="3:4" ht="13.2" x14ac:dyDescent="0.25">
      <c r="C784" s="68"/>
      <c r="D784" s="68"/>
    </row>
    <row r="785" spans="3:4" ht="13.2" x14ac:dyDescent="0.25">
      <c r="C785" s="68"/>
      <c r="D785" s="68"/>
    </row>
    <row r="786" spans="3:4" ht="13.2" x14ac:dyDescent="0.25">
      <c r="C786" s="68"/>
      <c r="D786" s="68"/>
    </row>
    <row r="787" spans="3:4" ht="13.2" x14ac:dyDescent="0.25">
      <c r="C787" s="68"/>
      <c r="D787" s="68"/>
    </row>
    <row r="788" spans="3:4" ht="13.2" x14ac:dyDescent="0.25">
      <c r="C788" s="68"/>
      <c r="D788" s="68"/>
    </row>
    <row r="789" spans="3:4" ht="13.2" x14ac:dyDescent="0.25">
      <c r="C789" s="68"/>
      <c r="D789" s="68"/>
    </row>
    <row r="790" spans="3:4" ht="13.2" x14ac:dyDescent="0.25">
      <c r="C790" s="68"/>
      <c r="D790" s="68"/>
    </row>
    <row r="791" spans="3:4" ht="13.2" x14ac:dyDescent="0.25">
      <c r="C791" s="68"/>
      <c r="D791" s="68"/>
    </row>
    <row r="792" spans="3:4" ht="13.2" x14ac:dyDescent="0.25">
      <c r="C792" s="68"/>
      <c r="D792" s="68"/>
    </row>
    <row r="793" spans="3:4" ht="13.2" x14ac:dyDescent="0.25">
      <c r="C793" s="68"/>
      <c r="D793" s="68"/>
    </row>
    <row r="794" spans="3:4" ht="13.2" x14ac:dyDescent="0.25">
      <c r="C794" s="68"/>
      <c r="D794" s="68"/>
    </row>
    <row r="795" spans="3:4" ht="13.2" x14ac:dyDescent="0.25">
      <c r="C795" s="68"/>
      <c r="D795" s="68"/>
    </row>
    <row r="796" spans="3:4" ht="13.2" x14ac:dyDescent="0.25">
      <c r="C796" s="68"/>
      <c r="D796" s="68"/>
    </row>
    <row r="797" spans="3:4" ht="13.2" x14ac:dyDescent="0.25">
      <c r="C797" s="68"/>
      <c r="D797" s="68"/>
    </row>
    <row r="798" spans="3:4" ht="13.2" x14ac:dyDescent="0.25">
      <c r="C798" s="68"/>
      <c r="D798" s="68"/>
    </row>
    <row r="799" spans="3:4" ht="13.2" x14ac:dyDescent="0.25">
      <c r="C799" s="68"/>
      <c r="D799" s="68"/>
    </row>
    <row r="800" spans="3:4" ht="13.2" x14ac:dyDescent="0.25">
      <c r="C800" s="68"/>
      <c r="D800" s="68"/>
    </row>
    <row r="801" spans="3:4" ht="13.2" x14ac:dyDescent="0.25">
      <c r="C801" s="68"/>
      <c r="D801" s="68"/>
    </row>
    <row r="802" spans="3:4" ht="13.2" x14ac:dyDescent="0.25">
      <c r="C802" s="68"/>
      <c r="D802" s="68"/>
    </row>
    <row r="803" spans="3:4" ht="13.2" x14ac:dyDescent="0.25">
      <c r="C803" s="68"/>
      <c r="D803" s="68"/>
    </row>
    <row r="804" spans="3:4" ht="13.2" x14ac:dyDescent="0.25">
      <c r="C804" s="68"/>
      <c r="D804" s="68"/>
    </row>
    <row r="805" spans="3:4" ht="13.2" x14ac:dyDescent="0.25">
      <c r="C805" s="68"/>
      <c r="D805" s="68"/>
    </row>
    <row r="806" spans="3:4" ht="13.2" x14ac:dyDescent="0.25">
      <c r="C806" s="68"/>
      <c r="D806" s="68"/>
    </row>
    <row r="807" spans="3:4" ht="13.2" x14ac:dyDescent="0.25">
      <c r="C807" s="68"/>
      <c r="D807" s="68"/>
    </row>
    <row r="808" spans="3:4" ht="13.2" x14ac:dyDescent="0.25">
      <c r="C808" s="68"/>
      <c r="D808" s="68"/>
    </row>
    <row r="809" spans="3:4" ht="13.2" x14ac:dyDescent="0.25">
      <c r="C809" s="68"/>
      <c r="D809" s="68"/>
    </row>
    <row r="810" spans="3:4" ht="13.2" x14ac:dyDescent="0.25">
      <c r="C810" s="68"/>
      <c r="D810" s="68"/>
    </row>
    <row r="811" spans="3:4" ht="13.2" x14ac:dyDescent="0.25">
      <c r="C811" s="68"/>
      <c r="D811" s="68"/>
    </row>
    <row r="812" spans="3:4" ht="13.2" x14ac:dyDescent="0.25">
      <c r="C812" s="68"/>
      <c r="D812" s="68"/>
    </row>
    <row r="813" spans="3:4" ht="13.2" x14ac:dyDescent="0.25">
      <c r="C813" s="68"/>
      <c r="D813" s="68"/>
    </row>
    <row r="814" spans="3:4" ht="13.2" x14ac:dyDescent="0.25">
      <c r="C814" s="68"/>
      <c r="D814" s="68"/>
    </row>
    <row r="815" spans="3:4" ht="13.2" x14ac:dyDescent="0.25">
      <c r="C815" s="68"/>
      <c r="D815" s="68"/>
    </row>
    <row r="816" spans="3:4" ht="13.2" x14ac:dyDescent="0.25">
      <c r="C816" s="68"/>
      <c r="D816" s="68"/>
    </row>
    <row r="817" spans="3:4" ht="13.2" x14ac:dyDescent="0.25">
      <c r="C817" s="68"/>
      <c r="D817" s="68"/>
    </row>
    <row r="818" spans="3:4" ht="13.2" x14ac:dyDescent="0.25">
      <c r="C818" s="68"/>
      <c r="D818" s="68"/>
    </row>
    <row r="819" spans="3:4" ht="13.2" x14ac:dyDescent="0.25">
      <c r="C819" s="68"/>
      <c r="D819" s="68"/>
    </row>
    <row r="820" spans="3:4" ht="13.2" x14ac:dyDescent="0.25">
      <c r="C820" s="68"/>
      <c r="D820" s="68"/>
    </row>
    <row r="821" spans="3:4" ht="13.2" x14ac:dyDescent="0.25">
      <c r="C821" s="68"/>
      <c r="D821" s="68"/>
    </row>
    <row r="822" spans="3:4" ht="13.2" x14ac:dyDescent="0.25">
      <c r="C822" s="68"/>
      <c r="D822" s="68"/>
    </row>
    <row r="823" spans="3:4" ht="13.2" x14ac:dyDescent="0.25">
      <c r="C823" s="68"/>
      <c r="D823" s="68"/>
    </row>
    <row r="824" spans="3:4" ht="13.2" x14ac:dyDescent="0.25">
      <c r="C824" s="68"/>
      <c r="D824" s="68"/>
    </row>
    <row r="825" spans="3:4" ht="13.2" x14ac:dyDescent="0.25">
      <c r="C825" s="68"/>
      <c r="D825" s="68"/>
    </row>
    <row r="826" spans="3:4" ht="13.2" x14ac:dyDescent="0.25">
      <c r="C826" s="68"/>
      <c r="D826" s="68"/>
    </row>
    <row r="827" spans="3:4" ht="13.2" x14ac:dyDescent="0.25">
      <c r="C827" s="68"/>
      <c r="D827" s="68"/>
    </row>
    <row r="828" spans="3:4" ht="13.2" x14ac:dyDescent="0.25">
      <c r="C828" s="68"/>
      <c r="D828" s="68"/>
    </row>
    <row r="829" spans="3:4" ht="13.2" x14ac:dyDescent="0.25">
      <c r="C829" s="68"/>
      <c r="D829" s="68"/>
    </row>
    <row r="830" spans="3:4" ht="13.2" x14ac:dyDescent="0.25">
      <c r="C830" s="68"/>
      <c r="D830" s="68"/>
    </row>
    <row r="831" spans="3:4" ht="13.2" x14ac:dyDescent="0.25">
      <c r="C831" s="68"/>
      <c r="D831" s="68"/>
    </row>
    <row r="832" spans="3:4" ht="13.2" x14ac:dyDescent="0.25">
      <c r="C832" s="68"/>
      <c r="D832" s="68"/>
    </row>
    <row r="833" spans="3:4" ht="13.2" x14ac:dyDescent="0.25">
      <c r="C833" s="68"/>
      <c r="D833" s="68"/>
    </row>
    <row r="834" spans="3:4" ht="13.2" x14ac:dyDescent="0.25">
      <c r="C834" s="68"/>
      <c r="D834" s="68"/>
    </row>
    <row r="835" spans="3:4" ht="13.2" x14ac:dyDescent="0.25">
      <c r="C835" s="68"/>
      <c r="D835" s="68"/>
    </row>
    <row r="836" spans="3:4" ht="13.2" x14ac:dyDescent="0.25">
      <c r="C836" s="68"/>
      <c r="D836" s="68"/>
    </row>
    <row r="837" spans="3:4" ht="13.2" x14ac:dyDescent="0.25">
      <c r="C837" s="68"/>
      <c r="D837" s="68"/>
    </row>
    <row r="838" spans="3:4" ht="13.2" x14ac:dyDescent="0.25">
      <c r="C838" s="68"/>
      <c r="D838" s="68"/>
    </row>
    <row r="839" spans="3:4" ht="13.2" x14ac:dyDescent="0.25">
      <c r="C839" s="68"/>
      <c r="D839" s="68"/>
    </row>
    <row r="840" spans="3:4" ht="13.2" x14ac:dyDescent="0.25">
      <c r="C840" s="68"/>
      <c r="D840" s="68"/>
    </row>
    <row r="841" spans="3:4" ht="13.2" x14ac:dyDescent="0.25">
      <c r="C841" s="68"/>
      <c r="D841" s="68"/>
    </row>
    <row r="842" spans="3:4" ht="13.2" x14ac:dyDescent="0.25">
      <c r="C842" s="68"/>
      <c r="D842" s="68"/>
    </row>
    <row r="843" spans="3:4" ht="13.2" x14ac:dyDescent="0.25">
      <c r="C843" s="68"/>
      <c r="D843" s="68"/>
    </row>
    <row r="844" spans="3:4" ht="13.2" x14ac:dyDescent="0.25">
      <c r="C844" s="68"/>
      <c r="D844" s="68"/>
    </row>
    <row r="845" spans="3:4" ht="13.2" x14ac:dyDescent="0.25">
      <c r="C845" s="68"/>
      <c r="D845" s="68"/>
    </row>
    <row r="846" spans="3:4" ht="13.2" x14ac:dyDescent="0.25">
      <c r="C846" s="68"/>
      <c r="D846" s="68"/>
    </row>
    <row r="847" spans="3:4" ht="13.2" x14ac:dyDescent="0.25">
      <c r="C847" s="68"/>
      <c r="D847" s="68"/>
    </row>
    <row r="848" spans="3:4" ht="13.2" x14ac:dyDescent="0.25">
      <c r="C848" s="68"/>
      <c r="D848" s="68"/>
    </row>
    <row r="849" spans="3:4" ht="13.2" x14ac:dyDescent="0.25">
      <c r="C849" s="68"/>
      <c r="D849" s="68"/>
    </row>
    <row r="850" spans="3:4" ht="13.2" x14ac:dyDescent="0.25">
      <c r="C850" s="68"/>
      <c r="D850" s="68"/>
    </row>
    <row r="851" spans="3:4" ht="13.2" x14ac:dyDescent="0.25">
      <c r="C851" s="68"/>
      <c r="D851" s="68"/>
    </row>
    <row r="852" spans="3:4" ht="13.2" x14ac:dyDescent="0.25">
      <c r="C852" s="68"/>
      <c r="D852" s="68"/>
    </row>
    <row r="853" spans="3:4" ht="13.2" x14ac:dyDescent="0.25">
      <c r="C853" s="68"/>
      <c r="D853" s="68"/>
    </row>
    <row r="854" spans="3:4" ht="13.2" x14ac:dyDescent="0.25">
      <c r="C854" s="68"/>
      <c r="D854" s="68"/>
    </row>
    <row r="855" spans="3:4" ht="13.2" x14ac:dyDescent="0.25">
      <c r="C855" s="68"/>
      <c r="D855" s="68"/>
    </row>
    <row r="856" spans="3:4" ht="13.2" x14ac:dyDescent="0.25">
      <c r="C856" s="68"/>
      <c r="D856" s="68"/>
    </row>
    <row r="857" spans="3:4" ht="13.2" x14ac:dyDescent="0.25">
      <c r="C857" s="68"/>
      <c r="D857" s="68"/>
    </row>
    <row r="858" spans="3:4" ht="13.2" x14ac:dyDescent="0.25">
      <c r="C858" s="68"/>
      <c r="D858" s="68"/>
    </row>
    <row r="859" spans="3:4" ht="13.2" x14ac:dyDescent="0.25">
      <c r="C859" s="68"/>
      <c r="D859" s="68"/>
    </row>
    <row r="860" spans="3:4" ht="13.2" x14ac:dyDescent="0.25">
      <c r="C860" s="68"/>
      <c r="D860" s="68"/>
    </row>
    <row r="861" spans="3:4" ht="13.2" x14ac:dyDescent="0.25">
      <c r="C861" s="68"/>
      <c r="D861" s="68"/>
    </row>
    <row r="862" spans="3:4" ht="13.2" x14ac:dyDescent="0.25">
      <c r="C862" s="68"/>
      <c r="D862" s="68"/>
    </row>
    <row r="863" spans="3:4" ht="13.2" x14ac:dyDescent="0.25">
      <c r="C863" s="68"/>
      <c r="D863" s="68"/>
    </row>
    <row r="864" spans="3:4" ht="13.2" x14ac:dyDescent="0.25">
      <c r="C864" s="68"/>
      <c r="D864" s="68"/>
    </row>
    <row r="865" spans="3:4" ht="13.2" x14ac:dyDescent="0.25">
      <c r="C865" s="68"/>
      <c r="D865" s="68"/>
    </row>
    <row r="866" spans="3:4" ht="13.2" x14ac:dyDescent="0.25">
      <c r="C866" s="68"/>
      <c r="D866" s="68"/>
    </row>
    <row r="867" spans="3:4" ht="13.2" x14ac:dyDescent="0.25">
      <c r="C867" s="68"/>
      <c r="D867" s="68"/>
    </row>
    <row r="868" spans="3:4" ht="13.2" x14ac:dyDescent="0.25">
      <c r="C868" s="68"/>
      <c r="D868" s="68"/>
    </row>
    <row r="869" spans="3:4" ht="13.2" x14ac:dyDescent="0.25">
      <c r="C869" s="68"/>
      <c r="D869" s="68"/>
    </row>
    <row r="870" spans="3:4" ht="13.2" x14ac:dyDescent="0.25">
      <c r="C870" s="68"/>
      <c r="D870" s="68"/>
    </row>
    <row r="871" spans="3:4" ht="13.2" x14ac:dyDescent="0.25">
      <c r="C871" s="68"/>
      <c r="D871" s="68"/>
    </row>
    <row r="872" spans="3:4" ht="13.2" x14ac:dyDescent="0.25">
      <c r="C872" s="68"/>
      <c r="D872" s="68"/>
    </row>
    <row r="873" spans="3:4" ht="13.2" x14ac:dyDescent="0.25">
      <c r="C873" s="68"/>
      <c r="D873" s="68"/>
    </row>
    <row r="874" spans="3:4" ht="13.2" x14ac:dyDescent="0.25">
      <c r="C874" s="68"/>
      <c r="D874" s="68"/>
    </row>
    <row r="875" spans="3:4" ht="13.2" x14ac:dyDescent="0.25">
      <c r="C875" s="68"/>
      <c r="D875" s="68"/>
    </row>
    <row r="876" spans="3:4" ht="13.2" x14ac:dyDescent="0.25">
      <c r="C876" s="68"/>
      <c r="D876" s="68"/>
    </row>
    <row r="877" spans="3:4" ht="13.2" x14ac:dyDescent="0.25">
      <c r="C877" s="68"/>
      <c r="D877" s="68"/>
    </row>
    <row r="878" spans="3:4" ht="13.2" x14ac:dyDescent="0.25">
      <c r="C878" s="68"/>
      <c r="D878" s="68"/>
    </row>
    <row r="879" spans="3:4" ht="13.2" x14ac:dyDescent="0.25">
      <c r="C879" s="68"/>
      <c r="D879" s="68"/>
    </row>
    <row r="880" spans="3:4" ht="13.2" x14ac:dyDescent="0.25">
      <c r="C880" s="68"/>
      <c r="D880" s="68"/>
    </row>
    <row r="881" spans="3:4" ht="13.2" x14ac:dyDescent="0.25">
      <c r="C881" s="68"/>
      <c r="D881" s="68"/>
    </row>
    <row r="882" spans="3:4" ht="13.2" x14ac:dyDescent="0.25">
      <c r="C882" s="68"/>
      <c r="D882" s="68"/>
    </row>
    <row r="883" spans="3:4" ht="13.2" x14ac:dyDescent="0.25">
      <c r="C883" s="68"/>
      <c r="D883" s="68"/>
    </row>
    <row r="884" spans="3:4" ht="13.2" x14ac:dyDescent="0.25">
      <c r="C884" s="68"/>
      <c r="D884" s="68"/>
    </row>
    <row r="885" spans="3:4" ht="13.2" x14ac:dyDescent="0.25">
      <c r="C885" s="68"/>
      <c r="D885" s="68"/>
    </row>
    <row r="886" spans="3:4" ht="13.2" x14ac:dyDescent="0.25">
      <c r="C886" s="68"/>
      <c r="D886" s="68"/>
    </row>
    <row r="887" spans="3:4" ht="13.2" x14ac:dyDescent="0.25">
      <c r="C887" s="68"/>
      <c r="D887" s="68"/>
    </row>
    <row r="888" spans="3:4" ht="13.2" x14ac:dyDescent="0.25">
      <c r="C888" s="68"/>
      <c r="D888" s="68"/>
    </row>
    <row r="889" spans="3:4" ht="13.2" x14ac:dyDescent="0.25">
      <c r="C889" s="68"/>
      <c r="D889" s="68"/>
    </row>
    <row r="890" spans="3:4" ht="13.2" x14ac:dyDescent="0.25">
      <c r="C890" s="68"/>
      <c r="D890" s="68"/>
    </row>
    <row r="891" spans="3:4" ht="13.2" x14ac:dyDescent="0.25">
      <c r="C891" s="68"/>
      <c r="D891" s="68"/>
    </row>
    <row r="892" spans="3:4" ht="13.2" x14ac:dyDescent="0.25">
      <c r="C892" s="68"/>
      <c r="D892" s="68"/>
    </row>
    <row r="893" spans="3:4" ht="13.2" x14ac:dyDescent="0.25">
      <c r="C893" s="68"/>
      <c r="D893" s="68"/>
    </row>
    <row r="894" spans="3:4" ht="13.2" x14ac:dyDescent="0.25">
      <c r="C894" s="68"/>
      <c r="D894" s="68"/>
    </row>
    <row r="895" spans="3:4" ht="13.2" x14ac:dyDescent="0.25">
      <c r="C895" s="68"/>
      <c r="D895" s="68"/>
    </row>
    <row r="896" spans="3:4" ht="13.2" x14ac:dyDescent="0.25">
      <c r="C896" s="68"/>
      <c r="D896" s="68"/>
    </row>
    <row r="897" spans="3:4" ht="13.2" x14ac:dyDescent="0.25">
      <c r="C897" s="68"/>
      <c r="D897" s="68"/>
    </row>
    <row r="898" spans="3:4" ht="13.2" x14ac:dyDescent="0.25">
      <c r="C898" s="68"/>
      <c r="D898" s="68"/>
    </row>
    <row r="899" spans="3:4" ht="13.2" x14ac:dyDescent="0.25">
      <c r="C899" s="68"/>
      <c r="D899" s="68"/>
    </row>
    <row r="900" spans="3:4" ht="13.2" x14ac:dyDescent="0.25">
      <c r="C900" s="68"/>
      <c r="D900" s="68"/>
    </row>
    <row r="901" spans="3:4" ht="13.2" x14ac:dyDescent="0.25">
      <c r="C901" s="68"/>
      <c r="D901" s="68"/>
    </row>
    <row r="902" spans="3:4" ht="13.2" x14ac:dyDescent="0.25">
      <c r="C902" s="68"/>
      <c r="D902" s="68"/>
    </row>
    <row r="903" spans="3:4" ht="13.2" x14ac:dyDescent="0.25">
      <c r="C903" s="68"/>
      <c r="D903" s="68"/>
    </row>
    <row r="904" spans="3:4" ht="13.2" x14ac:dyDescent="0.25">
      <c r="C904" s="68"/>
      <c r="D904" s="68"/>
    </row>
    <row r="905" spans="3:4" ht="13.2" x14ac:dyDescent="0.25">
      <c r="C905" s="68"/>
      <c r="D905" s="68"/>
    </row>
    <row r="906" spans="3:4" ht="13.2" x14ac:dyDescent="0.25">
      <c r="C906" s="68"/>
      <c r="D906" s="68"/>
    </row>
    <row r="907" spans="3:4" ht="13.2" x14ac:dyDescent="0.25">
      <c r="C907" s="68"/>
      <c r="D907" s="68"/>
    </row>
    <row r="908" spans="3:4" ht="13.2" x14ac:dyDescent="0.25">
      <c r="C908" s="68"/>
      <c r="D908" s="68"/>
    </row>
    <row r="909" spans="3:4" ht="13.2" x14ac:dyDescent="0.25">
      <c r="C909" s="68"/>
      <c r="D909" s="68"/>
    </row>
    <row r="910" spans="3:4" ht="13.2" x14ac:dyDescent="0.25">
      <c r="C910" s="68"/>
      <c r="D910" s="68"/>
    </row>
    <row r="911" spans="3:4" ht="13.2" x14ac:dyDescent="0.25">
      <c r="C911" s="68"/>
      <c r="D911" s="68"/>
    </row>
    <row r="912" spans="3:4" ht="13.2" x14ac:dyDescent="0.25">
      <c r="C912" s="68"/>
      <c r="D912" s="68"/>
    </row>
    <row r="913" spans="3:4" ht="13.2" x14ac:dyDescent="0.25">
      <c r="C913" s="68"/>
      <c r="D913" s="68"/>
    </row>
    <row r="914" spans="3:4" ht="13.2" x14ac:dyDescent="0.25">
      <c r="C914" s="68"/>
      <c r="D914" s="68"/>
    </row>
    <row r="915" spans="3:4" ht="13.2" x14ac:dyDescent="0.25">
      <c r="C915" s="68"/>
      <c r="D915" s="68"/>
    </row>
    <row r="916" spans="3:4" ht="13.2" x14ac:dyDescent="0.25">
      <c r="C916" s="68"/>
      <c r="D916" s="68"/>
    </row>
    <row r="917" spans="3:4" ht="13.2" x14ac:dyDescent="0.25">
      <c r="C917" s="68"/>
      <c r="D917" s="68"/>
    </row>
    <row r="918" spans="3:4" ht="13.2" x14ac:dyDescent="0.25">
      <c r="C918" s="68"/>
      <c r="D918" s="68"/>
    </row>
    <row r="919" spans="3:4" ht="13.2" x14ac:dyDescent="0.25">
      <c r="C919" s="68"/>
      <c r="D919" s="68"/>
    </row>
    <row r="920" spans="3:4" ht="13.2" x14ac:dyDescent="0.25">
      <c r="C920" s="68"/>
      <c r="D920" s="68"/>
    </row>
    <row r="921" spans="3:4" ht="13.2" x14ac:dyDescent="0.25">
      <c r="C921" s="68"/>
      <c r="D921" s="68"/>
    </row>
    <row r="922" spans="3:4" ht="13.2" x14ac:dyDescent="0.25">
      <c r="C922" s="68"/>
      <c r="D922" s="68"/>
    </row>
    <row r="923" spans="3:4" ht="13.2" x14ac:dyDescent="0.25">
      <c r="C923" s="68"/>
      <c r="D923" s="68"/>
    </row>
    <row r="924" spans="3:4" ht="13.2" x14ac:dyDescent="0.25">
      <c r="C924" s="68"/>
      <c r="D924" s="68"/>
    </row>
    <row r="925" spans="3:4" ht="13.2" x14ac:dyDescent="0.25">
      <c r="C925" s="68"/>
      <c r="D925" s="68"/>
    </row>
    <row r="926" spans="3:4" ht="13.2" x14ac:dyDescent="0.25">
      <c r="C926" s="68"/>
      <c r="D926" s="68"/>
    </row>
    <row r="927" spans="3:4" ht="13.2" x14ac:dyDescent="0.25">
      <c r="C927" s="68"/>
      <c r="D927" s="68"/>
    </row>
    <row r="928" spans="3:4" ht="13.2" x14ac:dyDescent="0.25">
      <c r="C928" s="68"/>
      <c r="D928" s="68"/>
    </row>
    <row r="929" spans="3:4" ht="13.2" x14ac:dyDescent="0.25">
      <c r="C929" s="68"/>
      <c r="D929" s="68"/>
    </row>
    <row r="930" spans="3:4" ht="13.2" x14ac:dyDescent="0.25">
      <c r="C930" s="68"/>
      <c r="D930" s="68"/>
    </row>
    <row r="931" spans="3:4" ht="13.2" x14ac:dyDescent="0.25">
      <c r="C931" s="68"/>
      <c r="D931" s="68"/>
    </row>
    <row r="932" spans="3:4" ht="13.2" x14ac:dyDescent="0.25">
      <c r="C932" s="68"/>
      <c r="D932" s="68"/>
    </row>
    <row r="933" spans="3:4" ht="13.2" x14ac:dyDescent="0.25">
      <c r="C933" s="68"/>
      <c r="D933" s="68"/>
    </row>
    <row r="934" spans="3:4" ht="13.2" x14ac:dyDescent="0.25">
      <c r="C934" s="68"/>
      <c r="D934" s="68"/>
    </row>
    <row r="935" spans="3:4" ht="13.2" x14ac:dyDescent="0.25">
      <c r="C935" s="68"/>
      <c r="D935" s="68"/>
    </row>
    <row r="936" spans="3:4" ht="13.2" x14ac:dyDescent="0.25">
      <c r="C936" s="68"/>
      <c r="D936" s="68"/>
    </row>
    <row r="937" spans="3:4" ht="13.2" x14ac:dyDescent="0.25">
      <c r="C937" s="68"/>
      <c r="D937" s="68"/>
    </row>
    <row r="938" spans="3:4" ht="13.2" x14ac:dyDescent="0.25">
      <c r="C938" s="68"/>
      <c r="D938" s="68"/>
    </row>
    <row r="939" spans="3:4" ht="13.2" x14ac:dyDescent="0.25">
      <c r="C939" s="68"/>
      <c r="D939" s="68"/>
    </row>
    <row r="940" spans="3:4" ht="13.2" x14ac:dyDescent="0.25">
      <c r="C940" s="68"/>
      <c r="D940" s="68"/>
    </row>
    <row r="941" spans="3:4" ht="13.2" x14ac:dyDescent="0.25">
      <c r="C941" s="68"/>
      <c r="D941" s="68"/>
    </row>
    <row r="942" spans="3:4" ht="13.2" x14ac:dyDescent="0.25">
      <c r="C942" s="68"/>
      <c r="D942" s="68"/>
    </row>
    <row r="943" spans="3:4" ht="13.2" x14ac:dyDescent="0.25">
      <c r="C943" s="68"/>
      <c r="D943" s="68"/>
    </row>
    <row r="944" spans="3:4" ht="13.2" x14ac:dyDescent="0.25">
      <c r="C944" s="68"/>
      <c r="D944" s="68"/>
    </row>
    <row r="945" spans="3:4" ht="13.2" x14ac:dyDescent="0.25">
      <c r="C945" s="68"/>
      <c r="D945" s="68"/>
    </row>
    <row r="946" spans="3:4" ht="13.2" x14ac:dyDescent="0.25">
      <c r="C946" s="68"/>
      <c r="D946" s="68"/>
    </row>
    <row r="947" spans="3:4" ht="13.2" x14ac:dyDescent="0.25">
      <c r="C947" s="68"/>
      <c r="D947" s="68"/>
    </row>
    <row r="948" spans="3:4" ht="13.2" x14ac:dyDescent="0.25">
      <c r="C948" s="68"/>
      <c r="D948" s="68"/>
    </row>
    <row r="949" spans="3:4" ht="13.2" x14ac:dyDescent="0.25">
      <c r="C949" s="68"/>
      <c r="D949" s="68"/>
    </row>
    <row r="950" spans="3:4" ht="13.2" x14ac:dyDescent="0.25">
      <c r="C950" s="68"/>
      <c r="D950" s="68"/>
    </row>
    <row r="951" spans="3:4" ht="13.2" x14ac:dyDescent="0.25">
      <c r="C951" s="68"/>
      <c r="D951" s="68"/>
    </row>
    <row r="952" spans="3:4" ht="13.2" x14ac:dyDescent="0.25">
      <c r="C952" s="68"/>
      <c r="D952" s="68"/>
    </row>
    <row r="953" spans="3:4" ht="13.2" x14ac:dyDescent="0.25">
      <c r="C953" s="68"/>
      <c r="D953" s="68"/>
    </row>
    <row r="954" spans="3:4" ht="13.2" x14ac:dyDescent="0.25">
      <c r="C954" s="68"/>
      <c r="D954" s="68"/>
    </row>
    <row r="955" spans="3:4" ht="13.2" x14ac:dyDescent="0.25">
      <c r="C955" s="68"/>
      <c r="D955" s="68"/>
    </row>
    <row r="956" spans="3:4" ht="13.2" x14ac:dyDescent="0.25">
      <c r="C956" s="68"/>
      <c r="D956" s="68"/>
    </row>
    <row r="957" spans="3:4" ht="13.2" x14ac:dyDescent="0.25">
      <c r="C957" s="68"/>
      <c r="D957" s="68"/>
    </row>
    <row r="958" spans="3:4" ht="13.2" x14ac:dyDescent="0.25">
      <c r="C958" s="68"/>
      <c r="D958" s="68"/>
    </row>
    <row r="959" spans="3:4" ht="13.2" x14ac:dyDescent="0.25">
      <c r="C959" s="68"/>
      <c r="D959" s="68"/>
    </row>
    <row r="960" spans="3:4" ht="13.2" x14ac:dyDescent="0.25">
      <c r="C960" s="68"/>
      <c r="D960" s="68"/>
    </row>
    <row r="961" spans="3:4" ht="13.2" x14ac:dyDescent="0.25">
      <c r="C961" s="68"/>
      <c r="D961" s="68"/>
    </row>
    <row r="962" spans="3:4" ht="13.2" x14ac:dyDescent="0.25">
      <c r="C962" s="68"/>
      <c r="D962" s="68"/>
    </row>
    <row r="963" spans="3:4" ht="13.2" x14ac:dyDescent="0.25">
      <c r="C963" s="68"/>
      <c r="D963" s="68"/>
    </row>
    <row r="964" spans="3:4" ht="13.2" x14ac:dyDescent="0.25">
      <c r="C964" s="68"/>
      <c r="D964" s="68"/>
    </row>
    <row r="965" spans="3:4" ht="13.2" x14ac:dyDescent="0.25">
      <c r="C965" s="68"/>
      <c r="D965" s="68"/>
    </row>
    <row r="966" spans="3:4" ht="13.2" x14ac:dyDescent="0.25">
      <c r="C966" s="68"/>
      <c r="D966" s="68"/>
    </row>
    <row r="967" spans="3:4" ht="13.2" x14ac:dyDescent="0.25">
      <c r="C967" s="68"/>
      <c r="D967" s="68"/>
    </row>
    <row r="968" spans="3:4" ht="13.2" x14ac:dyDescent="0.25">
      <c r="C968" s="68"/>
      <c r="D968" s="68"/>
    </row>
    <row r="969" spans="3:4" ht="13.2" x14ac:dyDescent="0.25">
      <c r="C969" s="68"/>
      <c r="D969" s="68"/>
    </row>
    <row r="970" spans="3:4" ht="13.2" x14ac:dyDescent="0.25">
      <c r="C970" s="68"/>
      <c r="D970" s="68"/>
    </row>
    <row r="971" spans="3:4" ht="13.2" x14ac:dyDescent="0.25">
      <c r="C971" s="68"/>
      <c r="D971" s="68"/>
    </row>
    <row r="972" spans="3:4" ht="13.2" x14ac:dyDescent="0.25">
      <c r="C972" s="68"/>
      <c r="D972" s="68"/>
    </row>
    <row r="973" spans="3:4" ht="13.2" x14ac:dyDescent="0.25">
      <c r="C973" s="68"/>
      <c r="D973" s="68"/>
    </row>
    <row r="974" spans="3:4" ht="13.2" x14ac:dyDescent="0.25">
      <c r="C974" s="68"/>
      <c r="D974" s="68"/>
    </row>
    <row r="975" spans="3:4" ht="13.2" x14ac:dyDescent="0.25">
      <c r="C975" s="68"/>
      <c r="D975" s="68"/>
    </row>
    <row r="976" spans="3:4" ht="13.2" x14ac:dyDescent="0.25">
      <c r="C976" s="68"/>
      <c r="D976" s="68"/>
    </row>
    <row r="977" spans="3:4" ht="13.2" x14ac:dyDescent="0.25">
      <c r="C977" s="68"/>
      <c r="D977" s="68"/>
    </row>
    <row r="978" spans="3:4" ht="13.2" x14ac:dyDescent="0.25">
      <c r="C978" s="68"/>
      <c r="D978" s="68"/>
    </row>
    <row r="979" spans="3:4" ht="13.2" x14ac:dyDescent="0.25">
      <c r="C979" s="68"/>
      <c r="D979" s="68"/>
    </row>
    <row r="980" spans="3:4" ht="13.2" x14ac:dyDescent="0.25">
      <c r="C980" s="68"/>
      <c r="D980" s="68"/>
    </row>
    <row r="981" spans="3:4" ht="13.2" x14ac:dyDescent="0.25">
      <c r="C981" s="68"/>
      <c r="D981" s="68"/>
    </row>
    <row r="982" spans="3:4" ht="13.2" x14ac:dyDescent="0.25">
      <c r="C982" s="68"/>
      <c r="D982" s="68"/>
    </row>
    <row r="983" spans="3:4" ht="13.2" x14ac:dyDescent="0.25">
      <c r="C983" s="68"/>
      <c r="D983" s="68"/>
    </row>
    <row r="984" spans="3:4" ht="13.2" x14ac:dyDescent="0.25">
      <c r="C984" s="68"/>
      <c r="D984" s="68"/>
    </row>
    <row r="985" spans="3:4" ht="13.2" x14ac:dyDescent="0.25">
      <c r="C985" s="68"/>
      <c r="D985" s="68"/>
    </row>
    <row r="986" spans="3:4" ht="13.2" x14ac:dyDescent="0.25">
      <c r="C986" s="68"/>
      <c r="D986" s="68"/>
    </row>
    <row r="987" spans="3:4" ht="13.2" x14ac:dyDescent="0.25">
      <c r="C987" s="68"/>
      <c r="D987" s="68"/>
    </row>
    <row r="988" spans="3:4" ht="13.2" x14ac:dyDescent="0.25">
      <c r="C988" s="68"/>
      <c r="D988" s="68"/>
    </row>
    <row r="989" spans="3:4" ht="13.2" x14ac:dyDescent="0.25">
      <c r="C989" s="68"/>
      <c r="D989" s="68"/>
    </row>
    <row r="990" spans="3:4" ht="13.2" x14ac:dyDescent="0.25">
      <c r="C990" s="68"/>
      <c r="D990" s="68"/>
    </row>
    <row r="991" spans="3:4" ht="13.2" x14ac:dyDescent="0.25">
      <c r="C991" s="68"/>
      <c r="D991" s="68"/>
    </row>
    <row r="992" spans="3:4" ht="13.2" x14ac:dyDescent="0.25">
      <c r="C992" s="68"/>
      <c r="D992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01"/>
  <sheetViews>
    <sheetView workbookViewId="0">
      <pane ySplit="2" topLeftCell="A132" activePane="bottomLeft" state="frozen"/>
      <selection pane="bottomLeft" activeCell="J3" sqref="J3"/>
    </sheetView>
  </sheetViews>
  <sheetFormatPr defaultColWidth="14.44140625" defaultRowHeight="15.75" customHeight="1" x14ac:dyDescent="0.25"/>
  <cols>
    <col min="1" max="1" width="4.88671875" customWidth="1"/>
    <col min="2" max="2" width="8.5546875" customWidth="1"/>
    <col min="3" max="9" width="9.33203125" customWidth="1"/>
    <col min="10" max="10" width="28.33203125" customWidth="1"/>
    <col min="11" max="22" width="9.33203125" customWidth="1"/>
  </cols>
  <sheetData>
    <row r="1" spans="1:22" x14ac:dyDescent="0.25">
      <c r="A1" s="186" t="s">
        <v>63</v>
      </c>
      <c r="B1" s="186" t="s">
        <v>70</v>
      </c>
      <c r="C1" s="187"/>
      <c r="D1" s="187"/>
      <c r="E1" s="187"/>
      <c r="F1" s="187"/>
      <c r="G1" s="186" t="s">
        <v>71</v>
      </c>
      <c r="H1" s="187"/>
      <c r="I1" s="187"/>
      <c r="J1" s="187"/>
      <c r="K1" s="186" t="s">
        <v>72</v>
      </c>
      <c r="L1" s="187"/>
      <c r="M1" s="187"/>
      <c r="N1" s="187"/>
      <c r="O1" s="188" t="s">
        <v>73</v>
      </c>
      <c r="P1" s="187"/>
      <c r="Q1" s="187"/>
      <c r="R1" s="187"/>
      <c r="S1" s="187"/>
      <c r="T1" s="187"/>
      <c r="U1" s="187"/>
      <c r="V1" s="187"/>
    </row>
    <row r="2" spans="1:22" x14ac:dyDescent="0.25">
      <c r="A2" s="187"/>
      <c r="B2" s="69" t="s">
        <v>74</v>
      </c>
      <c r="C2" s="69" t="s">
        <v>75</v>
      </c>
      <c r="D2" s="69" t="s">
        <v>76</v>
      </c>
      <c r="E2" s="69" t="s">
        <v>66</v>
      </c>
      <c r="F2" s="70" t="s">
        <v>67</v>
      </c>
      <c r="G2" s="69" t="s">
        <v>75</v>
      </c>
      <c r="H2" s="69" t="s">
        <v>76</v>
      </c>
      <c r="I2" s="69" t="s">
        <v>66</v>
      </c>
      <c r="J2" s="71" t="s">
        <v>67</v>
      </c>
      <c r="K2" s="69" t="s">
        <v>75</v>
      </c>
      <c r="L2" s="69" t="s">
        <v>76</v>
      </c>
      <c r="M2" s="69" t="s">
        <v>66</v>
      </c>
      <c r="N2" s="70" t="s">
        <v>67</v>
      </c>
      <c r="O2" s="72" t="s">
        <v>77</v>
      </c>
      <c r="P2" s="72" t="s">
        <v>78</v>
      </c>
      <c r="Q2" s="72" t="s">
        <v>79</v>
      </c>
      <c r="R2" s="73" t="s">
        <v>80</v>
      </c>
      <c r="S2" s="73" t="s">
        <v>81</v>
      </c>
      <c r="T2" s="73" t="s">
        <v>82</v>
      </c>
      <c r="U2" s="73" t="s">
        <v>83</v>
      </c>
      <c r="V2" s="73" t="s">
        <v>84</v>
      </c>
    </row>
    <row r="3" spans="1:22" x14ac:dyDescent="0.25">
      <c r="A3" s="74">
        <v>1</v>
      </c>
      <c r="B3" s="75">
        <v>44197</v>
      </c>
      <c r="C3" s="74">
        <v>76</v>
      </c>
      <c r="D3" s="74">
        <v>1116</v>
      </c>
      <c r="E3" s="74">
        <f t="shared" ref="E3:E181" si="0">C3+D3</f>
        <v>1192</v>
      </c>
      <c r="F3" s="76">
        <f t="shared" ref="F3:F181" si="1">C3/E3</f>
        <v>6.3758389261744972E-2</v>
      </c>
      <c r="G3" s="74">
        <v>0</v>
      </c>
      <c r="H3" s="74">
        <v>0</v>
      </c>
      <c r="I3" s="74">
        <f t="shared" ref="I3:I59" si="2">G3+H3</f>
        <v>0</v>
      </c>
      <c r="J3" s="77" t="e">
        <f t="shared" ref="J3:J59" si="3">G3/I3</f>
        <v>#DIV/0!</v>
      </c>
      <c r="K3" s="74">
        <v>0</v>
      </c>
      <c r="L3" s="74">
        <v>0</v>
      </c>
      <c r="M3" s="78">
        <f t="shared" ref="M3:M181" si="4">K3+L3</f>
        <v>0</v>
      </c>
      <c r="N3" s="76" t="e">
        <f t="shared" ref="N3:N181" si="5">K3/M3</f>
        <v>#DIV/0!</v>
      </c>
      <c r="O3" s="79">
        <f t="shared" ref="O3:P3" si="6">S3</f>
        <v>1192</v>
      </c>
      <c r="P3" s="80">
        <f t="shared" si="6"/>
        <v>76</v>
      </c>
      <c r="Q3" s="80">
        <f t="shared" ref="Q3:Q181" si="7">O3-P3</f>
        <v>1116</v>
      </c>
      <c r="R3" s="76">
        <f t="shared" ref="R3:R181" si="8">P3/O3</f>
        <v>6.3758389261744972E-2</v>
      </c>
      <c r="S3" s="78">
        <f t="shared" ref="S3:S181" si="9">E3+I3+M3</f>
        <v>1192</v>
      </c>
      <c r="T3" s="74">
        <f t="shared" ref="T3:T181" si="10">C3+G3+K3</f>
        <v>76</v>
      </c>
      <c r="U3" s="74">
        <f t="shared" ref="U3:U181" si="11">S3-T3</f>
        <v>1116</v>
      </c>
      <c r="V3" s="76">
        <f t="shared" ref="V3:V181" si="12">T3/S3</f>
        <v>6.3758389261744972E-2</v>
      </c>
    </row>
    <row r="4" spans="1:22" x14ac:dyDescent="0.25">
      <c r="A4" s="74">
        <v>2</v>
      </c>
      <c r="B4" s="75">
        <v>44198</v>
      </c>
      <c r="C4" s="74">
        <v>76</v>
      </c>
      <c r="D4" s="74">
        <v>1116</v>
      </c>
      <c r="E4" s="74">
        <f t="shared" si="0"/>
        <v>1192</v>
      </c>
      <c r="F4" s="76">
        <f t="shared" si="1"/>
        <v>6.3758389261744972E-2</v>
      </c>
      <c r="G4" s="74">
        <v>0</v>
      </c>
      <c r="H4" s="74">
        <v>0</v>
      </c>
      <c r="I4" s="74">
        <f t="shared" si="2"/>
        <v>0</v>
      </c>
      <c r="J4" s="77" t="e">
        <f t="shared" si="3"/>
        <v>#DIV/0!</v>
      </c>
      <c r="K4" s="74">
        <v>0</v>
      </c>
      <c r="L4" s="74">
        <v>0</v>
      </c>
      <c r="M4" s="78">
        <f t="shared" si="4"/>
        <v>0</v>
      </c>
      <c r="N4" s="76" t="e">
        <f t="shared" si="5"/>
        <v>#DIV/0!</v>
      </c>
      <c r="O4" s="80">
        <f t="shared" ref="O4:P4" si="13">S4-S3</f>
        <v>0</v>
      </c>
      <c r="P4" s="80">
        <f t="shared" si="13"/>
        <v>0</v>
      </c>
      <c r="Q4" s="80">
        <f t="shared" si="7"/>
        <v>0</v>
      </c>
      <c r="R4" s="76" t="e">
        <f t="shared" si="8"/>
        <v>#DIV/0!</v>
      </c>
      <c r="S4" s="78">
        <f t="shared" si="9"/>
        <v>1192</v>
      </c>
      <c r="T4" s="74">
        <f t="shared" si="10"/>
        <v>76</v>
      </c>
      <c r="U4" s="74">
        <f t="shared" si="11"/>
        <v>1116</v>
      </c>
      <c r="V4" s="76">
        <f t="shared" si="12"/>
        <v>6.3758389261744972E-2</v>
      </c>
    </row>
    <row r="5" spans="1:22" x14ac:dyDescent="0.25">
      <c r="A5" s="74">
        <v>3</v>
      </c>
      <c r="B5" s="75">
        <v>44199</v>
      </c>
      <c r="C5" s="74">
        <v>100</v>
      </c>
      <c r="D5" s="74">
        <v>1699</v>
      </c>
      <c r="E5" s="74">
        <f t="shared" si="0"/>
        <v>1799</v>
      </c>
      <c r="F5" s="76">
        <f t="shared" si="1"/>
        <v>5.5586436909394105E-2</v>
      </c>
      <c r="G5" s="74">
        <v>0</v>
      </c>
      <c r="H5" s="74">
        <v>0</v>
      </c>
      <c r="I5" s="74">
        <f t="shared" si="2"/>
        <v>0</v>
      </c>
      <c r="J5" s="77" t="e">
        <f t="shared" si="3"/>
        <v>#DIV/0!</v>
      </c>
      <c r="K5" s="74">
        <v>0</v>
      </c>
      <c r="L5" s="74">
        <v>0</v>
      </c>
      <c r="M5" s="78">
        <f t="shared" si="4"/>
        <v>0</v>
      </c>
      <c r="N5" s="76" t="e">
        <f t="shared" si="5"/>
        <v>#DIV/0!</v>
      </c>
      <c r="O5" s="80">
        <f t="shared" ref="O5:P5" si="14">S5-S4</f>
        <v>607</v>
      </c>
      <c r="P5" s="80">
        <f t="shared" si="14"/>
        <v>24</v>
      </c>
      <c r="Q5" s="80">
        <f t="shared" si="7"/>
        <v>583</v>
      </c>
      <c r="R5" s="76">
        <f t="shared" si="8"/>
        <v>3.9538714991762765E-2</v>
      </c>
      <c r="S5" s="78">
        <f t="shared" si="9"/>
        <v>1799</v>
      </c>
      <c r="T5" s="74">
        <f t="shared" si="10"/>
        <v>100</v>
      </c>
      <c r="U5" s="74">
        <f t="shared" si="11"/>
        <v>1699</v>
      </c>
      <c r="V5" s="76">
        <f t="shared" si="12"/>
        <v>5.5586436909394105E-2</v>
      </c>
    </row>
    <row r="6" spans="1:22" x14ac:dyDescent="0.25">
      <c r="A6" s="74">
        <v>4</v>
      </c>
      <c r="B6" s="75">
        <v>44200</v>
      </c>
      <c r="C6" s="74">
        <v>100</v>
      </c>
      <c r="D6" s="74">
        <v>1699</v>
      </c>
      <c r="E6" s="74">
        <f t="shared" si="0"/>
        <v>1799</v>
      </c>
      <c r="F6" s="76">
        <f t="shared" si="1"/>
        <v>5.5586436909394105E-2</v>
      </c>
      <c r="G6" s="74">
        <v>0</v>
      </c>
      <c r="H6" s="74">
        <v>0</v>
      </c>
      <c r="I6" s="74">
        <f t="shared" si="2"/>
        <v>0</v>
      </c>
      <c r="J6" s="77" t="e">
        <f t="shared" si="3"/>
        <v>#DIV/0!</v>
      </c>
      <c r="K6" s="74">
        <v>0</v>
      </c>
      <c r="L6" s="74">
        <v>0</v>
      </c>
      <c r="M6" s="78">
        <f t="shared" si="4"/>
        <v>0</v>
      </c>
      <c r="N6" s="76" t="e">
        <f t="shared" si="5"/>
        <v>#DIV/0!</v>
      </c>
      <c r="O6" s="80">
        <f t="shared" ref="O6:P6" si="15">S6-S5</f>
        <v>0</v>
      </c>
      <c r="P6" s="80">
        <f t="shared" si="15"/>
        <v>0</v>
      </c>
      <c r="Q6" s="80">
        <f t="shared" si="7"/>
        <v>0</v>
      </c>
      <c r="R6" s="76" t="e">
        <f t="shared" si="8"/>
        <v>#DIV/0!</v>
      </c>
      <c r="S6" s="78">
        <f t="shared" si="9"/>
        <v>1799</v>
      </c>
      <c r="T6" s="74">
        <f t="shared" si="10"/>
        <v>100</v>
      </c>
      <c r="U6" s="74">
        <f t="shared" si="11"/>
        <v>1699</v>
      </c>
      <c r="V6" s="76">
        <f t="shared" si="12"/>
        <v>5.5586436909394105E-2</v>
      </c>
    </row>
    <row r="7" spans="1:22" x14ac:dyDescent="0.25">
      <c r="A7" s="74">
        <v>5</v>
      </c>
      <c r="B7" s="75">
        <v>44201</v>
      </c>
      <c r="C7" s="74">
        <v>100</v>
      </c>
      <c r="D7" s="74">
        <v>1699</v>
      </c>
      <c r="E7" s="74">
        <f t="shared" si="0"/>
        <v>1799</v>
      </c>
      <c r="F7" s="76">
        <f t="shared" si="1"/>
        <v>5.5586436909394105E-2</v>
      </c>
      <c r="G7" s="74">
        <v>0</v>
      </c>
      <c r="H7" s="74">
        <v>0</v>
      </c>
      <c r="I7" s="74">
        <f t="shared" si="2"/>
        <v>0</v>
      </c>
      <c r="J7" s="77" t="e">
        <f t="shared" si="3"/>
        <v>#DIV/0!</v>
      </c>
      <c r="K7" s="74">
        <v>0</v>
      </c>
      <c r="L7" s="74">
        <v>0</v>
      </c>
      <c r="M7" s="78">
        <f t="shared" si="4"/>
        <v>0</v>
      </c>
      <c r="N7" s="76" t="e">
        <f t="shared" si="5"/>
        <v>#DIV/0!</v>
      </c>
      <c r="O7" s="80">
        <f t="shared" ref="O7:P7" si="16">S7-S6</f>
        <v>0</v>
      </c>
      <c r="P7" s="80">
        <f t="shared" si="16"/>
        <v>0</v>
      </c>
      <c r="Q7" s="80">
        <f t="shared" si="7"/>
        <v>0</v>
      </c>
      <c r="R7" s="76" t="e">
        <f t="shared" si="8"/>
        <v>#DIV/0!</v>
      </c>
      <c r="S7" s="78">
        <f t="shared" si="9"/>
        <v>1799</v>
      </c>
      <c r="T7" s="74">
        <f t="shared" si="10"/>
        <v>100</v>
      </c>
      <c r="U7" s="74">
        <f t="shared" si="11"/>
        <v>1699</v>
      </c>
      <c r="V7" s="76">
        <f t="shared" si="12"/>
        <v>5.5586436909394105E-2</v>
      </c>
    </row>
    <row r="8" spans="1:22" x14ac:dyDescent="0.25">
      <c r="A8" s="74">
        <v>6</v>
      </c>
      <c r="B8" s="75">
        <v>44202</v>
      </c>
      <c r="C8" s="74">
        <v>100</v>
      </c>
      <c r="D8" s="74">
        <v>1699</v>
      </c>
      <c r="E8" s="74">
        <f t="shared" si="0"/>
        <v>1799</v>
      </c>
      <c r="F8" s="76">
        <f t="shared" si="1"/>
        <v>5.5586436909394105E-2</v>
      </c>
      <c r="G8" s="74">
        <v>0</v>
      </c>
      <c r="H8" s="74">
        <v>0</v>
      </c>
      <c r="I8" s="74">
        <f t="shared" si="2"/>
        <v>0</v>
      </c>
      <c r="J8" s="77" t="e">
        <f t="shared" si="3"/>
        <v>#DIV/0!</v>
      </c>
      <c r="K8" s="74">
        <v>0</v>
      </c>
      <c r="L8" s="74">
        <v>0</v>
      </c>
      <c r="M8" s="78">
        <f t="shared" si="4"/>
        <v>0</v>
      </c>
      <c r="N8" s="76" t="e">
        <f t="shared" si="5"/>
        <v>#DIV/0!</v>
      </c>
      <c r="O8" s="80">
        <f t="shared" ref="O8:P8" si="17">S8-S7</f>
        <v>0</v>
      </c>
      <c r="P8" s="80">
        <f t="shared" si="17"/>
        <v>0</v>
      </c>
      <c r="Q8" s="80">
        <f t="shared" si="7"/>
        <v>0</v>
      </c>
      <c r="R8" s="76" t="e">
        <f t="shared" si="8"/>
        <v>#DIV/0!</v>
      </c>
      <c r="S8" s="78">
        <f t="shared" si="9"/>
        <v>1799</v>
      </c>
      <c r="T8" s="74">
        <f t="shared" si="10"/>
        <v>100</v>
      </c>
      <c r="U8" s="74">
        <f t="shared" si="11"/>
        <v>1699</v>
      </c>
      <c r="V8" s="76">
        <f t="shared" si="12"/>
        <v>5.5586436909394105E-2</v>
      </c>
    </row>
    <row r="9" spans="1:22" x14ac:dyDescent="0.25">
      <c r="A9" s="74">
        <v>7</v>
      </c>
      <c r="B9" s="75">
        <v>44203</v>
      </c>
      <c r="C9" s="74">
        <v>100</v>
      </c>
      <c r="D9" s="74">
        <v>1699</v>
      </c>
      <c r="E9" s="74">
        <f t="shared" si="0"/>
        <v>1799</v>
      </c>
      <c r="F9" s="76">
        <f t="shared" si="1"/>
        <v>5.5586436909394105E-2</v>
      </c>
      <c r="G9" s="74">
        <v>0</v>
      </c>
      <c r="H9" s="74">
        <v>0</v>
      </c>
      <c r="I9" s="74">
        <f t="shared" si="2"/>
        <v>0</v>
      </c>
      <c r="J9" s="77" t="e">
        <f t="shared" si="3"/>
        <v>#DIV/0!</v>
      </c>
      <c r="K9" s="74">
        <v>0</v>
      </c>
      <c r="L9" s="74">
        <v>0</v>
      </c>
      <c r="M9" s="78">
        <f t="shared" si="4"/>
        <v>0</v>
      </c>
      <c r="N9" s="76" t="e">
        <f t="shared" si="5"/>
        <v>#DIV/0!</v>
      </c>
      <c r="O9" s="80">
        <f t="shared" ref="O9:P9" si="18">S9-S8</f>
        <v>0</v>
      </c>
      <c r="P9" s="80">
        <f t="shared" si="18"/>
        <v>0</v>
      </c>
      <c r="Q9" s="80">
        <f t="shared" si="7"/>
        <v>0</v>
      </c>
      <c r="R9" s="76" t="e">
        <f t="shared" si="8"/>
        <v>#DIV/0!</v>
      </c>
      <c r="S9" s="78">
        <f t="shared" si="9"/>
        <v>1799</v>
      </c>
      <c r="T9" s="74">
        <f t="shared" si="10"/>
        <v>100</v>
      </c>
      <c r="U9" s="74">
        <f t="shared" si="11"/>
        <v>1699</v>
      </c>
      <c r="V9" s="76">
        <f t="shared" si="12"/>
        <v>5.5586436909394105E-2</v>
      </c>
    </row>
    <row r="10" spans="1:22" x14ac:dyDescent="0.25">
      <c r="A10" s="74">
        <v>8</v>
      </c>
      <c r="B10" s="75">
        <v>44204</v>
      </c>
      <c r="C10" s="74">
        <v>207</v>
      </c>
      <c r="D10" s="74">
        <v>2624</v>
      </c>
      <c r="E10" s="74">
        <f t="shared" si="0"/>
        <v>2831</v>
      </c>
      <c r="F10" s="76">
        <f t="shared" si="1"/>
        <v>7.3119039208760159E-2</v>
      </c>
      <c r="G10" s="74">
        <v>0</v>
      </c>
      <c r="H10" s="74">
        <v>0</v>
      </c>
      <c r="I10" s="74">
        <f t="shared" si="2"/>
        <v>0</v>
      </c>
      <c r="J10" s="77" t="e">
        <f t="shared" si="3"/>
        <v>#DIV/0!</v>
      </c>
      <c r="K10" s="74">
        <v>0</v>
      </c>
      <c r="L10" s="74">
        <v>0</v>
      </c>
      <c r="M10" s="78">
        <f t="shared" si="4"/>
        <v>0</v>
      </c>
      <c r="N10" s="76" t="e">
        <f t="shared" si="5"/>
        <v>#DIV/0!</v>
      </c>
      <c r="O10" s="80">
        <f t="shared" ref="O10:P10" si="19">S10-S9</f>
        <v>1032</v>
      </c>
      <c r="P10" s="80">
        <f t="shared" si="19"/>
        <v>107</v>
      </c>
      <c r="Q10" s="80">
        <f t="shared" si="7"/>
        <v>925</v>
      </c>
      <c r="R10" s="76">
        <f t="shared" si="8"/>
        <v>0.10368217054263566</v>
      </c>
      <c r="S10" s="78">
        <f t="shared" si="9"/>
        <v>2831</v>
      </c>
      <c r="T10" s="74">
        <f t="shared" si="10"/>
        <v>207</v>
      </c>
      <c r="U10" s="74">
        <f t="shared" si="11"/>
        <v>2624</v>
      </c>
      <c r="V10" s="76">
        <f t="shared" si="12"/>
        <v>7.3119039208760159E-2</v>
      </c>
    </row>
    <row r="11" spans="1:22" x14ac:dyDescent="0.25">
      <c r="A11" s="74">
        <v>9</v>
      </c>
      <c r="B11" s="75">
        <v>44205</v>
      </c>
      <c r="C11" s="81">
        <v>207</v>
      </c>
      <c r="D11" s="82">
        <v>2624</v>
      </c>
      <c r="E11" s="74">
        <f t="shared" si="0"/>
        <v>2831</v>
      </c>
      <c r="F11" s="76">
        <f t="shared" si="1"/>
        <v>7.3119039208760159E-2</v>
      </c>
      <c r="G11" s="74">
        <v>0</v>
      </c>
      <c r="H11" s="74">
        <v>0</v>
      </c>
      <c r="I11" s="74">
        <f t="shared" si="2"/>
        <v>0</v>
      </c>
      <c r="J11" s="77" t="e">
        <f t="shared" si="3"/>
        <v>#DIV/0!</v>
      </c>
      <c r="K11" s="74">
        <v>0</v>
      </c>
      <c r="L11" s="74">
        <v>0</v>
      </c>
      <c r="M11" s="78">
        <f t="shared" si="4"/>
        <v>0</v>
      </c>
      <c r="N11" s="76" t="e">
        <f t="shared" si="5"/>
        <v>#DIV/0!</v>
      </c>
      <c r="O11" s="80">
        <f t="shared" ref="O11:P11" si="20">S11-S10</f>
        <v>0</v>
      </c>
      <c r="P11" s="80">
        <f t="shared" si="20"/>
        <v>0</v>
      </c>
      <c r="Q11" s="80">
        <f t="shared" si="7"/>
        <v>0</v>
      </c>
      <c r="R11" s="76" t="e">
        <f t="shared" si="8"/>
        <v>#DIV/0!</v>
      </c>
      <c r="S11" s="78">
        <f t="shared" si="9"/>
        <v>2831</v>
      </c>
      <c r="T11" s="74">
        <f t="shared" si="10"/>
        <v>207</v>
      </c>
      <c r="U11" s="74">
        <f t="shared" si="11"/>
        <v>2624</v>
      </c>
      <c r="V11" s="76">
        <f t="shared" si="12"/>
        <v>7.3119039208760159E-2</v>
      </c>
    </row>
    <row r="12" spans="1:22" x14ac:dyDescent="0.25">
      <c r="A12" s="74">
        <v>10</v>
      </c>
      <c r="B12" s="75">
        <v>44206</v>
      </c>
      <c r="C12" s="81">
        <v>207</v>
      </c>
      <c r="D12" s="82">
        <v>2624</v>
      </c>
      <c r="E12" s="74">
        <f t="shared" si="0"/>
        <v>2831</v>
      </c>
      <c r="F12" s="76">
        <f t="shared" si="1"/>
        <v>7.3119039208760159E-2</v>
      </c>
      <c r="G12" s="74">
        <v>0</v>
      </c>
      <c r="H12" s="74">
        <v>0</v>
      </c>
      <c r="I12" s="74">
        <f t="shared" si="2"/>
        <v>0</v>
      </c>
      <c r="J12" s="77" t="e">
        <f t="shared" si="3"/>
        <v>#DIV/0!</v>
      </c>
      <c r="K12" s="74">
        <v>0</v>
      </c>
      <c r="L12" s="74">
        <v>0</v>
      </c>
      <c r="M12" s="78">
        <f t="shared" si="4"/>
        <v>0</v>
      </c>
      <c r="N12" s="76" t="e">
        <f t="shared" si="5"/>
        <v>#DIV/0!</v>
      </c>
      <c r="O12" s="80">
        <f t="shared" ref="O12:P12" si="21">S12-S11</f>
        <v>0</v>
      </c>
      <c r="P12" s="80">
        <f t="shared" si="21"/>
        <v>0</v>
      </c>
      <c r="Q12" s="80">
        <f t="shared" si="7"/>
        <v>0</v>
      </c>
      <c r="R12" s="76" t="e">
        <f t="shared" si="8"/>
        <v>#DIV/0!</v>
      </c>
      <c r="S12" s="78">
        <f t="shared" si="9"/>
        <v>2831</v>
      </c>
      <c r="T12" s="74">
        <f t="shared" si="10"/>
        <v>207</v>
      </c>
      <c r="U12" s="74">
        <f t="shared" si="11"/>
        <v>2624</v>
      </c>
      <c r="V12" s="76">
        <f t="shared" si="12"/>
        <v>7.3119039208760159E-2</v>
      </c>
    </row>
    <row r="13" spans="1:22" x14ac:dyDescent="0.25">
      <c r="A13" s="74">
        <v>11</v>
      </c>
      <c r="B13" s="75">
        <v>44207</v>
      </c>
      <c r="C13" s="81">
        <v>207</v>
      </c>
      <c r="D13" s="82">
        <v>2624</v>
      </c>
      <c r="E13" s="74">
        <f t="shared" si="0"/>
        <v>2831</v>
      </c>
      <c r="F13" s="76">
        <f t="shared" si="1"/>
        <v>7.3119039208760159E-2</v>
      </c>
      <c r="G13" s="74">
        <v>0</v>
      </c>
      <c r="H13" s="74">
        <v>0</v>
      </c>
      <c r="I13" s="74">
        <f t="shared" si="2"/>
        <v>0</v>
      </c>
      <c r="J13" s="77" t="e">
        <f t="shared" si="3"/>
        <v>#DIV/0!</v>
      </c>
      <c r="K13" s="74">
        <v>0</v>
      </c>
      <c r="L13" s="74">
        <v>0</v>
      </c>
      <c r="M13" s="78">
        <f t="shared" si="4"/>
        <v>0</v>
      </c>
      <c r="N13" s="76" t="e">
        <f t="shared" si="5"/>
        <v>#DIV/0!</v>
      </c>
      <c r="O13" s="80">
        <f t="shared" ref="O13:P13" si="22">S13-S12</f>
        <v>0</v>
      </c>
      <c r="P13" s="80">
        <f t="shared" si="22"/>
        <v>0</v>
      </c>
      <c r="Q13" s="80">
        <f t="shared" si="7"/>
        <v>0</v>
      </c>
      <c r="R13" s="76" t="e">
        <f t="shared" si="8"/>
        <v>#DIV/0!</v>
      </c>
      <c r="S13" s="78">
        <f t="shared" si="9"/>
        <v>2831</v>
      </c>
      <c r="T13" s="74">
        <f t="shared" si="10"/>
        <v>207</v>
      </c>
      <c r="U13" s="74">
        <f t="shared" si="11"/>
        <v>2624</v>
      </c>
      <c r="V13" s="76">
        <f t="shared" si="12"/>
        <v>7.3119039208760159E-2</v>
      </c>
    </row>
    <row r="14" spans="1:22" x14ac:dyDescent="0.25">
      <c r="A14" s="74">
        <v>12</v>
      </c>
      <c r="B14" s="75">
        <v>44208</v>
      </c>
      <c r="C14" s="83">
        <v>247</v>
      </c>
      <c r="D14" s="83">
        <v>3011</v>
      </c>
      <c r="E14" s="74">
        <f t="shared" si="0"/>
        <v>3258</v>
      </c>
      <c r="F14" s="76">
        <f t="shared" si="1"/>
        <v>7.5813382443216698E-2</v>
      </c>
      <c r="G14" s="74">
        <v>0</v>
      </c>
      <c r="H14" s="74">
        <v>0</v>
      </c>
      <c r="I14" s="74">
        <f t="shared" si="2"/>
        <v>0</v>
      </c>
      <c r="J14" s="77" t="e">
        <f t="shared" si="3"/>
        <v>#DIV/0!</v>
      </c>
      <c r="K14" s="74">
        <v>0</v>
      </c>
      <c r="L14" s="74">
        <v>0</v>
      </c>
      <c r="M14" s="78">
        <f t="shared" si="4"/>
        <v>0</v>
      </c>
      <c r="N14" s="76" t="e">
        <f t="shared" si="5"/>
        <v>#DIV/0!</v>
      </c>
      <c r="O14" s="80">
        <f t="shared" ref="O14:P14" si="23">S14-S13</f>
        <v>427</v>
      </c>
      <c r="P14" s="80">
        <f t="shared" si="23"/>
        <v>40</v>
      </c>
      <c r="Q14" s="80">
        <f t="shared" si="7"/>
        <v>387</v>
      </c>
      <c r="R14" s="76">
        <f t="shared" si="8"/>
        <v>9.3676814988290405E-2</v>
      </c>
      <c r="S14" s="78">
        <f t="shared" si="9"/>
        <v>3258</v>
      </c>
      <c r="T14" s="74">
        <f t="shared" si="10"/>
        <v>247</v>
      </c>
      <c r="U14" s="74">
        <f t="shared" si="11"/>
        <v>3011</v>
      </c>
      <c r="V14" s="76">
        <f t="shared" si="12"/>
        <v>7.5813382443216698E-2</v>
      </c>
    </row>
    <row r="15" spans="1:22" x14ac:dyDescent="0.25">
      <c r="A15" s="74">
        <v>13</v>
      </c>
      <c r="B15" s="75">
        <v>44209</v>
      </c>
      <c r="C15" s="74">
        <v>297</v>
      </c>
      <c r="D15" s="74">
        <v>3573</v>
      </c>
      <c r="E15" s="74">
        <f t="shared" si="0"/>
        <v>3870</v>
      </c>
      <c r="F15" s="76">
        <f t="shared" si="1"/>
        <v>7.6744186046511634E-2</v>
      </c>
      <c r="G15" s="74">
        <v>0</v>
      </c>
      <c r="H15" s="74">
        <v>0</v>
      </c>
      <c r="I15" s="74">
        <f t="shared" si="2"/>
        <v>0</v>
      </c>
      <c r="J15" s="77" t="e">
        <f t="shared" si="3"/>
        <v>#DIV/0!</v>
      </c>
      <c r="K15" s="74">
        <v>0</v>
      </c>
      <c r="L15" s="74">
        <v>0</v>
      </c>
      <c r="M15" s="78">
        <f t="shared" si="4"/>
        <v>0</v>
      </c>
      <c r="N15" s="76" t="e">
        <f t="shared" si="5"/>
        <v>#DIV/0!</v>
      </c>
      <c r="O15" s="80">
        <f t="shared" ref="O15:P15" si="24">S15-S14</f>
        <v>612</v>
      </c>
      <c r="P15" s="80">
        <f t="shared" si="24"/>
        <v>50</v>
      </c>
      <c r="Q15" s="80">
        <f t="shared" si="7"/>
        <v>562</v>
      </c>
      <c r="R15" s="76">
        <f t="shared" si="8"/>
        <v>8.1699346405228759E-2</v>
      </c>
      <c r="S15" s="78">
        <f t="shared" si="9"/>
        <v>3870</v>
      </c>
      <c r="T15" s="74">
        <f t="shared" si="10"/>
        <v>297</v>
      </c>
      <c r="U15" s="74">
        <f t="shared" si="11"/>
        <v>3573</v>
      </c>
      <c r="V15" s="76">
        <f t="shared" si="12"/>
        <v>7.6744186046511634E-2</v>
      </c>
    </row>
    <row r="16" spans="1:22" x14ac:dyDescent="0.25">
      <c r="A16" s="74">
        <v>14</v>
      </c>
      <c r="B16" s="75">
        <v>44210</v>
      </c>
      <c r="C16" s="74">
        <v>399</v>
      </c>
      <c r="D16" s="74">
        <v>4417</v>
      </c>
      <c r="E16" s="74">
        <f t="shared" si="0"/>
        <v>4816</v>
      </c>
      <c r="F16" s="76">
        <f t="shared" si="1"/>
        <v>8.284883720930232E-2</v>
      </c>
      <c r="G16" s="74">
        <v>0</v>
      </c>
      <c r="H16" s="74">
        <v>0</v>
      </c>
      <c r="I16" s="74">
        <f t="shared" si="2"/>
        <v>0</v>
      </c>
      <c r="J16" s="77" t="e">
        <f t="shared" si="3"/>
        <v>#DIV/0!</v>
      </c>
      <c r="K16" s="74">
        <v>0</v>
      </c>
      <c r="L16" s="74">
        <v>0</v>
      </c>
      <c r="M16" s="78">
        <f t="shared" si="4"/>
        <v>0</v>
      </c>
      <c r="N16" s="76" t="e">
        <f t="shared" si="5"/>
        <v>#DIV/0!</v>
      </c>
      <c r="O16" s="80">
        <f t="shared" ref="O16:P16" si="25">S16-S15</f>
        <v>946</v>
      </c>
      <c r="P16" s="80">
        <f t="shared" si="25"/>
        <v>102</v>
      </c>
      <c r="Q16" s="80">
        <f t="shared" si="7"/>
        <v>844</v>
      </c>
      <c r="R16" s="76">
        <f t="shared" si="8"/>
        <v>0.10782241014799154</v>
      </c>
      <c r="S16" s="78">
        <f t="shared" si="9"/>
        <v>4816</v>
      </c>
      <c r="T16" s="74">
        <f t="shared" si="10"/>
        <v>399</v>
      </c>
      <c r="U16" s="74">
        <f t="shared" si="11"/>
        <v>4417</v>
      </c>
      <c r="V16" s="76">
        <f t="shared" si="12"/>
        <v>8.284883720930232E-2</v>
      </c>
    </row>
    <row r="17" spans="1:22" x14ac:dyDescent="0.25">
      <c r="A17" s="74">
        <v>15</v>
      </c>
      <c r="B17" s="75">
        <v>44211</v>
      </c>
      <c r="C17" s="74">
        <v>463</v>
      </c>
      <c r="D17" s="74">
        <v>4936</v>
      </c>
      <c r="E17" s="74">
        <f t="shared" si="0"/>
        <v>5399</v>
      </c>
      <c r="F17" s="76">
        <f t="shared" si="1"/>
        <v>8.5756621596591961E-2</v>
      </c>
      <c r="G17" s="74">
        <v>0</v>
      </c>
      <c r="H17" s="74">
        <v>0</v>
      </c>
      <c r="I17" s="74">
        <f t="shared" si="2"/>
        <v>0</v>
      </c>
      <c r="J17" s="77" t="e">
        <f t="shared" si="3"/>
        <v>#DIV/0!</v>
      </c>
      <c r="K17" s="74">
        <v>0</v>
      </c>
      <c r="L17" s="74">
        <v>0</v>
      </c>
      <c r="M17" s="78">
        <f t="shared" si="4"/>
        <v>0</v>
      </c>
      <c r="N17" s="76" t="e">
        <f t="shared" si="5"/>
        <v>#DIV/0!</v>
      </c>
      <c r="O17" s="80">
        <f t="shared" ref="O17:P17" si="26">S17-S16</f>
        <v>583</v>
      </c>
      <c r="P17" s="80">
        <f t="shared" si="26"/>
        <v>64</v>
      </c>
      <c r="Q17" s="80">
        <f t="shared" si="7"/>
        <v>519</v>
      </c>
      <c r="R17" s="76">
        <f t="shared" si="8"/>
        <v>0.10977701543739279</v>
      </c>
      <c r="S17" s="78">
        <f t="shared" si="9"/>
        <v>5399</v>
      </c>
      <c r="T17" s="74">
        <f t="shared" si="10"/>
        <v>463</v>
      </c>
      <c r="U17" s="74">
        <f t="shared" si="11"/>
        <v>4936</v>
      </c>
      <c r="V17" s="76">
        <f t="shared" si="12"/>
        <v>8.5756621596591961E-2</v>
      </c>
    </row>
    <row r="18" spans="1:22" x14ac:dyDescent="0.25">
      <c r="A18" s="74">
        <v>16</v>
      </c>
      <c r="B18" s="75">
        <v>44212</v>
      </c>
      <c r="C18" s="74">
        <v>510</v>
      </c>
      <c r="D18" s="74">
        <v>5406</v>
      </c>
      <c r="E18" s="74">
        <f t="shared" si="0"/>
        <v>5916</v>
      </c>
      <c r="F18" s="76">
        <f t="shared" si="1"/>
        <v>8.6206896551724144E-2</v>
      </c>
      <c r="G18" s="74">
        <v>0</v>
      </c>
      <c r="H18" s="74">
        <v>0</v>
      </c>
      <c r="I18" s="74">
        <f t="shared" si="2"/>
        <v>0</v>
      </c>
      <c r="J18" s="77" t="e">
        <f t="shared" si="3"/>
        <v>#DIV/0!</v>
      </c>
      <c r="K18" s="74">
        <v>0</v>
      </c>
      <c r="L18" s="74">
        <v>0</v>
      </c>
      <c r="M18" s="78">
        <f t="shared" si="4"/>
        <v>0</v>
      </c>
      <c r="N18" s="76" t="e">
        <f t="shared" si="5"/>
        <v>#DIV/0!</v>
      </c>
      <c r="O18" s="80">
        <f t="shared" ref="O18:P18" si="27">S18-S17</f>
        <v>517</v>
      </c>
      <c r="P18" s="80">
        <f t="shared" si="27"/>
        <v>47</v>
      </c>
      <c r="Q18" s="80">
        <f t="shared" si="7"/>
        <v>470</v>
      </c>
      <c r="R18" s="76">
        <f t="shared" si="8"/>
        <v>9.0909090909090912E-2</v>
      </c>
      <c r="S18" s="78">
        <f t="shared" si="9"/>
        <v>5916</v>
      </c>
      <c r="T18" s="74">
        <f t="shared" si="10"/>
        <v>510</v>
      </c>
      <c r="U18" s="74">
        <f t="shared" si="11"/>
        <v>5406</v>
      </c>
      <c r="V18" s="76">
        <f t="shared" si="12"/>
        <v>8.6206896551724144E-2</v>
      </c>
    </row>
    <row r="19" spans="1:22" x14ac:dyDescent="0.25">
      <c r="A19" s="74">
        <v>17</v>
      </c>
      <c r="B19" s="75">
        <v>44213</v>
      </c>
      <c r="C19" s="74">
        <v>558</v>
      </c>
      <c r="D19" s="74">
        <v>6000</v>
      </c>
      <c r="E19" s="74">
        <f t="shared" si="0"/>
        <v>6558</v>
      </c>
      <c r="F19" s="76">
        <f t="shared" si="1"/>
        <v>8.5086916742909427E-2</v>
      </c>
      <c r="G19" s="74">
        <v>0</v>
      </c>
      <c r="H19" s="74">
        <v>0</v>
      </c>
      <c r="I19" s="74">
        <f t="shared" si="2"/>
        <v>0</v>
      </c>
      <c r="J19" s="77" t="e">
        <f t="shared" si="3"/>
        <v>#DIV/0!</v>
      </c>
      <c r="K19" s="74">
        <v>0</v>
      </c>
      <c r="L19" s="74">
        <v>0</v>
      </c>
      <c r="M19" s="78">
        <f t="shared" si="4"/>
        <v>0</v>
      </c>
      <c r="N19" s="76" t="e">
        <f t="shared" si="5"/>
        <v>#DIV/0!</v>
      </c>
      <c r="O19" s="80">
        <f t="shared" ref="O19:P19" si="28">S19-S18</f>
        <v>642</v>
      </c>
      <c r="P19" s="80">
        <f t="shared" si="28"/>
        <v>48</v>
      </c>
      <c r="Q19" s="80">
        <f t="shared" si="7"/>
        <v>594</v>
      </c>
      <c r="R19" s="76">
        <f t="shared" si="8"/>
        <v>7.476635514018691E-2</v>
      </c>
      <c r="S19" s="78">
        <f t="shared" si="9"/>
        <v>6558</v>
      </c>
      <c r="T19" s="74">
        <f t="shared" si="10"/>
        <v>558</v>
      </c>
      <c r="U19" s="74">
        <f t="shared" si="11"/>
        <v>6000</v>
      </c>
      <c r="V19" s="76">
        <f t="shared" si="12"/>
        <v>8.5086916742909427E-2</v>
      </c>
    </row>
    <row r="20" spans="1:22" x14ac:dyDescent="0.25">
      <c r="A20" s="74">
        <v>18</v>
      </c>
      <c r="B20" s="75">
        <v>44214</v>
      </c>
      <c r="C20" s="74">
        <v>601</v>
      </c>
      <c r="D20" s="74">
        <v>6286</v>
      </c>
      <c r="E20" s="74">
        <f t="shared" si="0"/>
        <v>6887</v>
      </c>
      <c r="F20" s="76">
        <f t="shared" si="1"/>
        <v>8.7265863220560472E-2</v>
      </c>
      <c r="G20" s="74">
        <v>0</v>
      </c>
      <c r="H20" s="74">
        <v>0</v>
      </c>
      <c r="I20" s="74">
        <f t="shared" si="2"/>
        <v>0</v>
      </c>
      <c r="J20" s="77" t="e">
        <f t="shared" si="3"/>
        <v>#DIV/0!</v>
      </c>
      <c r="K20" s="74">
        <v>0</v>
      </c>
      <c r="L20" s="74">
        <v>0</v>
      </c>
      <c r="M20" s="78">
        <f t="shared" si="4"/>
        <v>0</v>
      </c>
      <c r="N20" s="76" t="e">
        <f t="shared" si="5"/>
        <v>#DIV/0!</v>
      </c>
      <c r="O20" s="80">
        <f t="shared" ref="O20:P20" si="29">S20-S19</f>
        <v>329</v>
      </c>
      <c r="P20" s="80">
        <f t="shared" si="29"/>
        <v>43</v>
      </c>
      <c r="Q20" s="80">
        <f t="shared" si="7"/>
        <v>286</v>
      </c>
      <c r="R20" s="76">
        <f t="shared" si="8"/>
        <v>0.13069908814589665</v>
      </c>
      <c r="S20" s="78">
        <f t="shared" si="9"/>
        <v>6887</v>
      </c>
      <c r="T20" s="74">
        <f t="shared" si="10"/>
        <v>601</v>
      </c>
      <c r="U20" s="74">
        <f t="shared" si="11"/>
        <v>6286</v>
      </c>
      <c r="V20" s="76">
        <f t="shared" si="12"/>
        <v>8.7265863220560472E-2</v>
      </c>
    </row>
    <row r="21" spans="1:22" x14ac:dyDescent="0.25">
      <c r="A21" s="74">
        <v>19</v>
      </c>
      <c r="B21" s="75">
        <v>44215</v>
      </c>
      <c r="C21" s="74">
        <v>610</v>
      </c>
      <c r="D21" s="74">
        <v>6403</v>
      </c>
      <c r="E21" s="74">
        <f t="shared" si="0"/>
        <v>7013</v>
      </c>
      <c r="F21" s="76">
        <f t="shared" si="1"/>
        <v>8.6981320404962217E-2</v>
      </c>
      <c r="G21" s="74">
        <v>0</v>
      </c>
      <c r="H21" s="74">
        <v>0</v>
      </c>
      <c r="I21" s="74">
        <f t="shared" si="2"/>
        <v>0</v>
      </c>
      <c r="J21" s="77" t="e">
        <f t="shared" si="3"/>
        <v>#DIV/0!</v>
      </c>
      <c r="K21" s="74">
        <v>0</v>
      </c>
      <c r="L21" s="74">
        <v>0</v>
      </c>
      <c r="M21" s="78">
        <f t="shared" si="4"/>
        <v>0</v>
      </c>
      <c r="N21" s="76" t="e">
        <f t="shared" si="5"/>
        <v>#DIV/0!</v>
      </c>
      <c r="O21" s="80">
        <f t="shared" ref="O21:P21" si="30">S21-S20</f>
        <v>126</v>
      </c>
      <c r="P21" s="80">
        <f t="shared" si="30"/>
        <v>9</v>
      </c>
      <c r="Q21" s="80">
        <f t="shared" si="7"/>
        <v>117</v>
      </c>
      <c r="R21" s="76">
        <f t="shared" si="8"/>
        <v>7.1428571428571425E-2</v>
      </c>
      <c r="S21" s="78">
        <f t="shared" si="9"/>
        <v>7013</v>
      </c>
      <c r="T21" s="74">
        <f t="shared" si="10"/>
        <v>610</v>
      </c>
      <c r="U21" s="74">
        <f t="shared" si="11"/>
        <v>6403</v>
      </c>
      <c r="V21" s="76">
        <f t="shared" si="12"/>
        <v>8.6981320404962217E-2</v>
      </c>
    </row>
    <row r="22" spans="1:22" x14ac:dyDescent="0.25">
      <c r="A22" s="74">
        <v>20</v>
      </c>
      <c r="B22" s="75">
        <v>44216</v>
      </c>
      <c r="C22" s="74">
        <v>667</v>
      </c>
      <c r="D22" s="74">
        <v>6945</v>
      </c>
      <c r="E22" s="74">
        <f t="shared" si="0"/>
        <v>7612</v>
      </c>
      <c r="F22" s="76">
        <f t="shared" si="1"/>
        <v>8.7624802942722013E-2</v>
      </c>
      <c r="G22" s="74">
        <v>0</v>
      </c>
      <c r="H22" s="74">
        <v>0</v>
      </c>
      <c r="I22" s="74">
        <f t="shared" si="2"/>
        <v>0</v>
      </c>
      <c r="J22" s="77" t="e">
        <f t="shared" si="3"/>
        <v>#DIV/0!</v>
      </c>
      <c r="K22" s="74">
        <v>0</v>
      </c>
      <c r="L22" s="74">
        <v>0</v>
      </c>
      <c r="M22" s="78">
        <f t="shared" si="4"/>
        <v>0</v>
      </c>
      <c r="N22" s="76" t="e">
        <f t="shared" si="5"/>
        <v>#DIV/0!</v>
      </c>
      <c r="O22" s="80">
        <f t="shared" ref="O22:P22" si="31">S22-S21</f>
        <v>599</v>
      </c>
      <c r="P22" s="80">
        <f t="shared" si="31"/>
        <v>57</v>
      </c>
      <c r="Q22" s="80">
        <f t="shared" si="7"/>
        <v>542</v>
      </c>
      <c r="R22" s="76">
        <f t="shared" si="8"/>
        <v>9.515859766277128E-2</v>
      </c>
      <c r="S22" s="78">
        <f t="shared" si="9"/>
        <v>7612</v>
      </c>
      <c r="T22" s="74">
        <f t="shared" si="10"/>
        <v>667</v>
      </c>
      <c r="U22" s="74">
        <f t="shared" si="11"/>
        <v>6945</v>
      </c>
      <c r="V22" s="76">
        <f t="shared" si="12"/>
        <v>8.7624802942722013E-2</v>
      </c>
    </row>
    <row r="23" spans="1:22" x14ac:dyDescent="0.25">
      <c r="A23" s="74">
        <v>21</v>
      </c>
      <c r="B23" s="75">
        <v>44217</v>
      </c>
      <c r="C23" s="74">
        <v>727</v>
      </c>
      <c r="D23" s="74">
        <v>7562</v>
      </c>
      <c r="E23" s="74">
        <f t="shared" si="0"/>
        <v>8289</v>
      </c>
      <c r="F23" s="76">
        <f t="shared" si="1"/>
        <v>8.770659910725058E-2</v>
      </c>
      <c r="G23" s="74">
        <v>0</v>
      </c>
      <c r="H23" s="74">
        <v>0</v>
      </c>
      <c r="I23" s="74">
        <f t="shared" si="2"/>
        <v>0</v>
      </c>
      <c r="J23" s="77" t="e">
        <f t="shared" si="3"/>
        <v>#DIV/0!</v>
      </c>
      <c r="K23" s="74">
        <v>0</v>
      </c>
      <c r="L23" s="74">
        <v>0</v>
      </c>
      <c r="M23" s="78">
        <f t="shared" si="4"/>
        <v>0</v>
      </c>
      <c r="N23" s="76" t="e">
        <f t="shared" si="5"/>
        <v>#DIV/0!</v>
      </c>
      <c r="O23" s="80">
        <f t="shared" ref="O23:P23" si="32">S23-S22</f>
        <v>677</v>
      </c>
      <c r="P23" s="80">
        <f t="shared" si="32"/>
        <v>60</v>
      </c>
      <c r="Q23" s="80">
        <f t="shared" si="7"/>
        <v>617</v>
      </c>
      <c r="R23" s="76">
        <f t="shared" si="8"/>
        <v>8.8626292466765136E-2</v>
      </c>
      <c r="S23" s="78">
        <f t="shared" si="9"/>
        <v>8289</v>
      </c>
      <c r="T23" s="74">
        <f t="shared" si="10"/>
        <v>727</v>
      </c>
      <c r="U23" s="74">
        <f t="shared" si="11"/>
        <v>7562</v>
      </c>
      <c r="V23" s="76">
        <f t="shared" si="12"/>
        <v>8.770659910725058E-2</v>
      </c>
    </row>
    <row r="24" spans="1:22" x14ac:dyDescent="0.25">
      <c r="A24" s="74">
        <v>22</v>
      </c>
      <c r="B24" s="75">
        <v>44218</v>
      </c>
      <c r="C24" s="74">
        <v>777</v>
      </c>
      <c r="D24" s="74">
        <v>8074</v>
      </c>
      <c r="E24" s="74">
        <f t="shared" si="0"/>
        <v>8851</v>
      </c>
      <c r="F24" s="76">
        <f t="shared" si="1"/>
        <v>8.7786690769404582E-2</v>
      </c>
      <c r="G24" s="74">
        <v>0</v>
      </c>
      <c r="H24" s="74">
        <v>0</v>
      </c>
      <c r="I24" s="74">
        <f t="shared" si="2"/>
        <v>0</v>
      </c>
      <c r="J24" s="77" t="e">
        <f t="shared" si="3"/>
        <v>#DIV/0!</v>
      </c>
      <c r="K24" s="74">
        <v>0</v>
      </c>
      <c r="L24" s="74">
        <v>0</v>
      </c>
      <c r="M24" s="78">
        <f t="shared" si="4"/>
        <v>0</v>
      </c>
      <c r="N24" s="76" t="e">
        <f t="shared" si="5"/>
        <v>#DIV/0!</v>
      </c>
      <c r="O24" s="80">
        <f t="shared" ref="O24:P24" si="33">S24-S23</f>
        <v>562</v>
      </c>
      <c r="P24" s="80">
        <f t="shared" si="33"/>
        <v>50</v>
      </c>
      <c r="Q24" s="80">
        <f t="shared" si="7"/>
        <v>512</v>
      </c>
      <c r="R24" s="76">
        <f t="shared" si="8"/>
        <v>8.8967971530249115E-2</v>
      </c>
      <c r="S24" s="78">
        <f t="shared" si="9"/>
        <v>8851</v>
      </c>
      <c r="T24" s="74">
        <f t="shared" si="10"/>
        <v>777</v>
      </c>
      <c r="U24" s="74">
        <f t="shared" si="11"/>
        <v>8074</v>
      </c>
      <c r="V24" s="76">
        <f t="shared" si="12"/>
        <v>8.7786690769404582E-2</v>
      </c>
    </row>
    <row r="25" spans="1:22" x14ac:dyDescent="0.25">
      <c r="A25" s="74">
        <v>23</v>
      </c>
      <c r="B25" s="75">
        <v>44219</v>
      </c>
      <c r="C25" s="74">
        <v>806</v>
      </c>
      <c r="D25" s="74">
        <v>8322</v>
      </c>
      <c r="E25" s="74">
        <f t="shared" si="0"/>
        <v>9128</v>
      </c>
      <c r="F25" s="76">
        <f t="shared" si="1"/>
        <v>8.8299737072743203E-2</v>
      </c>
      <c r="G25" s="74">
        <v>0</v>
      </c>
      <c r="H25" s="74">
        <v>0</v>
      </c>
      <c r="I25" s="74">
        <f t="shared" si="2"/>
        <v>0</v>
      </c>
      <c r="J25" s="77" t="e">
        <f t="shared" si="3"/>
        <v>#DIV/0!</v>
      </c>
      <c r="K25" s="74">
        <v>0</v>
      </c>
      <c r="L25" s="74">
        <v>0</v>
      </c>
      <c r="M25" s="78">
        <f t="shared" si="4"/>
        <v>0</v>
      </c>
      <c r="N25" s="76" t="e">
        <f t="shared" si="5"/>
        <v>#DIV/0!</v>
      </c>
      <c r="O25" s="80">
        <f t="shared" ref="O25:P25" si="34">S25-S24</f>
        <v>277</v>
      </c>
      <c r="P25" s="80">
        <f t="shared" si="34"/>
        <v>29</v>
      </c>
      <c r="Q25" s="80">
        <f t="shared" si="7"/>
        <v>248</v>
      </c>
      <c r="R25" s="76">
        <f t="shared" si="8"/>
        <v>0.10469314079422383</v>
      </c>
      <c r="S25" s="78">
        <f t="shared" si="9"/>
        <v>9128</v>
      </c>
      <c r="T25" s="74">
        <f t="shared" si="10"/>
        <v>806</v>
      </c>
      <c r="U25" s="74">
        <f t="shared" si="11"/>
        <v>8322</v>
      </c>
      <c r="V25" s="76">
        <f t="shared" si="12"/>
        <v>8.8299737072743203E-2</v>
      </c>
    </row>
    <row r="26" spans="1:22" x14ac:dyDescent="0.25">
      <c r="A26" s="74">
        <v>24</v>
      </c>
      <c r="B26" s="75">
        <v>44220</v>
      </c>
      <c r="C26" s="74">
        <v>853</v>
      </c>
      <c r="D26" s="74">
        <v>8801</v>
      </c>
      <c r="E26" s="74">
        <f t="shared" si="0"/>
        <v>9654</v>
      </c>
      <c r="F26" s="76">
        <f t="shared" si="1"/>
        <v>8.835715765485809E-2</v>
      </c>
      <c r="G26" s="74">
        <v>0</v>
      </c>
      <c r="H26" s="74">
        <v>0</v>
      </c>
      <c r="I26" s="74">
        <f t="shared" si="2"/>
        <v>0</v>
      </c>
      <c r="J26" s="77" t="e">
        <f t="shared" si="3"/>
        <v>#DIV/0!</v>
      </c>
      <c r="K26" s="74">
        <v>0</v>
      </c>
      <c r="L26" s="74">
        <v>0</v>
      </c>
      <c r="M26" s="78">
        <f t="shared" si="4"/>
        <v>0</v>
      </c>
      <c r="N26" s="76" t="e">
        <f t="shared" si="5"/>
        <v>#DIV/0!</v>
      </c>
      <c r="O26" s="80">
        <f t="shared" ref="O26:P26" si="35">S26-S25</f>
        <v>526</v>
      </c>
      <c r="P26" s="80">
        <f t="shared" si="35"/>
        <v>47</v>
      </c>
      <c r="Q26" s="80">
        <f t="shared" si="7"/>
        <v>479</v>
      </c>
      <c r="R26" s="76">
        <f t="shared" si="8"/>
        <v>8.9353612167300381E-2</v>
      </c>
      <c r="S26" s="78">
        <f t="shared" si="9"/>
        <v>9654</v>
      </c>
      <c r="T26" s="74">
        <f t="shared" si="10"/>
        <v>853</v>
      </c>
      <c r="U26" s="74">
        <f t="shared" si="11"/>
        <v>8801</v>
      </c>
      <c r="V26" s="76">
        <f t="shared" si="12"/>
        <v>8.835715765485809E-2</v>
      </c>
    </row>
    <row r="27" spans="1:22" x14ac:dyDescent="0.25">
      <c r="A27" s="74">
        <v>25</v>
      </c>
      <c r="B27" s="75">
        <v>44221</v>
      </c>
      <c r="C27" s="74">
        <v>862</v>
      </c>
      <c r="D27" s="74">
        <v>8906</v>
      </c>
      <c r="E27" s="74">
        <f t="shared" si="0"/>
        <v>9768</v>
      </c>
      <c r="F27" s="76">
        <f t="shared" si="1"/>
        <v>8.8247338247338242E-2</v>
      </c>
      <c r="G27" s="74">
        <v>0</v>
      </c>
      <c r="H27" s="74">
        <v>0</v>
      </c>
      <c r="I27" s="74">
        <f t="shared" si="2"/>
        <v>0</v>
      </c>
      <c r="J27" s="77" t="e">
        <f t="shared" si="3"/>
        <v>#DIV/0!</v>
      </c>
      <c r="K27" s="74">
        <v>0</v>
      </c>
      <c r="L27" s="74">
        <v>0</v>
      </c>
      <c r="M27" s="78">
        <f t="shared" si="4"/>
        <v>0</v>
      </c>
      <c r="N27" s="76" t="e">
        <f t="shared" si="5"/>
        <v>#DIV/0!</v>
      </c>
      <c r="O27" s="80">
        <f t="shared" ref="O27:P27" si="36">S27-S26</f>
        <v>114</v>
      </c>
      <c r="P27" s="80">
        <f t="shared" si="36"/>
        <v>9</v>
      </c>
      <c r="Q27" s="80">
        <f t="shared" si="7"/>
        <v>105</v>
      </c>
      <c r="R27" s="76">
        <f t="shared" si="8"/>
        <v>7.8947368421052627E-2</v>
      </c>
      <c r="S27" s="78">
        <f t="shared" si="9"/>
        <v>9768</v>
      </c>
      <c r="T27" s="74">
        <f t="shared" si="10"/>
        <v>862</v>
      </c>
      <c r="U27" s="74">
        <f t="shared" si="11"/>
        <v>8906</v>
      </c>
      <c r="V27" s="76">
        <f t="shared" si="12"/>
        <v>8.8247338247338242E-2</v>
      </c>
    </row>
    <row r="28" spans="1:22" x14ac:dyDescent="0.25">
      <c r="A28" s="74">
        <v>26</v>
      </c>
      <c r="B28" s="75">
        <v>44222</v>
      </c>
      <c r="C28" s="74">
        <v>880</v>
      </c>
      <c r="D28" s="74">
        <v>9214</v>
      </c>
      <c r="E28" s="74">
        <f t="shared" si="0"/>
        <v>10094</v>
      </c>
      <c r="F28" s="76">
        <f t="shared" si="1"/>
        <v>8.7180503269268877E-2</v>
      </c>
      <c r="G28" s="74">
        <v>0</v>
      </c>
      <c r="H28" s="74">
        <v>0</v>
      </c>
      <c r="I28" s="74">
        <f t="shared" si="2"/>
        <v>0</v>
      </c>
      <c r="J28" s="77" t="e">
        <f t="shared" si="3"/>
        <v>#DIV/0!</v>
      </c>
      <c r="K28" s="74">
        <v>0</v>
      </c>
      <c r="L28" s="74">
        <v>0</v>
      </c>
      <c r="M28" s="78">
        <f t="shared" si="4"/>
        <v>0</v>
      </c>
      <c r="N28" s="76" t="e">
        <f t="shared" si="5"/>
        <v>#DIV/0!</v>
      </c>
      <c r="O28" s="80">
        <f t="shared" ref="O28:P28" si="37">S28-S27</f>
        <v>326</v>
      </c>
      <c r="P28" s="80">
        <f t="shared" si="37"/>
        <v>18</v>
      </c>
      <c r="Q28" s="80">
        <f t="shared" si="7"/>
        <v>308</v>
      </c>
      <c r="R28" s="76">
        <f t="shared" si="8"/>
        <v>5.5214723926380369E-2</v>
      </c>
      <c r="S28" s="78">
        <f t="shared" si="9"/>
        <v>10094</v>
      </c>
      <c r="T28" s="74">
        <f t="shared" si="10"/>
        <v>880</v>
      </c>
      <c r="U28" s="74">
        <f t="shared" si="11"/>
        <v>9214</v>
      </c>
      <c r="V28" s="76">
        <f t="shared" si="12"/>
        <v>8.7180503269268877E-2</v>
      </c>
    </row>
    <row r="29" spans="1:22" x14ac:dyDescent="0.25">
      <c r="A29" s="74">
        <v>27</v>
      </c>
      <c r="B29" s="75">
        <v>44223</v>
      </c>
      <c r="C29" s="74">
        <v>930</v>
      </c>
      <c r="D29" s="74">
        <v>10055</v>
      </c>
      <c r="E29" s="74">
        <f t="shared" si="0"/>
        <v>10985</v>
      </c>
      <c r="F29" s="76">
        <f t="shared" si="1"/>
        <v>8.4660901228948565E-2</v>
      </c>
      <c r="G29" s="74">
        <v>0</v>
      </c>
      <c r="H29" s="74">
        <v>0</v>
      </c>
      <c r="I29" s="74">
        <f t="shared" si="2"/>
        <v>0</v>
      </c>
      <c r="J29" s="77" t="e">
        <f t="shared" si="3"/>
        <v>#DIV/0!</v>
      </c>
      <c r="K29" s="74">
        <v>0</v>
      </c>
      <c r="L29" s="74">
        <v>0</v>
      </c>
      <c r="M29" s="78">
        <f t="shared" si="4"/>
        <v>0</v>
      </c>
      <c r="N29" s="76" t="e">
        <f t="shared" si="5"/>
        <v>#DIV/0!</v>
      </c>
      <c r="O29" s="80">
        <f t="shared" ref="O29:P29" si="38">S29-S28</f>
        <v>891</v>
      </c>
      <c r="P29" s="80">
        <f t="shared" si="38"/>
        <v>50</v>
      </c>
      <c r="Q29" s="80">
        <f t="shared" si="7"/>
        <v>841</v>
      </c>
      <c r="R29" s="76">
        <f t="shared" si="8"/>
        <v>5.6116722783389451E-2</v>
      </c>
      <c r="S29" s="78">
        <f t="shared" si="9"/>
        <v>10985</v>
      </c>
      <c r="T29" s="74">
        <f t="shared" si="10"/>
        <v>930</v>
      </c>
      <c r="U29" s="74">
        <f t="shared" si="11"/>
        <v>10055</v>
      </c>
      <c r="V29" s="76">
        <f t="shared" si="12"/>
        <v>8.4660901228948565E-2</v>
      </c>
    </row>
    <row r="30" spans="1:22" x14ac:dyDescent="0.25">
      <c r="A30" s="74">
        <v>28</v>
      </c>
      <c r="B30" s="75">
        <v>44224</v>
      </c>
      <c r="C30" s="74">
        <v>977</v>
      </c>
      <c r="D30" s="74">
        <v>10989</v>
      </c>
      <c r="E30" s="74">
        <f t="shared" si="0"/>
        <v>11966</v>
      </c>
      <c r="F30" s="76">
        <f t="shared" si="1"/>
        <v>8.1648002674243686E-2</v>
      </c>
      <c r="G30" s="74">
        <v>0</v>
      </c>
      <c r="H30" s="74">
        <v>0</v>
      </c>
      <c r="I30" s="74">
        <f t="shared" si="2"/>
        <v>0</v>
      </c>
      <c r="J30" s="77" t="e">
        <f t="shared" si="3"/>
        <v>#DIV/0!</v>
      </c>
      <c r="K30" s="74">
        <v>0</v>
      </c>
      <c r="L30" s="74">
        <v>0</v>
      </c>
      <c r="M30" s="78">
        <f t="shared" si="4"/>
        <v>0</v>
      </c>
      <c r="N30" s="76" t="e">
        <f t="shared" si="5"/>
        <v>#DIV/0!</v>
      </c>
      <c r="O30" s="80">
        <f t="shared" ref="O30:P30" si="39">S30-S29</f>
        <v>981</v>
      </c>
      <c r="P30" s="80">
        <f t="shared" si="39"/>
        <v>47</v>
      </c>
      <c r="Q30" s="80">
        <f t="shared" si="7"/>
        <v>934</v>
      </c>
      <c r="R30" s="76">
        <f t="shared" si="8"/>
        <v>4.7910295616717634E-2</v>
      </c>
      <c r="S30" s="78">
        <f t="shared" si="9"/>
        <v>11966</v>
      </c>
      <c r="T30" s="74">
        <f t="shared" si="10"/>
        <v>977</v>
      </c>
      <c r="U30" s="74">
        <f t="shared" si="11"/>
        <v>10989</v>
      </c>
      <c r="V30" s="76">
        <f t="shared" si="12"/>
        <v>8.1648002674243686E-2</v>
      </c>
    </row>
    <row r="31" spans="1:22" x14ac:dyDescent="0.25">
      <c r="A31" s="74">
        <v>29</v>
      </c>
      <c r="B31" s="75">
        <v>44225</v>
      </c>
      <c r="C31" s="74">
        <v>1081</v>
      </c>
      <c r="D31" s="74">
        <v>12260</v>
      </c>
      <c r="E31" s="74">
        <f t="shared" si="0"/>
        <v>13341</v>
      </c>
      <c r="F31" s="76">
        <f t="shared" si="1"/>
        <v>8.1028408665017621E-2</v>
      </c>
      <c r="G31" s="74">
        <v>0</v>
      </c>
      <c r="H31" s="74">
        <v>0</v>
      </c>
      <c r="I31" s="74">
        <f t="shared" si="2"/>
        <v>0</v>
      </c>
      <c r="J31" s="77" t="e">
        <f t="shared" si="3"/>
        <v>#DIV/0!</v>
      </c>
      <c r="K31" s="74">
        <v>0</v>
      </c>
      <c r="L31" s="74">
        <v>0</v>
      </c>
      <c r="M31" s="78">
        <f t="shared" si="4"/>
        <v>0</v>
      </c>
      <c r="N31" s="76" t="e">
        <f t="shared" si="5"/>
        <v>#DIV/0!</v>
      </c>
      <c r="O31" s="80">
        <f t="shared" ref="O31:P31" si="40">S31-S30</f>
        <v>1375</v>
      </c>
      <c r="P31" s="80">
        <f t="shared" si="40"/>
        <v>104</v>
      </c>
      <c r="Q31" s="80">
        <f t="shared" si="7"/>
        <v>1271</v>
      </c>
      <c r="R31" s="76">
        <f t="shared" si="8"/>
        <v>7.563636363636364E-2</v>
      </c>
      <c r="S31" s="78">
        <f t="shared" si="9"/>
        <v>13341</v>
      </c>
      <c r="T31" s="74">
        <f t="shared" si="10"/>
        <v>1081</v>
      </c>
      <c r="U31" s="74">
        <f t="shared" si="11"/>
        <v>12260</v>
      </c>
      <c r="V31" s="76">
        <f t="shared" si="12"/>
        <v>8.1028408665017621E-2</v>
      </c>
    </row>
    <row r="32" spans="1:22" x14ac:dyDescent="0.25">
      <c r="A32" s="74">
        <v>30</v>
      </c>
      <c r="B32" s="75">
        <v>44226</v>
      </c>
      <c r="C32" s="74">
        <v>1139</v>
      </c>
      <c r="D32" s="74">
        <v>12955</v>
      </c>
      <c r="E32" s="74">
        <f t="shared" si="0"/>
        <v>14094</v>
      </c>
      <c r="F32" s="76">
        <f t="shared" si="1"/>
        <v>8.0814531006101892E-2</v>
      </c>
      <c r="G32" s="74">
        <v>0</v>
      </c>
      <c r="H32" s="74">
        <v>0</v>
      </c>
      <c r="I32" s="74">
        <f t="shared" si="2"/>
        <v>0</v>
      </c>
      <c r="J32" s="77" t="e">
        <f t="shared" si="3"/>
        <v>#DIV/0!</v>
      </c>
      <c r="K32" s="74">
        <v>0</v>
      </c>
      <c r="L32" s="74">
        <v>0</v>
      </c>
      <c r="M32" s="78">
        <f t="shared" si="4"/>
        <v>0</v>
      </c>
      <c r="N32" s="76" t="e">
        <f t="shared" si="5"/>
        <v>#DIV/0!</v>
      </c>
      <c r="O32" s="80">
        <f t="shared" ref="O32:P32" si="41">S32-S31</f>
        <v>753</v>
      </c>
      <c r="P32" s="80">
        <f t="shared" si="41"/>
        <v>58</v>
      </c>
      <c r="Q32" s="80">
        <f t="shared" si="7"/>
        <v>695</v>
      </c>
      <c r="R32" s="76">
        <f t="shared" si="8"/>
        <v>7.702523240371846E-2</v>
      </c>
      <c r="S32" s="78">
        <f t="shared" si="9"/>
        <v>14094</v>
      </c>
      <c r="T32" s="74">
        <f t="shared" si="10"/>
        <v>1139</v>
      </c>
      <c r="U32" s="74">
        <f t="shared" si="11"/>
        <v>12955</v>
      </c>
      <c r="V32" s="76">
        <f t="shared" si="12"/>
        <v>8.0814531006101892E-2</v>
      </c>
    </row>
    <row r="33" spans="1:22" x14ac:dyDescent="0.25">
      <c r="A33" s="74">
        <v>31</v>
      </c>
      <c r="B33" s="75">
        <v>44227</v>
      </c>
      <c r="C33" s="74">
        <v>1199</v>
      </c>
      <c r="D33" s="74">
        <v>13846</v>
      </c>
      <c r="E33" s="74">
        <f t="shared" si="0"/>
        <v>15045</v>
      </c>
      <c r="F33" s="76">
        <f t="shared" si="1"/>
        <v>7.9694250581588563E-2</v>
      </c>
      <c r="G33" s="74">
        <v>0</v>
      </c>
      <c r="H33" s="74">
        <v>0</v>
      </c>
      <c r="I33" s="74">
        <f t="shared" si="2"/>
        <v>0</v>
      </c>
      <c r="J33" s="77" t="e">
        <f t="shared" si="3"/>
        <v>#DIV/0!</v>
      </c>
      <c r="K33" s="74">
        <v>0</v>
      </c>
      <c r="L33" s="74">
        <v>0</v>
      </c>
      <c r="M33" s="78">
        <f t="shared" si="4"/>
        <v>0</v>
      </c>
      <c r="N33" s="76" t="e">
        <f t="shared" si="5"/>
        <v>#DIV/0!</v>
      </c>
      <c r="O33" s="80">
        <f t="shared" ref="O33:P33" si="42">S33-S32</f>
        <v>951</v>
      </c>
      <c r="P33" s="80">
        <f t="shared" si="42"/>
        <v>60</v>
      </c>
      <c r="Q33" s="80">
        <f t="shared" si="7"/>
        <v>891</v>
      </c>
      <c r="R33" s="76">
        <f t="shared" si="8"/>
        <v>6.3091482649842268E-2</v>
      </c>
      <c r="S33" s="78">
        <f t="shared" si="9"/>
        <v>15045</v>
      </c>
      <c r="T33" s="74">
        <f t="shared" si="10"/>
        <v>1199</v>
      </c>
      <c r="U33" s="74">
        <f t="shared" si="11"/>
        <v>13846</v>
      </c>
      <c r="V33" s="76">
        <f t="shared" si="12"/>
        <v>7.9694250581588563E-2</v>
      </c>
    </row>
    <row r="34" spans="1:22" x14ac:dyDescent="0.25">
      <c r="A34" s="74">
        <v>32</v>
      </c>
      <c r="B34" s="75">
        <v>44228</v>
      </c>
      <c r="C34" s="74">
        <v>1220</v>
      </c>
      <c r="D34" s="74">
        <v>14121</v>
      </c>
      <c r="E34" s="74">
        <f t="shared" si="0"/>
        <v>15341</v>
      </c>
      <c r="F34" s="76">
        <f t="shared" si="1"/>
        <v>7.9525454663972359E-2</v>
      </c>
      <c r="G34" s="74">
        <v>0</v>
      </c>
      <c r="H34" s="74">
        <v>0</v>
      </c>
      <c r="I34" s="74">
        <f t="shared" si="2"/>
        <v>0</v>
      </c>
      <c r="J34" s="77" t="e">
        <f t="shared" si="3"/>
        <v>#DIV/0!</v>
      </c>
      <c r="K34" s="74">
        <v>0</v>
      </c>
      <c r="L34" s="74">
        <v>0</v>
      </c>
      <c r="M34" s="78">
        <f t="shared" si="4"/>
        <v>0</v>
      </c>
      <c r="N34" s="76" t="e">
        <f t="shared" si="5"/>
        <v>#DIV/0!</v>
      </c>
      <c r="O34" s="80">
        <f t="shared" ref="O34:P34" si="43">S34-S33</f>
        <v>296</v>
      </c>
      <c r="P34" s="80">
        <f t="shared" si="43"/>
        <v>21</v>
      </c>
      <c r="Q34" s="80">
        <f t="shared" si="7"/>
        <v>275</v>
      </c>
      <c r="R34" s="76">
        <f t="shared" si="8"/>
        <v>7.0945945945945943E-2</v>
      </c>
      <c r="S34" s="78">
        <f t="shared" si="9"/>
        <v>15341</v>
      </c>
      <c r="T34" s="74">
        <f t="shared" si="10"/>
        <v>1220</v>
      </c>
      <c r="U34" s="74">
        <f t="shared" si="11"/>
        <v>14121</v>
      </c>
      <c r="V34" s="76">
        <f t="shared" si="12"/>
        <v>7.9525454663972359E-2</v>
      </c>
    </row>
    <row r="35" spans="1:22" x14ac:dyDescent="0.25">
      <c r="A35" s="74">
        <v>33</v>
      </c>
      <c r="B35" s="75">
        <v>44229</v>
      </c>
      <c r="C35" s="74">
        <v>1232</v>
      </c>
      <c r="D35" s="74">
        <v>14323</v>
      </c>
      <c r="E35" s="74">
        <f t="shared" si="0"/>
        <v>15555</v>
      </c>
      <c r="F35" s="76">
        <f t="shared" si="1"/>
        <v>7.9202828672452583E-2</v>
      </c>
      <c r="G35" s="74">
        <v>0</v>
      </c>
      <c r="H35" s="74">
        <v>0</v>
      </c>
      <c r="I35" s="74">
        <f t="shared" si="2"/>
        <v>0</v>
      </c>
      <c r="J35" s="77" t="e">
        <f t="shared" si="3"/>
        <v>#DIV/0!</v>
      </c>
      <c r="K35" s="74">
        <v>0</v>
      </c>
      <c r="L35" s="74">
        <v>0</v>
      </c>
      <c r="M35" s="78">
        <f t="shared" si="4"/>
        <v>0</v>
      </c>
      <c r="N35" s="76" t="e">
        <f t="shared" si="5"/>
        <v>#DIV/0!</v>
      </c>
      <c r="O35" s="80">
        <f t="shared" ref="O35:P35" si="44">S35-S34</f>
        <v>214</v>
      </c>
      <c r="P35" s="80">
        <f t="shared" si="44"/>
        <v>12</v>
      </c>
      <c r="Q35" s="80">
        <f t="shared" si="7"/>
        <v>202</v>
      </c>
      <c r="R35" s="76">
        <f t="shared" si="8"/>
        <v>5.6074766355140186E-2</v>
      </c>
      <c r="S35" s="78">
        <f t="shared" si="9"/>
        <v>15555</v>
      </c>
      <c r="T35" s="74">
        <f t="shared" si="10"/>
        <v>1232</v>
      </c>
      <c r="U35" s="74">
        <f t="shared" si="11"/>
        <v>14323</v>
      </c>
      <c r="V35" s="76">
        <f t="shared" si="12"/>
        <v>7.9202828672452583E-2</v>
      </c>
    </row>
    <row r="36" spans="1:22" x14ac:dyDescent="0.25">
      <c r="A36" s="74">
        <v>34</v>
      </c>
      <c r="B36" s="75">
        <v>44230</v>
      </c>
      <c r="C36" s="74">
        <v>1270</v>
      </c>
      <c r="D36" s="74">
        <v>14893</v>
      </c>
      <c r="E36" s="74">
        <f t="shared" si="0"/>
        <v>16163</v>
      </c>
      <c r="F36" s="76">
        <f t="shared" si="1"/>
        <v>7.8574522056548912E-2</v>
      </c>
      <c r="G36" s="74">
        <v>0</v>
      </c>
      <c r="H36" s="74">
        <v>0</v>
      </c>
      <c r="I36" s="74">
        <f t="shared" si="2"/>
        <v>0</v>
      </c>
      <c r="J36" s="77" t="e">
        <f t="shared" si="3"/>
        <v>#DIV/0!</v>
      </c>
      <c r="K36" s="74">
        <v>0</v>
      </c>
      <c r="L36" s="74">
        <v>0</v>
      </c>
      <c r="M36" s="78">
        <f t="shared" si="4"/>
        <v>0</v>
      </c>
      <c r="N36" s="76" t="e">
        <f t="shared" si="5"/>
        <v>#DIV/0!</v>
      </c>
      <c r="O36" s="80">
        <f t="shared" ref="O36:P36" si="45">S36-S35</f>
        <v>608</v>
      </c>
      <c r="P36" s="80">
        <f t="shared" si="45"/>
        <v>38</v>
      </c>
      <c r="Q36" s="80">
        <f t="shared" si="7"/>
        <v>570</v>
      </c>
      <c r="R36" s="76">
        <f t="shared" si="8"/>
        <v>6.25E-2</v>
      </c>
      <c r="S36" s="78">
        <f t="shared" si="9"/>
        <v>16163</v>
      </c>
      <c r="T36" s="74">
        <f t="shared" si="10"/>
        <v>1270</v>
      </c>
      <c r="U36" s="74">
        <f t="shared" si="11"/>
        <v>14893</v>
      </c>
      <c r="V36" s="76">
        <f t="shared" si="12"/>
        <v>7.8574522056548912E-2</v>
      </c>
    </row>
    <row r="37" spans="1:22" x14ac:dyDescent="0.25">
      <c r="A37" s="74">
        <v>35</v>
      </c>
      <c r="B37" s="75">
        <v>44231</v>
      </c>
      <c r="C37" s="74">
        <v>1322</v>
      </c>
      <c r="D37" s="74">
        <v>15865</v>
      </c>
      <c r="E37" s="74">
        <f t="shared" si="0"/>
        <v>17187</v>
      </c>
      <c r="F37" s="76">
        <f t="shared" si="1"/>
        <v>7.6918601268400541E-2</v>
      </c>
      <c r="G37" s="74">
        <v>0</v>
      </c>
      <c r="H37" s="74">
        <v>0</v>
      </c>
      <c r="I37" s="74">
        <f t="shared" si="2"/>
        <v>0</v>
      </c>
      <c r="J37" s="77" t="e">
        <f t="shared" si="3"/>
        <v>#DIV/0!</v>
      </c>
      <c r="K37" s="74">
        <v>0</v>
      </c>
      <c r="L37" s="74">
        <v>0</v>
      </c>
      <c r="M37" s="78">
        <f t="shared" si="4"/>
        <v>0</v>
      </c>
      <c r="N37" s="76" t="e">
        <f t="shared" si="5"/>
        <v>#DIV/0!</v>
      </c>
      <c r="O37" s="80">
        <f t="shared" ref="O37:P37" si="46">S37-S36</f>
        <v>1024</v>
      </c>
      <c r="P37" s="80">
        <f t="shared" si="46"/>
        <v>52</v>
      </c>
      <c r="Q37" s="80">
        <f t="shared" si="7"/>
        <v>972</v>
      </c>
      <c r="R37" s="76">
        <f t="shared" si="8"/>
        <v>5.078125E-2</v>
      </c>
      <c r="S37" s="78">
        <f t="shared" si="9"/>
        <v>17187</v>
      </c>
      <c r="T37" s="74">
        <f t="shared" si="10"/>
        <v>1322</v>
      </c>
      <c r="U37" s="74">
        <f t="shared" si="11"/>
        <v>15865</v>
      </c>
      <c r="V37" s="76">
        <f t="shared" si="12"/>
        <v>7.6918601268400541E-2</v>
      </c>
    </row>
    <row r="38" spans="1:22" x14ac:dyDescent="0.25">
      <c r="A38" s="74">
        <v>36</v>
      </c>
      <c r="B38" s="75">
        <v>44232</v>
      </c>
      <c r="C38" s="74">
        <v>1483</v>
      </c>
      <c r="D38" s="74">
        <v>16460</v>
      </c>
      <c r="E38" s="74">
        <f t="shared" si="0"/>
        <v>17943</v>
      </c>
      <c r="F38" s="76">
        <f t="shared" si="1"/>
        <v>8.2650615839045871E-2</v>
      </c>
      <c r="G38" s="74">
        <v>0</v>
      </c>
      <c r="H38" s="74">
        <v>0</v>
      </c>
      <c r="I38" s="74">
        <f t="shared" si="2"/>
        <v>0</v>
      </c>
      <c r="J38" s="77" t="e">
        <f t="shared" si="3"/>
        <v>#DIV/0!</v>
      </c>
      <c r="K38" s="74">
        <v>0</v>
      </c>
      <c r="L38" s="74">
        <v>0</v>
      </c>
      <c r="M38" s="78">
        <f t="shared" si="4"/>
        <v>0</v>
      </c>
      <c r="N38" s="76" t="e">
        <f t="shared" si="5"/>
        <v>#DIV/0!</v>
      </c>
      <c r="O38" s="80">
        <f t="shared" ref="O38:P38" si="47">S38-S37</f>
        <v>756</v>
      </c>
      <c r="P38" s="80">
        <f t="shared" si="47"/>
        <v>161</v>
      </c>
      <c r="Q38" s="80">
        <f t="shared" si="7"/>
        <v>595</v>
      </c>
      <c r="R38" s="76">
        <f t="shared" si="8"/>
        <v>0.21296296296296297</v>
      </c>
      <c r="S38" s="78">
        <f t="shared" si="9"/>
        <v>17943</v>
      </c>
      <c r="T38" s="74">
        <f t="shared" si="10"/>
        <v>1483</v>
      </c>
      <c r="U38" s="74">
        <f t="shared" si="11"/>
        <v>16460</v>
      </c>
      <c r="V38" s="76">
        <f t="shared" si="12"/>
        <v>8.2650615839045871E-2</v>
      </c>
    </row>
    <row r="39" spans="1:22" x14ac:dyDescent="0.25">
      <c r="A39" s="74">
        <v>37</v>
      </c>
      <c r="B39" s="75">
        <v>44233</v>
      </c>
      <c r="C39" s="74">
        <v>1525</v>
      </c>
      <c r="D39" s="74">
        <v>17214</v>
      </c>
      <c r="E39" s="74">
        <f t="shared" si="0"/>
        <v>18739</v>
      </c>
      <c r="F39" s="76">
        <f t="shared" si="1"/>
        <v>8.1381076898447091E-2</v>
      </c>
      <c r="G39" s="74">
        <v>0</v>
      </c>
      <c r="H39" s="74">
        <v>0</v>
      </c>
      <c r="I39" s="74">
        <f t="shared" si="2"/>
        <v>0</v>
      </c>
      <c r="J39" s="77" t="e">
        <f t="shared" si="3"/>
        <v>#DIV/0!</v>
      </c>
      <c r="K39" s="74">
        <v>0</v>
      </c>
      <c r="L39" s="74">
        <v>0</v>
      </c>
      <c r="M39" s="78">
        <f t="shared" si="4"/>
        <v>0</v>
      </c>
      <c r="N39" s="76" t="e">
        <f t="shared" si="5"/>
        <v>#DIV/0!</v>
      </c>
      <c r="O39" s="80">
        <f t="shared" ref="O39:P39" si="48">S39-S38</f>
        <v>796</v>
      </c>
      <c r="P39" s="80">
        <f t="shared" si="48"/>
        <v>42</v>
      </c>
      <c r="Q39" s="80">
        <f t="shared" si="7"/>
        <v>754</v>
      </c>
      <c r="R39" s="76">
        <f t="shared" si="8"/>
        <v>5.2763819095477386E-2</v>
      </c>
      <c r="S39" s="78">
        <f t="shared" si="9"/>
        <v>18739</v>
      </c>
      <c r="T39" s="74">
        <f t="shared" si="10"/>
        <v>1525</v>
      </c>
      <c r="U39" s="74">
        <f t="shared" si="11"/>
        <v>17214</v>
      </c>
      <c r="V39" s="76">
        <f t="shared" si="12"/>
        <v>8.1381076898447091E-2</v>
      </c>
    </row>
    <row r="40" spans="1:22" x14ac:dyDescent="0.25">
      <c r="A40" s="74">
        <v>38</v>
      </c>
      <c r="B40" s="75">
        <v>44234</v>
      </c>
      <c r="C40" s="74">
        <v>1561</v>
      </c>
      <c r="D40" s="74">
        <v>18079</v>
      </c>
      <c r="E40" s="74">
        <f t="shared" si="0"/>
        <v>19640</v>
      </c>
      <c r="F40" s="76">
        <f t="shared" si="1"/>
        <v>7.9480651731160895E-2</v>
      </c>
      <c r="G40" s="74">
        <v>0</v>
      </c>
      <c r="H40" s="74">
        <v>0</v>
      </c>
      <c r="I40" s="74">
        <f t="shared" si="2"/>
        <v>0</v>
      </c>
      <c r="J40" s="77" t="e">
        <f t="shared" si="3"/>
        <v>#DIV/0!</v>
      </c>
      <c r="K40" s="74">
        <v>0</v>
      </c>
      <c r="L40" s="74">
        <v>0</v>
      </c>
      <c r="M40" s="78">
        <f t="shared" si="4"/>
        <v>0</v>
      </c>
      <c r="N40" s="76" t="e">
        <f t="shared" si="5"/>
        <v>#DIV/0!</v>
      </c>
      <c r="O40" s="80">
        <f t="shared" ref="O40:P40" si="49">S40-S39</f>
        <v>901</v>
      </c>
      <c r="P40" s="80">
        <f t="shared" si="49"/>
        <v>36</v>
      </c>
      <c r="Q40" s="80">
        <f t="shared" si="7"/>
        <v>865</v>
      </c>
      <c r="R40" s="76">
        <f t="shared" si="8"/>
        <v>3.9955604883462822E-2</v>
      </c>
      <c r="S40" s="78">
        <f t="shared" si="9"/>
        <v>19640</v>
      </c>
      <c r="T40" s="74">
        <f t="shared" si="10"/>
        <v>1561</v>
      </c>
      <c r="U40" s="74">
        <f t="shared" si="11"/>
        <v>18079</v>
      </c>
      <c r="V40" s="76">
        <f t="shared" si="12"/>
        <v>7.9480651731160895E-2</v>
      </c>
    </row>
    <row r="41" spans="1:22" x14ac:dyDescent="0.25">
      <c r="A41" s="74">
        <v>39</v>
      </c>
      <c r="B41" s="75">
        <v>44235</v>
      </c>
      <c r="C41" s="74">
        <v>1606</v>
      </c>
      <c r="D41" s="74">
        <v>18687</v>
      </c>
      <c r="E41" s="74">
        <f t="shared" si="0"/>
        <v>20293</v>
      </c>
      <c r="F41" s="76">
        <f t="shared" si="1"/>
        <v>7.914059035135268E-2</v>
      </c>
      <c r="G41" s="74">
        <v>0</v>
      </c>
      <c r="H41" s="74">
        <v>0</v>
      </c>
      <c r="I41" s="74">
        <f t="shared" si="2"/>
        <v>0</v>
      </c>
      <c r="J41" s="77" t="e">
        <f t="shared" si="3"/>
        <v>#DIV/0!</v>
      </c>
      <c r="K41" s="74">
        <v>0</v>
      </c>
      <c r="L41" s="74">
        <v>0</v>
      </c>
      <c r="M41" s="78">
        <f t="shared" si="4"/>
        <v>0</v>
      </c>
      <c r="N41" s="76" t="e">
        <f t="shared" si="5"/>
        <v>#DIV/0!</v>
      </c>
      <c r="O41" s="80">
        <f t="shared" ref="O41:P41" si="50">S41-S40</f>
        <v>653</v>
      </c>
      <c r="P41" s="80">
        <f t="shared" si="50"/>
        <v>45</v>
      </c>
      <c r="Q41" s="80">
        <f t="shared" si="7"/>
        <v>608</v>
      </c>
      <c r="R41" s="76">
        <f t="shared" si="8"/>
        <v>6.8912710566615618E-2</v>
      </c>
      <c r="S41" s="78">
        <f t="shared" si="9"/>
        <v>20293</v>
      </c>
      <c r="T41" s="74">
        <f t="shared" si="10"/>
        <v>1606</v>
      </c>
      <c r="U41" s="74">
        <f t="shared" si="11"/>
        <v>18687</v>
      </c>
      <c r="V41" s="76">
        <f t="shared" si="12"/>
        <v>7.914059035135268E-2</v>
      </c>
    </row>
    <row r="42" spans="1:22" x14ac:dyDescent="0.25">
      <c r="A42" s="74">
        <v>40</v>
      </c>
      <c r="B42" s="75">
        <v>44236</v>
      </c>
      <c r="C42" s="74">
        <v>1606</v>
      </c>
      <c r="D42" s="74">
        <v>18687</v>
      </c>
      <c r="E42" s="74">
        <f t="shared" si="0"/>
        <v>20293</v>
      </c>
      <c r="F42" s="76">
        <f t="shared" si="1"/>
        <v>7.914059035135268E-2</v>
      </c>
      <c r="G42" s="74">
        <v>0</v>
      </c>
      <c r="H42" s="74">
        <v>0</v>
      </c>
      <c r="I42" s="74">
        <f t="shared" si="2"/>
        <v>0</v>
      </c>
      <c r="J42" s="77" t="e">
        <f t="shared" si="3"/>
        <v>#DIV/0!</v>
      </c>
      <c r="K42" s="74">
        <v>0</v>
      </c>
      <c r="L42" s="74">
        <v>0</v>
      </c>
      <c r="M42" s="78">
        <f t="shared" si="4"/>
        <v>0</v>
      </c>
      <c r="N42" s="76" t="e">
        <f t="shared" si="5"/>
        <v>#DIV/0!</v>
      </c>
      <c r="O42" s="80">
        <f t="shared" ref="O42:P42" si="51">S42-S41</f>
        <v>0</v>
      </c>
      <c r="P42" s="80">
        <f t="shared" si="51"/>
        <v>0</v>
      </c>
      <c r="Q42" s="80">
        <f t="shared" si="7"/>
        <v>0</v>
      </c>
      <c r="R42" s="76" t="e">
        <f t="shared" si="8"/>
        <v>#DIV/0!</v>
      </c>
      <c r="S42" s="78">
        <f t="shared" si="9"/>
        <v>20293</v>
      </c>
      <c r="T42" s="74">
        <f t="shared" si="10"/>
        <v>1606</v>
      </c>
      <c r="U42" s="74">
        <f t="shared" si="11"/>
        <v>18687</v>
      </c>
      <c r="V42" s="76">
        <f t="shared" si="12"/>
        <v>7.914059035135268E-2</v>
      </c>
    </row>
    <row r="43" spans="1:22" x14ac:dyDescent="0.25">
      <c r="A43" s="74">
        <v>41</v>
      </c>
      <c r="B43" s="75">
        <v>44237</v>
      </c>
      <c r="C43" s="74">
        <v>1634</v>
      </c>
      <c r="D43" s="74">
        <v>19151</v>
      </c>
      <c r="E43" s="74">
        <f t="shared" si="0"/>
        <v>20785</v>
      </c>
      <c r="F43" s="76">
        <f t="shared" si="1"/>
        <v>7.8614385374067841E-2</v>
      </c>
      <c r="G43" s="74">
        <v>0</v>
      </c>
      <c r="H43" s="74">
        <v>0</v>
      </c>
      <c r="I43" s="74">
        <f t="shared" si="2"/>
        <v>0</v>
      </c>
      <c r="J43" s="77" t="e">
        <f t="shared" si="3"/>
        <v>#DIV/0!</v>
      </c>
      <c r="K43" s="74">
        <v>0</v>
      </c>
      <c r="L43" s="74">
        <v>0</v>
      </c>
      <c r="M43" s="78">
        <f t="shared" si="4"/>
        <v>0</v>
      </c>
      <c r="N43" s="76" t="e">
        <f t="shared" si="5"/>
        <v>#DIV/0!</v>
      </c>
      <c r="O43" s="80">
        <f t="shared" ref="O43:P43" si="52">S43-S42</f>
        <v>492</v>
      </c>
      <c r="P43" s="80">
        <f t="shared" si="52"/>
        <v>28</v>
      </c>
      <c r="Q43" s="80">
        <f t="shared" si="7"/>
        <v>464</v>
      </c>
      <c r="R43" s="76">
        <f t="shared" si="8"/>
        <v>5.6910569105691054E-2</v>
      </c>
      <c r="S43" s="78">
        <f t="shared" si="9"/>
        <v>20785</v>
      </c>
      <c r="T43" s="74">
        <f t="shared" si="10"/>
        <v>1634</v>
      </c>
      <c r="U43" s="74">
        <f t="shared" si="11"/>
        <v>19151</v>
      </c>
      <c r="V43" s="76">
        <f t="shared" si="12"/>
        <v>7.8614385374067841E-2</v>
      </c>
    </row>
    <row r="44" spans="1:22" x14ac:dyDescent="0.25">
      <c r="A44" s="74">
        <v>42</v>
      </c>
      <c r="B44" s="75">
        <v>44238</v>
      </c>
      <c r="C44" s="74">
        <v>1680</v>
      </c>
      <c r="D44" s="74">
        <v>19841</v>
      </c>
      <c r="E44" s="74">
        <f t="shared" si="0"/>
        <v>21521</v>
      </c>
      <c r="F44" s="76">
        <f t="shared" si="1"/>
        <v>7.8063287021978539E-2</v>
      </c>
      <c r="G44" s="74">
        <v>0</v>
      </c>
      <c r="H44" s="74">
        <v>0</v>
      </c>
      <c r="I44" s="74">
        <f t="shared" si="2"/>
        <v>0</v>
      </c>
      <c r="J44" s="77" t="e">
        <f t="shared" si="3"/>
        <v>#DIV/0!</v>
      </c>
      <c r="K44" s="74">
        <v>0</v>
      </c>
      <c r="L44" s="74">
        <v>0</v>
      </c>
      <c r="M44" s="78">
        <f t="shared" si="4"/>
        <v>0</v>
      </c>
      <c r="N44" s="76" t="e">
        <f t="shared" si="5"/>
        <v>#DIV/0!</v>
      </c>
      <c r="O44" s="80">
        <f t="shared" ref="O44:P44" si="53">S44-S43</f>
        <v>736</v>
      </c>
      <c r="P44" s="80">
        <f t="shared" si="53"/>
        <v>46</v>
      </c>
      <c r="Q44" s="80">
        <f t="shared" si="7"/>
        <v>690</v>
      </c>
      <c r="R44" s="76">
        <f t="shared" si="8"/>
        <v>6.25E-2</v>
      </c>
      <c r="S44" s="78">
        <f t="shared" si="9"/>
        <v>21521</v>
      </c>
      <c r="T44" s="74">
        <f t="shared" si="10"/>
        <v>1680</v>
      </c>
      <c r="U44" s="74">
        <f t="shared" si="11"/>
        <v>19841</v>
      </c>
      <c r="V44" s="76">
        <f t="shared" si="12"/>
        <v>7.8063287021978539E-2</v>
      </c>
    </row>
    <row r="45" spans="1:22" x14ac:dyDescent="0.25">
      <c r="A45" s="74">
        <v>43</v>
      </c>
      <c r="B45" s="75">
        <v>44239</v>
      </c>
      <c r="C45" s="74">
        <v>1734</v>
      </c>
      <c r="D45" s="74">
        <v>20957</v>
      </c>
      <c r="E45" s="74">
        <f t="shared" si="0"/>
        <v>22691</v>
      </c>
      <c r="F45" s="76">
        <f t="shared" si="1"/>
        <v>7.6417963069058223E-2</v>
      </c>
      <c r="G45" s="74">
        <v>0</v>
      </c>
      <c r="H45" s="74">
        <v>0</v>
      </c>
      <c r="I45" s="74">
        <f t="shared" si="2"/>
        <v>0</v>
      </c>
      <c r="J45" s="77" t="e">
        <f t="shared" si="3"/>
        <v>#DIV/0!</v>
      </c>
      <c r="K45" s="74">
        <v>0</v>
      </c>
      <c r="L45" s="74">
        <v>0</v>
      </c>
      <c r="M45" s="78">
        <f t="shared" si="4"/>
        <v>0</v>
      </c>
      <c r="N45" s="76" t="e">
        <f t="shared" si="5"/>
        <v>#DIV/0!</v>
      </c>
      <c r="O45" s="80">
        <f t="shared" ref="O45:P45" si="54">S45-S44</f>
        <v>1170</v>
      </c>
      <c r="P45" s="80">
        <f t="shared" si="54"/>
        <v>54</v>
      </c>
      <c r="Q45" s="80">
        <f t="shared" si="7"/>
        <v>1116</v>
      </c>
      <c r="R45" s="76">
        <f t="shared" si="8"/>
        <v>4.6153846153846156E-2</v>
      </c>
      <c r="S45" s="78">
        <f t="shared" si="9"/>
        <v>22691</v>
      </c>
      <c r="T45" s="74">
        <f t="shared" si="10"/>
        <v>1734</v>
      </c>
      <c r="U45" s="74">
        <f t="shared" si="11"/>
        <v>20957</v>
      </c>
      <c r="V45" s="76">
        <f t="shared" si="12"/>
        <v>7.6417963069058223E-2</v>
      </c>
    </row>
    <row r="46" spans="1:22" x14ac:dyDescent="0.25">
      <c r="A46" s="74">
        <v>44</v>
      </c>
      <c r="B46" s="75">
        <v>44240</v>
      </c>
      <c r="C46" s="74">
        <v>1787</v>
      </c>
      <c r="D46" s="74">
        <v>22097</v>
      </c>
      <c r="E46" s="74">
        <f t="shared" si="0"/>
        <v>23884</v>
      </c>
      <c r="F46" s="76">
        <f t="shared" si="1"/>
        <v>7.4819963155250371E-2</v>
      </c>
      <c r="G46" s="74">
        <v>0</v>
      </c>
      <c r="H46" s="74">
        <v>0</v>
      </c>
      <c r="I46" s="74">
        <f t="shared" si="2"/>
        <v>0</v>
      </c>
      <c r="J46" s="77" t="e">
        <f t="shared" si="3"/>
        <v>#DIV/0!</v>
      </c>
      <c r="K46" s="74">
        <v>0</v>
      </c>
      <c r="L46" s="74">
        <v>0</v>
      </c>
      <c r="M46" s="78">
        <f t="shared" si="4"/>
        <v>0</v>
      </c>
      <c r="N46" s="76" t="e">
        <f t="shared" si="5"/>
        <v>#DIV/0!</v>
      </c>
      <c r="O46" s="80">
        <f t="shared" ref="O46:P46" si="55">S46-S45</f>
        <v>1193</v>
      </c>
      <c r="P46" s="80">
        <f t="shared" si="55"/>
        <v>53</v>
      </c>
      <c r="Q46" s="80">
        <f t="shared" si="7"/>
        <v>1140</v>
      </c>
      <c r="R46" s="76">
        <f t="shared" si="8"/>
        <v>4.4425817267393128E-2</v>
      </c>
      <c r="S46" s="78">
        <f t="shared" si="9"/>
        <v>23884</v>
      </c>
      <c r="T46" s="74">
        <f t="shared" si="10"/>
        <v>1787</v>
      </c>
      <c r="U46" s="74">
        <f t="shared" si="11"/>
        <v>22097</v>
      </c>
      <c r="V46" s="76">
        <f t="shared" si="12"/>
        <v>7.4819963155250371E-2</v>
      </c>
    </row>
    <row r="47" spans="1:22" x14ac:dyDescent="0.25">
      <c r="A47" s="74">
        <v>45</v>
      </c>
      <c r="B47" s="75">
        <v>44241</v>
      </c>
      <c r="C47" s="74">
        <v>1804</v>
      </c>
      <c r="D47" s="74">
        <v>22238</v>
      </c>
      <c r="E47" s="74">
        <f t="shared" si="0"/>
        <v>24042</v>
      </c>
      <c r="F47" s="76">
        <f t="shared" si="1"/>
        <v>7.5035354795774056E-2</v>
      </c>
      <c r="G47" s="74">
        <v>0</v>
      </c>
      <c r="H47" s="74">
        <v>0</v>
      </c>
      <c r="I47" s="74">
        <f t="shared" si="2"/>
        <v>0</v>
      </c>
      <c r="J47" s="77" t="e">
        <f t="shared" si="3"/>
        <v>#DIV/0!</v>
      </c>
      <c r="K47" s="74">
        <v>0</v>
      </c>
      <c r="L47" s="74">
        <v>0</v>
      </c>
      <c r="M47" s="78">
        <f t="shared" si="4"/>
        <v>0</v>
      </c>
      <c r="N47" s="76" t="e">
        <f t="shared" si="5"/>
        <v>#DIV/0!</v>
      </c>
      <c r="O47" s="80">
        <f t="shared" ref="O47:P47" si="56">S47-S46</f>
        <v>158</v>
      </c>
      <c r="P47" s="80">
        <f t="shared" si="56"/>
        <v>17</v>
      </c>
      <c r="Q47" s="80">
        <f t="shared" si="7"/>
        <v>141</v>
      </c>
      <c r="R47" s="76">
        <f t="shared" si="8"/>
        <v>0.10759493670886076</v>
      </c>
      <c r="S47" s="78">
        <f t="shared" si="9"/>
        <v>24042</v>
      </c>
      <c r="T47" s="74">
        <f t="shared" si="10"/>
        <v>1804</v>
      </c>
      <c r="U47" s="74">
        <f t="shared" si="11"/>
        <v>22238</v>
      </c>
      <c r="V47" s="76">
        <f t="shared" si="12"/>
        <v>7.5035354795774056E-2</v>
      </c>
    </row>
    <row r="48" spans="1:22" x14ac:dyDescent="0.25">
      <c r="A48" s="74">
        <v>46</v>
      </c>
      <c r="B48" s="75">
        <v>44242</v>
      </c>
      <c r="C48" s="74">
        <v>1871</v>
      </c>
      <c r="D48" s="74">
        <v>23010</v>
      </c>
      <c r="E48" s="74">
        <f t="shared" si="0"/>
        <v>24881</v>
      </c>
      <c r="F48" s="76">
        <f t="shared" si="1"/>
        <v>7.5197942204895299E-2</v>
      </c>
      <c r="G48" s="74">
        <v>0</v>
      </c>
      <c r="H48" s="74">
        <v>0</v>
      </c>
      <c r="I48" s="74">
        <f t="shared" si="2"/>
        <v>0</v>
      </c>
      <c r="J48" s="77" t="e">
        <f t="shared" si="3"/>
        <v>#DIV/0!</v>
      </c>
      <c r="K48" s="74">
        <v>0</v>
      </c>
      <c r="L48" s="74">
        <v>0</v>
      </c>
      <c r="M48" s="78">
        <f t="shared" si="4"/>
        <v>0</v>
      </c>
      <c r="N48" s="76" t="e">
        <f t="shared" si="5"/>
        <v>#DIV/0!</v>
      </c>
      <c r="O48" s="80">
        <f t="shared" ref="O48:P48" si="57">S48-S47</f>
        <v>839</v>
      </c>
      <c r="P48" s="80">
        <f t="shared" si="57"/>
        <v>67</v>
      </c>
      <c r="Q48" s="80">
        <f t="shared" si="7"/>
        <v>772</v>
      </c>
      <c r="R48" s="76">
        <f t="shared" si="8"/>
        <v>7.9856972586412389E-2</v>
      </c>
      <c r="S48" s="78">
        <f t="shared" si="9"/>
        <v>24881</v>
      </c>
      <c r="T48" s="74">
        <f t="shared" si="10"/>
        <v>1871</v>
      </c>
      <c r="U48" s="74">
        <f t="shared" si="11"/>
        <v>23010</v>
      </c>
      <c r="V48" s="76">
        <f t="shared" si="12"/>
        <v>7.5197942204895299E-2</v>
      </c>
    </row>
    <row r="49" spans="1:22" x14ac:dyDescent="0.25">
      <c r="A49" s="74">
        <v>47</v>
      </c>
      <c r="B49" s="75">
        <v>44243</v>
      </c>
      <c r="C49" s="74">
        <v>1892</v>
      </c>
      <c r="D49" s="74">
        <v>23303</v>
      </c>
      <c r="E49" s="74">
        <f t="shared" si="0"/>
        <v>25195</v>
      </c>
      <c r="F49" s="76">
        <f t="shared" si="1"/>
        <v>7.5094264735066488E-2</v>
      </c>
      <c r="G49" s="74">
        <v>0</v>
      </c>
      <c r="H49" s="74">
        <v>0</v>
      </c>
      <c r="I49" s="74">
        <f t="shared" si="2"/>
        <v>0</v>
      </c>
      <c r="J49" s="77" t="e">
        <f t="shared" si="3"/>
        <v>#DIV/0!</v>
      </c>
      <c r="K49" s="74">
        <v>0</v>
      </c>
      <c r="L49" s="74">
        <v>0</v>
      </c>
      <c r="M49" s="78">
        <f t="shared" si="4"/>
        <v>0</v>
      </c>
      <c r="N49" s="76" t="e">
        <f t="shared" si="5"/>
        <v>#DIV/0!</v>
      </c>
      <c r="O49" s="80">
        <f t="shared" ref="O49:P49" si="58">S49-S48</f>
        <v>314</v>
      </c>
      <c r="P49" s="80">
        <f t="shared" si="58"/>
        <v>21</v>
      </c>
      <c r="Q49" s="80">
        <f t="shared" si="7"/>
        <v>293</v>
      </c>
      <c r="R49" s="76">
        <f t="shared" si="8"/>
        <v>6.6878980891719744E-2</v>
      </c>
      <c r="S49" s="78">
        <f t="shared" si="9"/>
        <v>25195</v>
      </c>
      <c r="T49" s="74">
        <f t="shared" si="10"/>
        <v>1892</v>
      </c>
      <c r="U49" s="74">
        <f t="shared" si="11"/>
        <v>23303</v>
      </c>
      <c r="V49" s="76">
        <f t="shared" si="12"/>
        <v>7.5094264735066488E-2</v>
      </c>
    </row>
    <row r="50" spans="1:22" x14ac:dyDescent="0.25">
      <c r="A50" s="74">
        <v>48</v>
      </c>
      <c r="B50" s="75">
        <v>44244</v>
      </c>
      <c r="C50" s="74">
        <v>1965</v>
      </c>
      <c r="D50" s="74">
        <v>24319</v>
      </c>
      <c r="E50" s="74">
        <f t="shared" si="0"/>
        <v>26284</v>
      </c>
      <c r="F50" s="76">
        <f t="shared" si="1"/>
        <v>7.4760310455029677E-2</v>
      </c>
      <c r="G50" s="74">
        <v>0</v>
      </c>
      <c r="H50" s="74">
        <v>0</v>
      </c>
      <c r="I50" s="74">
        <f t="shared" si="2"/>
        <v>0</v>
      </c>
      <c r="J50" s="77" t="e">
        <f t="shared" si="3"/>
        <v>#DIV/0!</v>
      </c>
      <c r="K50" s="74">
        <v>0</v>
      </c>
      <c r="L50" s="74">
        <v>0</v>
      </c>
      <c r="M50" s="78">
        <f t="shared" si="4"/>
        <v>0</v>
      </c>
      <c r="N50" s="76" t="e">
        <f t="shared" si="5"/>
        <v>#DIV/0!</v>
      </c>
      <c r="O50" s="80">
        <f t="shared" ref="O50:P50" si="59">S50-S49</f>
        <v>1089</v>
      </c>
      <c r="P50" s="80">
        <f t="shared" si="59"/>
        <v>73</v>
      </c>
      <c r="Q50" s="80">
        <f t="shared" si="7"/>
        <v>1016</v>
      </c>
      <c r="R50" s="76">
        <f t="shared" si="8"/>
        <v>6.7033976124885222E-2</v>
      </c>
      <c r="S50" s="78">
        <f t="shared" si="9"/>
        <v>26284</v>
      </c>
      <c r="T50" s="74">
        <f t="shared" si="10"/>
        <v>1965</v>
      </c>
      <c r="U50" s="74">
        <f t="shared" si="11"/>
        <v>24319</v>
      </c>
      <c r="V50" s="76">
        <f t="shared" si="12"/>
        <v>7.4760310455029677E-2</v>
      </c>
    </row>
    <row r="51" spans="1:22" x14ac:dyDescent="0.25">
      <c r="A51" s="74">
        <f t="shared" ref="A51:A181" si="60">A50+1</f>
        <v>49</v>
      </c>
      <c r="B51" s="75">
        <v>44245</v>
      </c>
      <c r="C51" s="74">
        <v>2034</v>
      </c>
      <c r="D51" s="74">
        <v>25543</v>
      </c>
      <c r="E51" s="74">
        <f t="shared" si="0"/>
        <v>27577</v>
      </c>
      <c r="F51" s="76">
        <f t="shared" si="1"/>
        <v>7.3757116437611056E-2</v>
      </c>
      <c r="G51" s="74">
        <v>0</v>
      </c>
      <c r="H51" s="74">
        <v>0</v>
      </c>
      <c r="I51" s="74">
        <f t="shared" si="2"/>
        <v>0</v>
      </c>
      <c r="J51" s="77" t="e">
        <f t="shared" si="3"/>
        <v>#DIV/0!</v>
      </c>
      <c r="K51" s="74">
        <v>0</v>
      </c>
      <c r="L51" s="74">
        <v>0</v>
      </c>
      <c r="M51" s="78">
        <f t="shared" si="4"/>
        <v>0</v>
      </c>
      <c r="N51" s="76" t="e">
        <f t="shared" si="5"/>
        <v>#DIV/0!</v>
      </c>
      <c r="O51" s="80">
        <f t="shared" ref="O51:P51" si="61">S51-S50</f>
        <v>1293</v>
      </c>
      <c r="P51" s="80">
        <f t="shared" si="61"/>
        <v>69</v>
      </c>
      <c r="Q51" s="80">
        <f t="shared" si="7"/>
        <v>1224</v>
      </c>
      <c r="R51" s="76">
        <f t="shared" si="8"/>
        <v>5.336426914153132E-2</v>
      </c>
      <c r="S51" s="78">
        <f t="shared" si="9"/>
        <v>27577</v>
      </c>
      <c r="T51" s="74">
        <f t="shared" si="10"/>
        <v>2034</v>
      </c>
      <c r="U51" s="74">
        <f t="shared" si="11"/>
        <v>25543</v>
      </c>
      <c r="V51" s="76">
        <f t="shared" si="12"/>
        <v>7.3757116437611056E-2</v>
      </c>
    </row>
    <row r="52" spans="1:22" x14ac:dyDescent="0.25">
      <c r="A52" s="74">
        <f t="shared" si="60"/>
        <v>50</v>
      </c>
      <c r="B52" s="75">
        <v>44246</v>
      </c>
      <c r="C52" s="74">
        <v>2090</v>
      </c>
      <c r="D52" s="74">
        <v>26769</v>
      </c>
      <c r="E52" s="74">
        <f t="shared" si="0"/>
        <v>28859</v>
      </c>
      <c r="F52" s="76">
        <f t="shared" si="1"/>
        <v>7.2421081811566576E-2</v>
      </c>
      <c r="G52" s="74">
        <v>0</v>
      </c>
      <c r="H52" s="74">
        <v>0</v>
      </c>
      <c r="I52" s="74">
        <f t="shared" si="2"/>
        <v>0</v>
      </c>
      <c r="J52" s="77" t="e">
        <f t="shared" si="3"/>
        <v>#DIV/0!</v>
      </c>
      <c r="K52" s="74">
        <v>0</v>
      </c>
      <c r="L52" s="74">
        <v>0</v>
      </c>
      <c r="M52" s="78">
        <f t="shared" si="4"/>
        <v>0</v>
      </c>
      <c r="N52" s="76" t="e">
        <f t="shared" si="5"/>
        <v>#DIV/0!</v>
      </c>
      <c r="O52" s="80">
        <f t="shared" ref="O52:P52" si="62">S52-S51</f>
        <v>1282</v>
      </c>
      <c r="P52" s="80">
        <f t="shared" si="62"/>
        <v>56</v>
      </c>
      <c r="Q52" s="80">
        <f t="shared" si="7"/>
        <v>1226</v>
      </c>
      <c r="R52" s="76">
        <f t="shared" si="8"/>
        <v>4.3681747269890797E-2</v>
      </c>
      <c r="S52" s="78">
        <f t="shared" si="9"/>
        <v>28859</v>
      </c>
      <c r="T52" s="74">
        <f t="shared" si="10"/>
        <v>2090</v>
      </c>
      <c r="U52" s="74">
        <f t="shared" si="11"/>
        <v>26769</v>
      </c>
      <c r="V52" s="76">
        <f t="shared" si="12"/>
        <v>7.2421081811566576E-2</v>
      </c>
    </row>
    <row r="53" spans="1:22" x14ac:dyDescent="0.25">
      <c r="A53" s="74">
        <f t="shared" si="60"/>
        <v>51</v>
      </c>
      <c r="B53" s="75">
        <v>44247</v>
      </c>
      <c r="C53" s="74">
        <v>2175</v>
      </c>
      <c r="D53" s="74">
        <v>28011</v>
      </c>
      <c r="E53" s="74">
        <f t="shared" si="0"/>
        <v>30186</v>
      </c>
      <c r="F53" s="76">
        <f t="shared" si="1"/>
        <v>7.2053269727688329E-2</v>
      </c>
      <c r="G53" s="74">
        <v>0</v>
      </c>
      <c r="H53" s="74">
        <v>0</v>
      </c>
      <c r="I53" s="74">
        <f t="shared" si="2"/>
        <v>0</v>
      </c>
      <c r="J53" s="77" t="e">
        <f t="shared" si="3"/>
        <v>#DIV/0!</v>
      </c>
      <c r="K53" s="74">
        <v>0</v>
      </c>
      <c r="L53" s="74">
        <v>0</v>
      </c>
      <c r="M53" s="78">
        <f t="shared" si="4"/>
        <v>0</v>
      </c>
      <c r="N53" s="76" t="e">
        <f t="shared" si="5"/>
        <v>#DIV/0!</v>
      </c>
      <c r="O53" s="80">
        <f t="shared" ref="O53:P53" si="63">S53-S52</f>
        <v>1327</v>
      </c>
      <c r="P53" s="80">
        <f t="shared" si="63"/>
        <v>85</v>
      </c>
      <c r="Q53" s="80">
        <f t="shared" si="7"/>
        <v>1242</v>
      </c>
      <c r="R53" s="76">
        <f t="shared" si="8"/>
        <v>6.4054257724189906E-2</v>
      </c>
      <c r="S53" s="78">
        <f t="shared" si="9"/>
        <v>30186</v>
      </c>
      <c r="T53" s="74">
        <f t="shared" si="10"/>
        <v>2175</v>
      </c>
      <c r="U53" s="74">
        <f t="shared" si="11"/>
        <v>28011</v>
      </c>
      <c r="V53" s="76">
        <f t="shared" si="12"/>
        <v>7.2053269727688329E-2</v>
      </c>
    </row>
    <row r="54" spans="1:22" x14ac:dyDescent="0.25">
      <c r="A54" s="74">
        <f t="shared" si="60"/>
        <v>52</v>
      </c>
      <c r="B54" s="75">
        <v>44248</v>
      </c>
      <c r="C54" s="74">
        <v>2207</v>
      </c>
      <c r="D54" s="74">
        <v>28652</v>
      </c>
      <c r="E54" s="74">
        <f t="shared" si="0"/>
        <v>30859</v>
      </c>
      <c r="F54" s="76">
        <f t="shared" si="1"/>
        <v>7.1518843773291416E-2</v>
      </c>
      <c r="G54" s="74">
        <v>0</v>
      </c>
      <c r="H54" s="74">
        <v>0</v>
      </c>
      <c r="I54" s="74">
        <f t="shared" si="2"/>
        <v>0</v>
      </c>
      <c r="J54" s="77" t="e">
        <f t="shared" si="3"/>
        <v>#DIV/0!</v>
      </c>
      <c r="K54" s="74">
        <v>0</v>
      </c>
      <c r="L54" s="74">
        <v>0</v>
      </c>
      <c r="M54" s="78">
        <f t="shared" si="4"/>
        <v>0</v>
      </c>
      <c r="N54" s="76" t="e">
        <f t="shared" si="5"/>
        <v>#DIV/0!</v>
      </c>
      <c r="O54" s="80">
        <f t="shared" ref="O54:P54" si="64">S54-S53</f>
        <v>673</v>
      </c>
      <c r="P54" s="80">
        <f t="shared" si="64"/>
        <v>32</v>
      </c>
      <c r="Q54" s="80">
        <f t="shared" si="7"/>
        <v>641</v>
      </c>
      <c r="R54" s="76">
        <f t="shared" si="8"/>
        <v>4.7548291233283801E-2</v>
      </c>
      <c r="S54" s="78">
        <f t="shared" si="9"/>
        <v>30859</v>
      </c>
      <c r="T54" s="74">
        <f t="shared" si="10"/>
        <v>2207</v>
      </c>
      <c r="U54" s="74">
        <f t="shared" si="11"/>
        <v>28652</v>
      </c>
      <c r="V54" s="76">
        <f t="shared" si="12"/>
        <v>7.1518843773291416E-2</v>
      </c>
    </row>
    <row r="55" spans="1:22" x14ac:dyDescent="0.25">
      <c r="A55" s="74">
        <f t="shared" si="60"/>
        <v>53</v>
      </c>
      <c r="B55" s="75">
        <v>44249</v>
      </c>
      <c r="C55" s="74">
        <v>2224</v>
      </c>
      <c r="D55" s="74">
        <v>29001</v>
      </c>
      <c r="E55" s="74">
        <f t="shared" si="0"/>
        <v>31225</v>
      </c>
      <c r="F55" s="76">
        <f t="shared" si="1"/>
        <v>7.1224979983987191E-2</v>
      </c>
      <c r="G55" s="74">
        <v>0</v>
      </c>
      <c r="H55" s="74">
        <v>0</v>
      </c>
      <c r="I55" s="74">
        <f t="shared" si="2"/>
        <v>0</v>
      </c>
      <c r="J55" s="77" t="e">
        <f t="shared" si="3"/>
        <v>#DIV/0!</v>
      </c>
      <c r="K55" s="74">
        <v>0</v>
      </c>
      <c r="L55" s="74">
        <v>0</v>
      </c>
      <c r="M55" s="78">
        <f t="shared" si="4"/>
        <v>0</v>
      </c>
      <c r="N55" s="76" t="e">
        <f t="shared" si="5"/>
        <v>#DIV/0!</v>
      </c>
      <c r="O55" s="80">
        <f t="shared" ref="O55:P55" si="65">S55-S54</f>
        <v>366</v>
      </c>
      <c r="P55" s="80">
        <f t="shared" si="65"/>
        <v>17</v>
      </c>
      <c r="Q55" s="80">
        <f t="shared" si="7"/>
        <v>349</v>
      </c>
      <c r="R55" s="76">
        <f t="shared" si="8"/>
        <v>4.6448087431693992E-2</v>
      </c>
      <c r="S55" s="78">
        <f t="shared" si="9"/>
        <v>31225</v>
      </c>
      <c r="T55" s="74">
        <f t="shared" si="10"/>
        <v>2224</v>
      </c>
      <c r="U55" s="74">
        <f t="shared" si="11"/>
        <v>29001</v>
      </c>
      <c r="V55" s="76">
        <f t="shared" si="12"/>
        <v>7.1224979983987191E-2</v>
      </c>
    </row>
    <row r="56" spans="1:22" x14ac:dyDescent="0.25">
      <c r="A56" s="74">
        <f t="shared" si="60"/>
        <v>54</v>
      </c>
      <c r="B56" s="75">
        <v>44250</v>
      </c>
      <c r="C56" s="74">
        <v>2251</v>
      </c>
      <c r="D56" s="74">
        <v>29219</v>
      </c>
      <c r="E56" s="74">
        <f t="shared" si="0"/>
        <v>31470</v>
      </c>
      <c r="F56" s="76">
        <f t="shared" si="1"/>
        <v>7.1528439783921191E-2</v>
      </c>
      <c r="G56" s="74">
        <v>0</v>
      </c>
      <c r="H56" s="74">
        <v>0</v>
      </c>
      <c r="I56" s="74">
        <f t="shared" si="2"/>
        <v>0</v>
      </c>
      <c r="J56" s="77" t="e">
        <f t="shared" si="3"/>
        <v>#DIV/0!</v>
      </c>
      <c r="K56" s="74">
        <v>0</v>
      </c>
      <c r="L56" s="74">
        <v>0</v>
      </c>
      <c r="M56" s="78">
        <f t="shared" si="4"/>
        <v>0</v>
      </c>
      <c r="N56" s="76" t="e">
        <f t="shared" si="5"/>
        <v>#DIV/0!</v>
      </c>
      <c r="O56" s="80">
        <f t="shared" ref="O56:P56" si="66">S56-S55</f>
        <v>245</v>
      </c>
      <c r="P56" s="80">
        <f t="shared" si="66"/>
        <v>27</v>
      </c>
      <c r="Q56" s="80">
        <f t="shared" si="7"/>
        <v>218</v>
      </c>
      <c r="R56" s="76">
        <f t="shared" si="8"/>
        <v>0.11020408163265306</v>
      </c>
      <c r="S56" s="78">
        <f t="shared" si="9"/>
        <v>31470</v>
      </c>
      <c r="T56" s="74">
        <f t="shared" si="10"/>
        <v>2251</v>
      </c>
      <c r="U56" s="74">
        <f t="shared" si="11"/>
        <v>29219</v>
      </c>
      <c r="V56" s="76">
        <f t="shared" si="12"/>
        <v>7.1528439783921191E-2</v>
      </c>
    </row>
    <row r="57" spans="1:22" x14ac:dyDescent="0.25">
      <c r="A57" s="74">
        <f t="shared" si="60"/>
        <v>55</v>
      </c>
      <c r="B57" s="75">
        <v>44251</v>
      </c>
      <c r="C57" s="74">
        <v>2312</v>
      </c>
      <c r="D57" s="74">
        <v>30254</v>
      </c>
      <c r="E57" s="74">
        <f t="shared" si="0"/>
        <v>32566</v>
      </c>
      <c r="F57" s="76">
        <f t="shared" si="1"/>
        <v>7.0994288521771171E-2</v>
      </c>
      <c r="G57" s="74">
        <v>0</v>
      </c>
      <c r="H57" s="74">
        <v>0</v>
      </c>
      <c r="I57" s="74">
        <f t="shared" si="2"/>
        <v>0</v>
      </c>
      <c r="J57" s="77" t="e">
        <f t="shared" si="3"/>
        <v>#DIV/0!</v>
      </c>
      <c r="K57" s="74">
        <v>0</v>
      </c>
      <c r="L57" s="74">
        <v>0</v>
      </c>
      <c r="M57" s="78">
        <f t="shared" si="4"/>
        <v>0</v>
      </c>
      <c r="N57" s="76" t="e">
        <f t="shared" si="5"/>
        <v>#DIV/0!</v>
      </c>
      <c r="O57" s="80">
        <f t="shared" ref="O57:P57" si="67">S57-S56</f>
        <v>1096</v>
      </c>
      <c r="P57" s="80">
        <f t="shared" si="67"/>
        <v>61</v>
      </c>
      <c r="Q57" s="80">
        <f t="shared" si="7"/>
        <v>1035</v>
      </c>
      <c r="R57" s="76">
        <f t="shared" si="8"/>
        <v>5.5656934306569344E-2</v>
      </c>
      <c r="S57" s="78">
        <f t="shared" si="9"/>
        <v>32566</v>
      </c>
      <c r="T57" s="74">
        <f t="shared" si="10"/>
        <v>2312</v>
      </c>
      <c r="U57" s="74">
        <f t="shared" si="11"/>
        <v>30254</v>
      </c>
      <c r="V57" s="76">
        <f t="shared" si="12"/>
        <v>7.0994288521771171E-2</v>
      </c>
    </row>
    <row r="58" spans="1:22" x14ac:dyDescent="0.25">
      <c r="A58" s="74">
        <f t="shared" si="60"/>
        <v>56</v>
      </c>
      <c r="B58" s="75">
        <v>44252</v>
      </c>
      <c r="C58" s="74">
        <v>2357</v>
      </c>
      <c r="D58" s="74">
        <v>31155</v>
      </c>
      <c r="E58" s="74">
        <f t="shared" si="0"/>
        <v>33512</v>
      </c>
      <c r="F58" s="76">
        <f t="shared" si="1"/>
        <v>7.033301503938888E-2</v>
      </c>
      <c r="G58" s="74">
        <v>0</v>
      </c>
      <c r="H58" s="74">
        <v>0</v>
      </c>
      <c r="I58" s="74">
        <f t="shared" si="2"/>
        <v>0</v>
      </c>
      <c r="J58" s="77" t="e">
        <f t="shared" si="3"/>
        <v>#DIV/0!</v>
      </c>
      <c r="K58" s="74">
        <v>0</v>
      </c>
      <c r="L58" s="74">
        <v>0</v>
      </c>
      <c r="M58" s="78">
        <f t="shared" si="4"/>
        <v>0</v>
      </c>
      <c r="N58" s="76" t="e">
        <f t="shared" si="5"/>
        <v>#DIV/0!</v>
      </c>
      <c r="O58" s="80">
        <f t="shared" ref="O58:P58" si="68">S58-S57</f>
        <v>946</v>
      </c>
      <c r="P58" s="80">
        <f t="shared" si="68"/>
        <v>45</v>
      </c>
      <c r="Q58" s="80">
        <f t="shared" si="7"/>
        <v>901</v>
      </c>
      <c r="R58" s="76">
        <f t="shared" si="8"/>
        <v>4.7568710359408031E-2</v>
      </c>
      <c r="S58" s="78">
        <f t="shared" si="9"/>
        <v>33512</v>
      </c>
      <c r="T58" s="74">
        <f t="shared" si="10"/>
        <v>2357</v>
      </c>
      <c r="U58" s="74">
        <f t="shared" si="11"/>
        <v>31155</v>
      </c>
      <c r="V58" s="76">
        <f t="shared" si="12"/>
        <v>7.033301503938888E-2</v>
      </c>
    </row>
    <row r="59" spans="1:22" x14ac:dyDescent="0.25">
      <c r="A59" s="74">
        <f t="shared" si="60"/>
        <v>57</v>
      </c>
      <c r="B59" s="75">
        <v>44253</v>
      </c>
      <c r="C59" s="74">
        <v>2386</v>
      </c>
      <c r="D59" s="74">
        <v>31908</v>
      </c>
      <c r="E59" s="74">
        <f t="shared" si="0"/>
        <v>34294</v>
      </c>
      <c r="F59" s="76">
        <f t="shared" si="1"/>
        <v>6.9574852743920224E-2</v>
      </c>
      <c r="G59" s="74">
        <v>0</v>
      </c>
      <c r="H59" s="74">
        <v>0</v>
      </c>
      <c r="I59" s="74">
        <f t="shared" si="2"/>
        <v>0</v>
      </c>
      <c r="J59" s="77" t="e">
        <f t="shared" si="3"/>
        <v>#DIV/0!</v>
      </c>
      <c r="K59" s="74">
        <v>42</v>
      </c>
      <c r="L59" s="74">
        <v>974</v>
      </c>
      <c r="M59" s="78">
        <f t="shared" si="4"/>
        <v>1016</v>
      </c>
      <c r="N59" s="76">
        <f t="shared" si="5"/>
        <v>4.1338582677165357E-2</v>
      </c>
      <c r="O59" s="80">
        <f t="shared" ref="O59:P59" si="69">S59-S58</f>
        <v>1798</v>
      </c>
      <c r="P59" s="80">
        <f t="shared" si="69"/>
        <v>71</v>
      </c>
      <c r="Q59" s="80">
        <f t="shared" si="7"/>
        <v>1727</v>
      </c>
      <c r="R59" s="76">
        <f t="shared" si="8"/>
        <v>3.9488320355951054E-2</v>
      </c>
      <c r="S59" s="78">
        <f t="shared" si="9"/>
        <v>35310</v>
      </c>
      <c r="T59" s="74">
        <f t="shared" si="10"/>
        <v>2428</v>
      </c>
      <c r="U59" s="74">
        <f t="shared" si="11"/>
        <v>32882</v>
      </c>
      <c r="V59" s="76">
        <f t="shared" si="12"/>
        <v>6.8762390257717354E-2</v>
      </c>
    </row>
    <row r="60" spans="1:22" x14ac:dyDescent="0.25">
      <c r="A60" s="74">
        <f t="shared" si="60"/>
        <v>58</v>
      </c>
      <c r="B60" s="75">
        <v>44254</v>
      </c>
      <c r="C60" s="74">
        <v>2420</v>
      </c>
      <c r="D60" s="74">
        <v>32507</v>
      </c>
      <c r="E60" s="74">
        <f t="shared" si="0"/>
        <v>34927</v>
      </c>
      <c r="F60" s="76">
        <f t="shared" si="1"/>
        <v>6.9287370801958376E-2</v>
      </c>
      <c r="G60" s="74">
        <v>0</v>
      </c>
      <c r="H60" s="74">
        <v>0</v>
      </c>
      <c r="I60" s="74">
        <v>0</v>
      </c>
      <c r="J60" s="84">
        <v>0</v>
      </c>
      <c r="K60" s="74">
        <v>42</v>
      </c>
      <c r="L60" s="74">
        <v>974</v>
      </c>
      <c r="M60" s="78">
        <f t="shared" si="4"/>
        <v>1016</v>
      </c>
      <c r="N60" s="76">
        <f t="shared" si="5"/>
        <v>4.1338582677165357E-2</v>
      </c>
      <c r="O60" s="80">
        <f t="shared" ref="O60:P60" si="70">S60-S59</f>
        <v>633</v>
      </c>
      <c r="P60" s="80">
        <f t="shared" si="70"/>
        <v>34</v>
      </c>
      <c r="Q60" s="80">
        <f t="shared" si="7"/>
        <v>599</v>
      </c>
      <c r="R60" s="76">
        <f t="shared" si="8"/>
        <v>5.3712480252764615E-2</v>
      </c>
      <c r="S60" s="78">
        <f t="shared" si="9"/>
        <v>35943</v>
      </c>
      <c r="T60" s="74">
        <f t="shared" si="10"/>
        <v>2462</v>
      </c>
      <c r="U60" s="74">
        <f t="shared" si="11"/>
        <v>33481</v>
      </c>
      <c r="V60" s="76">
        <f t="shared" si="12"/>
        <v>6.8497343015329823E-2</v>
      </c>
    </row>
    <row r="61" spans="1:22" x14ac:dyDescent="0.25">
      <c r="A61" s="74">
        <f t="shared" si="60"/>
        <v>59</v>
      </c>
      <c r="B61" s="75">
        <v>44255</v>
      </c>
      <c r="C61" s="74">
        <v>2459</v>
      </c>
      <c r="D61" s="74">
        <v>33082</v>
      </c>
      <c r="E61" s="74">
        <f t="shared" si="0"/>
        <v>35541</v>
      </c>
      <c r="F61" s="76">
        <f t="shared" si="1"/>
        <v>6.9187698714161111E-2</v>
      </c>
      <c r="G61" s="74">
        <v>32</v>
      </c>
      <c r="H61" s="74">
        <v>1225</v>
      </c>
      <c r="I61" s="74">
        <f t="shared" ref="I61:I181" si="71">G61+H61</f>
        <v>1257</v>
      </c>
      <c r="J61" s="85">
        <f t="shared" ref="J61:J181" si="72">G61/I61</f>
        <v>2.5457438345266509E-2</v>
      </c>
      <c r="K61" s="74">
        <v>42</v>
      </c>
      <c r="L61" s="74">
        <v>974</v>
      </c>
      <c r="M61" s="78">
        <f t="shared" si="4"/>
        <v>1016</v>
      </c>
      <c r="N61" s="76">
        <f t="shared" si="5"/>
        <v>4.1338582677165357E-2</v>
      </c>
      <c r="O61" s="80">
        <f t="shared" ref="O61:P61" si="73">S61-S60</f>
        <v>1871</v>
      </c>
      <c r="P61" s="80">
        <f t="shared" si="73"/>
        <v>71</v>
      </c>
      <c r="Q61" s="80">
        <f t="shared" si="7"/>
        <v>1800</v>
      </c>
      <c r="R61" s="76">
        <f t="shared" si="8"/>
        <v>3.7947621592731157E-2</v>
      </c>
      <c r="S61" s="78">
        <f t="shared" si="9"/>
        <v>37814</v>
      </c>
      <c r="T61" s="74">
        <f t="shared" si="10"/>
        <v>2533</v>
      </c>
      <c r="U61" s="74">
        <f t="shared" si="11"/>
        <v>35281</v>
      </c>
      <c r="V61" s="76">
        <f t="shared" si="12"/>
        <v>6.6985772465224525E-2</v>
      </c>
    </row>
    <row r="62" spans="1:22" x14ac:dyDescent="0.25">
      <c r="A62" s="74">
        <f t="shared" si="60"/>
        <v>60</v>
      </c>
      <c r="B62" s="75">
        <v>44256</v>
      </c>
      <c r="C62" s="74">
        <v>2473</v>
      </c>
      <c r="D62" s="74">
        <v>33431</v>
      </c>
      <c r="E62" s="74">
        <f t="shared" si="0"/>
        <v>35904</v>
      </c>
      <c r="F62" s="76">
        <f t="shared" si="1"/>
        <v>6.8878119429590018E-2</v>
      </c>
      <c r="G62" s="74">
        <v>83</v>
      </c>
      <c r="H62" s="74">
        <v>2281</v>
      </c>
      <c r="I62" s="74">
        <f t="shared" si="71"/>
        <v>2364</v>
      </c>
      <c r="J62" s="85">
        <f t="shared" si="72"/>
        <v>3.5109983079526223E-2</v>
      </c>
      <c r="K62" s="74">
        <v>42</v>
      </c>
      <c r="L62" s="74">
        <v>974</v>
      </c>
      <c r="M62" s="78">
        <f t="shared" si="4"/>
        <v>1016</v>
      </c>
      <c r="N62" s="76">
        <f t="shared" si="5"/>
        <v>4.1338582677165357E-2</v>
      </c>
      <c r="O62" s="80">
        <f t="shared" ref="O62:P62" si="74">S62-S61</f>
        <v>1470</v>
      </c>
      <c r="P62" s="80">
        <f t="shared" si="74"/>
        <v>65</v>
      </c>
      <c r="Q62" s="80">
        <f t="shared" si="7"/>
        <v>1405</v>
      </c>
      <c r="R62" s="76">
        <f t="shared" si="8"/>
        <v>4.4217687074829932E-2</v>
      </c>
      <c r="S62" s="78">
        <f t="shared" si="9"/>
        <v>39284</v>
      </c>
      <c r="T62" s="74">
        <f t="shared" si="10"/>
        <v>2598</v>
      </c>
      <c r="U62" s="74">
        <f t="shared" si="11"/>
        <v>36686</v>
      </c>
      <c r="V62" s="76">
        <f t="shared" si="12"/>
        <v>6.6133794929233269E-2</v>
      </c>
    </row>
    <row r="63" spans="1:22" x14ac:dyDescent="0.25">
      <c r="A63" s="74">
        <f t="shared" si="60"/>
        <v>61</v>
      </c>
      <c r="B63" s="75">
        <v>44257</v>
      </c>
      <c r="C63" s="74">
        <v>2500</v>
      </c>
      <c r="D63" s="74">
        <v>33680</v>
      </c>
      <c r="E63" s="74">
        <f t="shared" si="0"/>
        <v>36180</v>
      </c>
      <c r="F63" s="76">
        <f t="shared" si="1"/>
        <v>6.9098949695964626E-2</v>
      </c>
      <c r="G63" s="74">
        <v>110</v>
      </c>
      <c r="H63" s="74">
        <v>2474</v>
      </c>
      <c r="I63" s="74">
        <f t="shared" si="71"/>
        <v>2584</v>
      </c>
      <c r="J63" s="85">
        <f t="shared" si="72"/>
        <v>4.2569659442724457E-2</v>
      </c>
      <c r="K63" s="74">
        <v>42</v>
      </c>
      <c r="L63" s="74">
        <v>974</v>
      </c>
      <c r="M63" s="78">
        <f t="shared" si="4"/>
        <v>1016</v>
      </c>
      <c r="N63" s="76">
        <f t="shared" si="5"/>
        <v>4.1338582677165357E-2</v>
      </c>
      <c r="O63" s="80">
        <f t="shared" ref="O63:P63" si="75">S63-S62</f>
        <v>496</v>
      </c>
      <c r="P63" s="80">
        <f t="shared" si="75"/>
        <v>54</v>
      </c>
      <c r="Q63" s="80">
        <f t="shared" si="7"/>
        <v>442</v>
      </c>
      <c r="R63" s="76">
        <f t="shared" si="8"/>
        <v>0.10887096774193548</v>
      </c>
      <c r="S63" s="78">
        <f t="shared" si="9"/>
        <v>39780</v>
      </c>
      <c r="T63" s="74">
        <f t="shared" si="10"/>
        <v>2652</v>
      </c>
      <c r="U63" s="74">
        <f t="shared" si="11"/>
        <v>37128</v>
      </c>
      <c r="V63" s="76">
        <f t="shared" si="12"/>
        <v>6.6666666666666666E-2</v>
      </c>
    </row>
    <row r="64" spans="1:22" x14ac:dyDescent="0.25">
      <c r="A64" s="74">
        <f t="shared" si="60"/>
        <v>62</v>
      </c>
      <c r="B64" s="75">
        <v>44258</v>
      </c>
      <c r="C64" s="74">
        <v>2535</v>
      </c>
      <c r="D64" s="74">
        <v>34443</v>
      </c>
      <c r="E64" s="74">
        <f t="shared" si="0"/>
        <v>36978</v>
      </c>
      <c r="F64" s="76">
        <f t="shared" si="1"/>
        <v>6.8554275515171181E-2</v>
      </c>
      <c r="G64" s="74">
        <v>141</v>
      </c>
      <c r="H64" s="74">
        <v>3304</v>
      </c>
      <c r="I64" s="74">
        <f t="shared" si="71"/>
        <v>3445</v>
      </c>
      <c r="J64" s="85">
        <f t="shared" si="72"/>
        <v>4.0928882438316404E-2</v>
      </c>
      <c r="K64" s="74">
        <v>42</v>
      </c>
      <c r="L64" s="74">
        <v>974</v>
      </c>
      <c r="M64" s="78">
        <f t="shared" si="4"/>
        <v>1016</v>
      </c>
      <c r="N64" s="76">
        <f t="shared" si="5"/>
        <v>4.1338582677165357E-2</v>
      </c>
      <c r="O64" s="80">
        <f t="shared" ref="O64:P64" si="76">S64-S63</f>
        <v>1659</v>
      </c>
      <c r="P64" s="80">
        <f t="shared" si="76"/>
        <v>66</v>
      </c>
      <c r="Q64" s="80">
        <f t="shared" si="7"/>
        <v>1593</v>
      </c>
      <c r="R64" s="76">
        <f t="shared" si="8"/>
        <v>3.9783001808318265E-2</v>
      </c>
      <c r="S64" s="78">
        <f t="shared" si="9"/>
        <v>41439</v>
      </c>
      <c r="T64" s="74">
        <f t="shared" si="10"/>
        <v>2718</v>
      </c>
      <c r="U64" s="74">
        <f t="shared" si="11"/>
        <v>38721</v>
      </c>
      <c r="V64" s="76">
        <f t="shared" si="12"/>
        <v>6.5590385868384851E-2</v>
      </c>
    </row>
    <row r="65" spans="1:22" x14ac:dyDescent="0.25">
      <c r="A65" s="74">
        <f t="shared" si="60"/>
        <v>63</v>
      </c>
      <c r="B65" s="75">
        <v>44259</v>
      </c>
      <c r="C65" s="74">
        <v>2571</v>
      </c>
      <c r="D65" s="74">
        <v>35040</v>
      </c>
      <c r="E65" s="74">
        <f t="shared" si="0"/>
        <v>37611</v>
      </c>
      <c r="F65" s="76">
        <f t="shared" si="1"/>
        <v>6.8357661322485441E-2</v>
      </c>
      <c r="G65" s="74">
        <v>163</v>
      </c>
      <c r="H65" s="74">
        <v>4027</v>
      </c>
      <c r="I65" s="74">
        <f t="shared" si="71"/>
        <v>4190</v>
      </c>
      <c r="J65" s="85">
        <f t="shared" si="72"/>
        <v>3.8902147971360379E-2</v>
      </c>
      <c r="K65" s="74">
        <v>42</v>
      </c>
      <c r="L65" s="74">
        <v>974</v>
      </c>
      <c r="M65" s="78">
        <f t="shared" si="4"/>
        <v>1016</v>
      </c>
      <c r="N65" s="76">
        <f t="shared" si="5"/>
        <v>4.1338582677165357E-2</v>
      </c>
      <c r="O65" s="80">
        <f t="shared" ref="O65:P65" si="77">S65-S64</f>
        <v>1378</v>
      </c>
      <c r="P65" s="80">
        <f t="shared" si="77"/>
        <v>58</v>
      </c>
      <c r="Q65" s="80">
        <f t="shared" si="7"/>
        <v>1320</v>
      </c>
      <c r="R65" s="76">
        <f t="shared" si="8"/>
        <v>4.2089985486211901E-2</v>
      </c>
      <c r="S65" s="78">
        <f t="shared" si="9"/>
        <v>42817</v>
      </c>
      <c r="T65" s="74">
        <f t="shared" si="10"/>
        <v>2776</v>
      </c>
      <c r="U65" s="74">
        <f t="shared" si="11"/>
        <v>40041</v>
      </c>
      <c r="V65" s="76">
        <f t="shared" si="12"/>
        <v>6.4834061237358992E-2</v>
      </c>
    </row>
    <row r="66" spans="1:22" x14ac:dyDescent="0.25">
      <c r="A66" s="74">
        <f t="shared" si="60"/>
        <v>64</v>
      </c>
      <c r="B66" s="75">
        <v>44260</v>
      </c>
      <c r="C66" s="74">
        <v>2592</v>
      </c>
      <c r="D66" s="74">
        <v>35562</v>
      </c>
      <c r="E66" s="74">
        <f t="shared" si="0"/>
        <v>38154</v>
      </c>
      <c r="F66" s="76">
        <f t="shared" si="1"/>
        <v>6.7935209938669597E-2</v>
      </c>
      <c r="G66" s="74">
        <v>191</v>
      </c>
      <c r="H66" s="74">
        <v>4753</v>
      </c>
      <c r="I66" s="74">
        <f t="shared" si="71"/>
        <v>4944</v>
      </c>
      <c r="J66" s="85">
        <f t="shared" si="72"/>
        <v>3.8632686084142394E-2</v>
      </c>
      <c r="K66" s="74">
        <v>42</v>
      </c>
      <c r="L66" s="74">
        <v>974</v>
      </c>
      <c r="M66" s="78">
        <f t="shared" si="4"/>
        <v>1016</v>
      </c>
      <c r="N66" s="76">
        <f t="shared" si="5"/>
        <v>4.1338582677165357E-2</v>
      </c>
      <c r="O66" s="80">
        <f t="shared" ref="O66:P66" si="78">S66-S65</f>
        <v>1297</v>
      </c>
      <c r="P66" s="80">
        <f t="shared" si="78"/>
        <v>49</v>
      </c>
      <c r="Q66" s="80">
        <f t="shared" si="7"/>
        <v>1248</v>
      </c>
      <c r="R66" s="76">
        <f t="shared" si="8"/>
        <v>3.7779491133384732E-2</v>
      </c>
      <c r="S66" s="78">
        <f t="shared" si="9"/>
        <v>44114</v>
      </c>
      <c r="T66" s="74">
        <f t="shared" si="10"/>
        <v>2825</v>
      </c>
      <c r="U66" s="74">
        <f t="shared" si="11"/>
        <v>41289</v>
      </c>
      <c r="V66" s="76">
        <f t="shared" si="12"/>
        <v>6.4038627193181305E-2</v>
      </c>
    </row>
    <row r="67" spans="1:22" x14ac:dyDescent="0.25">
      <c r="A67" s="74">
        <f t="shared" si="60"/>
        <v>65</v>
      </c>
      <c r="B67" s="75">
        <v>44261</v>
      </c>
      <c r="C67" s="74">
        <v>2624</v>
      </c>
      <c r="D67" s="74">
        <v>36155</v>
      </c>
      <c r="E67" s="74">
        <f t="shared" si="0"/>
        <v>38779</v>
      </c>
      <c r="F67" s="76">
        <f t="shared" si="1"/>
        <v>6.7665489053353622E-2</v>
      </c>
      <c r="G67" s="74">
        <v>219</v>
      </c>
      <c r="H67" s="74">
        <v>5525</v>
      </c>
      <c r="I67" s="74">
        <f t="shared" si="71"/>
        <v>5744</v>
      </c>
      <c r="J67" s="85">
        <f t="shared" si="72"/>
        <v>3.8126740947075209E-2</v>
      </c>
      <c r="K67" s="74">
        <v>42</v>
      </c>
      <c r="L67" s="74">
        <v>974</v>
      </c>
      <c r="M67" s="78">
        <f t="shared" si="4"/>
        <v>1016</v>
      </c>
      <c r="N67" s="76">
        <f t="shared" si="5"/>
        <v>4.1338582677165357E-2</v>
      </c>
      <c r="O67" s="80">
        <f t="shared" ref="O67:P67" si="79">S67-S66</f>
        <v>1425</v>
      </c>
      <c r="P67" s="80">
        <f t="shared" si="79"/>
        <v>60</v>
      </c>
      <c r="Q67" s="80">
        <f t="shared" si="7"/>
        <v>1365</v>
      </c>
      <c r="R67" s="76">
        <f t="shared" si="8"/>
        <v>4.2105263157894736E-2</v>
      </c>
      <c r="S67" s="78">
        <f t="shared" si="9"/>
        <v>45539</v>
      </c>
      <c r="T67" s="74">
        <f t="shared" si="10"/>
        <v>2885</v>
      </c>
      <c r="U67" s="74">
        <f t="shared" si="11"/>
        <v>42654</v>
      </c>
      <c r="V67" s="76">
        <f t="shared" si="12"/>
        <v>6.3352291442499833E-2</v>
      </c>
    </row>
    <row r="68" spans="1:22" x14ac:dyDescent="0.25">
      <c r="A68" s="74">
        <f t="shared" si="60"/>
        <v>66</v>
      </c>
      <c r="B68" s="75">
        <v>44262</v>
      </c>
      <c r="C68" s="74">
        <v>2686</v>
      </c>
      <c r="D68" s="74">
        <v>36563</v>
      </c>
      <c r="E68" s="74">
        <f t="shared" si="0"/>
        <v>39249</v>
      </c>
      <c r="F68" s="76">
        <f t="shared" si="1"/>
        <v>6.8434864582537142E-2</v>
      </c>
      <c r="G68" s="74">
        <v>254</v>
      </c>
      <c r="H68" s="74">
        <v>6391</v>
      </c>
      <c r="I68" s="74">
        <f t="shared" si="71"/>
        <v>6645</v>
      </c>
      <c r="J68" s="85">
        <f t="shared" si="72"/>
        <v>3.8224228743416105E-2</v>
      </c>
      <c r="K68" s="74">
        <v>42</v>
      </c>
      <c r="L68" s="74">
        <v>974</v>
      </c>
      <c r="M68" s="78">
        <f t="shared" si="4"/>
        <v>1016</v>
      </c>
      <c r="N68" s="76">
        <f t="shared" si="5"/>
        <v>4.1338582677165357E-2</v>
      </c>
      <c r="O68" s="80">
        <f t="shared" ref="O68:P68" si="80">S68-S67</f>
        <v>1371</v>
      </c>
      <c r="P68" s="80">
        <f t="shared" si="80"/>
        <v>97</v>
      </c>
      <c r="Q68" s="80">
        <f t="shared" si="7"/>
        <v>1274</v>
      </c>
      <c r="R68" s="76">
        <f t="shared" si="8"/>
        <v>7.0751276440554345E-2</v>
      </c>
      <c r="S68" s="78">
        <f t="shared" si="9"/>
        <v>46910</v>
      </c>
      <c r="T68" s="74">
        <f t="shared" si="10"/>
        <v>2982</v>
      </c>
      <c r="U68" s="74">
        <f t="shared" si="11"/>
        <v>43928</v>
      </c>
      <c r="V68" s="76">
        <f t="shared" si="12"/>
        <v>6.3568535493498182E-2</v>
      </c>
    </row>
    <row r="69" spans="1:22" x14ac:dyDescent="0.25">
      <c r="A69" s="74">
        <f t="shared" si="60"/>
        <v>67</v>
      </c>
      <c r="B69" s="75">
        <v>44263</v>
      </c>
      <c r="C69" s="74">
        <v>2704</v>
      </c>
      <c r="D69" s="74">
        <v>36741</v>
      </c>
      <c r="E69" s="74">
        <f t="shared" si="0"/>
        <v>39445</v>
      </c>
      <c r="F69" s="76">
        <f t="shared" si="1"/>
        <v>6.8551147166941315E-2</v>
      </c>
      <c r="G69" s="74">
        <v>269</v>
      </c>
      <c r="H69" s="74">
        <v>6917</v>
      </c>
      <c r="I69" s="74">
        <f t="shared" si="71"/>
        <v>7186</v>
      </c>
      <c r="J69" s="85">
        <f t="shared" si="72"/>
        <v>3.7433899248538828E-2</v>
      </c>
      <c r="K69" s="74">
        <v>42</v>
      </c>
      <c r="L69" s="74">
        <v>974</v>
      </c>
      <c r="M69" s="78">
        <f t="shared" si="4"/>
        <v>1016</v>
      </c>
      <c r="N69" s="76">
        <f t="shared" si="5"/>
        <v>4.1338582677165357E-2</v>
      </c>
      <c r="O69" s="80">
        <f t="shared" ref="O69:P69" si="81">S69-S68</f>
        <v>737</v>
      </c>
      <c r="P69" s="80">
        <f t="shared" si="81"/>
        <v>33</v>
      </c>
      <c r="Q69" s="80">
        <f t="shared" si="7"/>
        <v>704</v>
      </c>
      <c r="R69" s="76">
        <f t="shared" si="8"/>
        <v>4.4776119402985072E-2</v>
      </c>
      <c r="S69" s="78">
        <f t="shared" si="9"/>
        <v>47647</v>
      </c>
      <c r="T69" s="74">
        <f t="shared" si="10"/>
        <v>3015</v>
      </c>
      <c r="U69" s="74">
        <f t="shared" si="11"/>
        <v>44632</v>
      </c>
      <c r="V69" s="76">
        <f t="shared" si="12"/>
        <v>6.3277855898587532E-2</v>
      </c>
    </row>
    <row r="70" spans="1:22" x14ac:dyDescent="0.25">
      <c r="A70" s="74">
        <f t="shared" si="60"/>
        <v>68</v>
      </c>
      <c r="B70" s="75">
        <v>44264</v>
      </c>
      <c r="C70" s="74">
        <v>2711</v>
      </c>
      <c r="D70" s="74">
        <v>36894</v>
      </c>
      <c r="E70" s="74">
        <f t="shared" si="0"/>
        <v>39605</v>
      </c>
      <c r="F70" s="76">
        <f t="shared" si="1"/>
        <v>6.8450953162479483E-2</v>
      </c>
      <c r="G70" s="74">
        <v>280</v>
      </c>
      <c r="H70" s="74">
        <v>7248</v>
      </c>
      <c r="I70" s="74">
        <f t="shared" si="71"/>
        <v>7528</v>
      </c>
      <c r="J70" s="85">
        <f t="shared" si="72"/>
        <v>3.7194473963868227E-2</v>
      </c>
      <c r="K70" s="74">
        <v>42</v>
      </c>
      <c r="L70" s="74">
        <v>974</v>
      </c>
      <c r="M70" s="78">
        <f t="shared" si="4"/>
        <v>1016</v>
      </c>
      <c r="N70" s="76">
        <f t="shared" si="5"/>
        <v>4.1338582677165357E-2</v>
      </c>
      <c r="O70" s="80">
        <f t="shared" ref="O70:P70" si="82">S70-S69</f>
        <v>502</v>
      </c>
      <c r="P70" s="80">
        <f t="shared" si="82"/>
        <v>18</v>
      </c>
      <c r="Q70" s="80">
        <f t="shared" si="7"/>
        <v>484</v>
      </c>
      <c r="R70" s="76">
        <f t="shared" si="8"/>
        <v>3.5856573705179286E-2</v>
      </c>
      <c r="S70" s="78">
        <f t="shared" si="9"/>
        <v>48149</v>
      </c>
      <c r="T70" s="74">
        <f t="shared" si="10"/>
        <v>3033</v>
      </c>
      <c r="U70" s="74">
        <f t="shared" si="11"/>
        <v>45116</v>
      </c>
      <c r="V70" s="76">
        <f t="shared" si="12"/>
        <v>6.299196244989512E-2</v>
      </c>
    </row>
    <row r="71" spans="1:22" x14ac:dyDescent="0.25">
      <c r="A71" s="74">
        <f t="shared" si="60"/>
        <v>69</v>
      </c>
      <c r="B71" s="75">
        <v>44265</v>
      </c>
      <c r="C71" s="74">
        <v>2749</v>
      </c>
      <c r="D71" s="74">
        <v>37316</v>
      </c>
      <c r="E71" s="74">
        <f t="shared" si="0"/>
        <v>40065</v>
      </c>
      <c r="F71" s="76">
        <f t="shared" si="1"/>
        <v>6.8613503057531514E-2</v>
      </c>
      <c r="G71" s="74">
        <v>504</v>
      </c>
      <c r="H71" s="74">
        <v>14724</v>
      </c>
      <c r="I71" s="74">
        <f t="shared" si="71"/>
        <v>15228</v>
      </c>
      <c r="J71" s="85">
        <f t="shared" si="72"/>
        <v>3.309692671394799E-2</v>
      </c>
      <c r="K71" s="74">
        <v>42</v>
      </c>
      <c r="L71" s="74">
        <v>974</v>
      </c>
      <c r="M71" s="78">
        <f t="shared" si="4"/>
        <v>1016</v>
      </c>
      <c r="N71" s="76">
        <f t="shared" si="5"/>
        <v>4.1338582677165357E-2</v>
      </c>
      <c r="O71" s="80">
        <f t="shared" ref="O71:P71" si="83">S71-S70</f>
        <v>8160</v>
      </c>
      <c r="P71" s="80">
        <f t="shared" si="83"/>
        <v>262</v>
      </c>
      <c r="Q71" s="80">
        <f t="shared" si="7"/>
        <v>7898</v>
      </c>
      <c r="R71" s="76">
        <f t="shared" si="8"/>
        <v>3.2107843137254899E-2</v>
      </c>
      <c r="S71" s="78">
        <f t="shared" si="9"/>
        <v>56309</v>
      </c>
      <c r="T71" s="74">
        <f t="shared" si="10"/>
        <v>3295</v>
      </c>
      <c r="U71" s="74">
        <f t="shared" si="11"/>
        <v>53014</v>
      </c>
      <c r="V71" s="76">
        <f t="shared" si="12"/>
        <v>5.851640057539647E-2</v>
      </c>
    </row>
    <row r="72" spans="1:22" x14ac:dyDescent="0.25">
      <c r="A72" s="74">
        <f t="shared" si="60"/>
        <v>70</v>
      </c>
      <c r="B72" s="75">
        <v>44266</v>
      </c>
      <c r="C72" s="74">
        <v>2808</v>
      </c>
      <c r="D72" s="74">
        <v>38103</v>
      </c>
      <c r="E72" s="74">
        <f t="shared" si="0"/>
        <v>40911</v>
      </c>
      <c r="F72" s="76">
        <f t="shared" si="1"/>
        <v>6.8636796949475692E-2</v>
      </c>
      <c r="G72" s="74">
        <v>556</v>
      </c>
      <c r="H72" s="74">
        <v>16352</v>
      </c>
      <c r="I72" s="74">
        <f t="shared" si="71"/>
        <v>16908</v>
      </c>
      <c r="J72" s="85">
        <f t="shared" si="72"/>
        <v>3.2883841968299028E-2</v>
      </c>
      <c r="K72" s="74">
        <v>42</v>
      </c>
      <c r="L72" s="74">
        <v>974</v>
      </c>
      <c r="M72" s="78">
        <f t="shared" si="4"/>
        <v>1016</v>
      </c>
      <c r="N72" s="76">
        <f t="shared" si="5"/>
        <v>4.1338582677165357E-2</v>
      </c>
      <c r="O72" s="80">
        <f t="shared" ref="O72:P72" si="84">S72-S71</f>
        <v>2526</v>
      </c>
      <c r="P72" s="80">
        <f t="shared" si="84"/>
        <v>111</v>
      </c>
      <c r="Q72" s="80">
        <f t="shared" si="7"/>
        <v>2415</v>
      </c>
      <c r="R72" s="76">
        <f t="shared" si="8"/>
        <v>4.3942992874109264E-2</v>
      </c>
      <c r="S72" s="78">
        <f t="shared" si="9"/>
        <v>58835</v>
      </c>
      <c r="T72" s="74">
        <f t="shared" si="10"/>
        <v>3406</v>
      </c>
      <c r="U72" s="74">
        <f t="shared" si="11"/>
        <v>55429</v>
      </c>
      <c r="V72" s="76">
        <f t="shared" si="12"/>
        <v>5.78907113112943E-2</v>
      </c>
    </row>
    <row r="73" spans="1:22" x14ac:dyDescent="0.25">
      <c r="A73" s="74">
        <f t="shared" si="60"/>
        <v>71</v>
      </c>
      <c r="B73" s="75">
        <v>44267</v>
      </c>
      <c r="C73" s="74">
        <v>2878</v>
      </c>
      <c r="D73" s="74">
        <v>38635</v>
      </c>
      <c r="E73" s="74">
        <f t="shared" si="0"/>
        <v>41513</v>
      </c>
      <c r="F73" s="76">
        <f t="shared" si="1"/>
        <v>6.932768048563101E-2</v>
      </c>
      <c r="G73" s="74">
        <v>603</v>
      </c>
      <c r="H73" s="74">
        <v>17822</v>
      </c>
      <c r="I73" s="74">
        <f t="shared" si="71"/>
        <v>18425</v>
      </c>
      <c r="J73" s="85">
        <f t="shared" si="72"/>
        <v>3.272727272727273E-2</v>
      </c>
      <c r="K73" s="74">
        <v>42</v>
      </c>
      <c r="L73" s="74">
        <v>974</v>
      </c>
      <c r="M73" s="78">
        <f t="shared" si="4"/>
        <v>1016</v>
      </c>
      <c r="N73" s="76">
        <f t="shared" si="5"/>
        <v>4.1338582677165357E-2</v>
      </c>
      <c r="O73" s="80">
        <f t="shared" ref="O73:P73" si="85">S73-S72</f>
        <v>2119</v>
      </c>
      <c r="P73" s="80">
        <f t="shared" si="85"/>
        <v>117</v>
      </c>
      <c r="Q73" s="80">
        <f t="shared" si="7"/>
        <v>2002</v>
      </c>
      <c r="R73" s="76">
        <f t="shared" si="8"/>
        <v>5.5214723926380369E-2</v>
      </c>
      <c r="S73" s="78">
        <f t="shared" si="9"/>
        <v>60954</v>
      </c>
      <c r="T73" s="74">
        <f t="shared" si="10"/>
        <v>3523</v>
      </c>
      <c r="U73" s="74">
        <f t="shared" si="11"/>
        <v>57431</v>
      </c>
      <c r="V73" s="76">
        <f t="shared" si="12"/>
        <v>5.7797683499032054E-2</v>
      </c>
    </row>
    <row r="74" spans="1:22" x14ac:dyDescent="0.25">
      <c r="A74" s="74">
        <f t="shared" si="60"/>
        <v>72</v>
      </c>
      <c r="B74" s="75">
        <v>44268</v>
      </c>
      <c r="C74" s="74">
        <v>2892</v>
      </c>
      <c r="D74" s="74">
        <v>38857</v>
      </c>
      <c r="E74" s="74">
        <f t="shared" si="0"/>
        <v>41749</v>
      </c>
      <c r="F74" s="76">
        <f t="shared" si="1"/>
        <v>6.9271120266353681E-2</v>
      </c>
      <c r="G74" s="74">
        <v>644</v>
      </c>
      <c r="H74" s="74">
        <v>19192</v>
      </c>
      <c r="I74" s="74">
        <f t="shared" si="71"/>
        <v>19836</v>
      </c>
      <c r="J74" s="85">
        <f t="shared" si="72"/>
        <v>3.2466223028836456E-2</v>
      </c>
      <c r="K74" s="74">
        <v>42</v>
      </c>
      <c r="L74" s="74">
        <v>974</v>
      </c>
      <c r="M74" s="78">
        <f t="shared" si="4"/>
        <v>1016</v>
      </c>
      <c r="N74" s="76">
        <f t="shared" si="5"/>
        <v>4.1338582677165357E-2</v>
      </c>
      <c r="O74" s="80">
        <f t="shared" ref="O74:P74" si="86">S74-S73</f>
        <v>1647</v>
      </c>
      <c r="P74" s="80">
        <f t="shared" si="86"/>
        <v>55</v>
      </c>
      <c r="Q74" s="80">
        <f t="shared" si="7"/>
        <v>1592</v>
      </c>
      <c r="R74" s="76">
        <f t="shared" si="8"/>
        <v>3.3394049787492414E-2</v>
      </c>
      <c r="S74" s="78">
        <f t="shared" si="9"/>
        <v>62601</v>
      </c>
      <c r="T74" s="74">
        <f t="shared" si="10"/>
        <v>3578</v>
      </c>
      <c r="U74" s="74">
        <f t="shared" si="11"/>
        <v>59023</v>
      </c>
      <c r="V74" s="76">
        <f t="shared" si="12"/>
        <v>5.7155636491429851E-2</v>
      </c>
    </row>
    <row r="75" spans="1:22" x14ac:dyDescent="0.25">
      <c r="A75" s="74">
        <f t="shared" si="60"/>
        <v>73</v>
      </c>
      <c r="B75" s="75">
        <v>44269</v>
      </c>
      <c r="C75" s="74">
        <v>2930</v>
      </c>
      <c r="D75" s="74">
        <v>39389</v>
      </c>
      <c r="E75" s="74">
        <f t="shared" si="0"/>
        <v>42319</v>
      </c>
      <c r="F75" s="76">
        <f t="shared" si="1"/>
        <v>6.9236040549162312E-2</v>
      </c>
      <c r="G75" s="74">
        <v>713</v>
      </c>
      <c r="H75" s="74">
        <v>21170</v>
      </c>
      <c r="I75" s="74">
        <f t="shared" si="71"/>
        <v>21883</v>
      </c>
      <c r="J75" s="85">
        <f t="shared" si="72"/>
        <v>3.2582369876159575E-2</v>
      </c>
      <c r="K75" s="74">
        <v>42</v>
      </c>
      <c r="L75" s="74">
        <v>974</v>
      </c>
      <c r="M75" s="78">
        <f t="shared" si="4"/>
        <v>1016</v>
      </c>
      <c r="N75" s="76">
        <f t="shared" si="5"/>
        <v>4.1338582677165357E-2</v>
      </c>
      <c r="O75" s="80">
        <f t="shared" ref="O75:P75" si="87">S75-S74</f>
        <v>2617</v>
      </c>
      <c r="P75" s="80">
        <f t="shared" si="87"/>
        <v>107</v>
      </c>
      <c r="Q75" s="80">
        <f t="shared" si="7"/>
        <v>2510</v>
      </c>
      <c r="R75" s="76">
        <f t="shared" si="8"/>
        <v>4.0886511272449369E-2</v>
      </c>
      <c r="S75" s="78">
        <f t="shared" si="9"/>
        <v>65218</v>
      </c>
      <c r="T75" s="74">
        <f t="shared" si="10"/>
        <v>3685</v>
      </c>
      <c r="U75" s="74">
        <f t="shared" si="11"/>
        <v>61533</v>
      </c>
      <c r="V75" s="76">
        <f t="shared" si="12"/>
        <v>5.650280597381091E-2</v>
      </c>
    </row>
    <row r="76" spans="1:22" x14ac:dyDescent="0.25">
      <c r="A76" s="74">
        <f t="shared" si="60"/>
        <v>74</v>
      </c>
      <c r="B76" s="75">
        <v>44270</v>
      </c>
      <c r="C76" s="74">
        <v>2947</v>
      </c>
      <c r="D76" s="74">
        <v>39652</v>
      </c>
      <c r="E76" s="74">
        <f t="shared" si="0"/>
        <v>42599</v>
      </c>
      <c r="F76" s="76">
        <f t="shared" si="1"/>
        <v>6.9180027700180752E-2</v>
      </c>
      <c r="G76" s="74">
        <v>747</v>
      </c>
      <c r="H76" s="74">
        <v>22369</v>
      </c>
      <c r="I76" s="74">
        <f t="shared" si="71"/>
        <v>23116</v>
      </c>
      <c r="J76" s="85">
        <f t="shared" si="72"/>
        <v>3.2315279460114206E-2</v>
      </c>
      <c r="K76" s="74">
        <v>42</v>
      </c>
      <c r="L76" s="74">
        <v>974</v>
      </c>
      <c r="M76" s="78">
        <f t="shared" si="4"/>
        <v>1016</v>
      </c>
      <c r="N76" s="76">
        <f t="shared" si="5"/>
        <v>4.1338582677165357E-2</v>
      </c>
      <c r="O76" s="80">
        <f t="shared" ref="O76:P76" si="88">S76-S75</f>
        <v>1513</v>
      </c>
      <c r="P76" s="80">
        <f t="shared" si="88"/>
        <v>51</v>
      </c>
      <c r="Q76" s="80">
        <f t="shared" si="7"/>
        <v>1462</v>
      </c>
      <c r="R76" s="76">
        <f t="shared" si="8"/>
        <v>3.3707865168539325E-2</v>
      </c>
      <c r="S76" s="78">
        <f t="shared" si="9"/>
        <v>66731</v>
      </c>
      <c r="T76" s="74">
        <f t="shared" si="10"/>
        <v>3736</v>
      </c>
      <c r="U76" s="74">
        <f t="shared" si="11"/>
        <v>62995</v>
      </c>
      <c r="V76" s="76">
        <f t="shared" si="12"/>
        <v>5.5985973535538205E-2</v>
      </c>
    </row>
    <row r="77" spans="1:22" x14ac:dyDescent="0.25">
      <c r="A77" s="74">
        <f t="shared" si="60"/>
        <v>75</v>
      </c>
      <c r="B77" s="75">
        <v>44271</v>
      </c>
      <c r="C77" s="74">
        <v>2953</v>
      </c>
      <c r="D77" s="74">
        <v>39706</v>
      </c>
      <c r="E77" s="74">
        <f t="shared" si="0"/>
        <v>42659</v>
      </c>
      <c r="F77" s="76">
        <f t="shared" si="1"/>
        <v>6.9223376075388546E-2</v>
      </c>
      <c r="G77" s="74">
        <v>855</v>
      </c>
      <c r="H77" s="74">
        <v>26316</v>
      </c>
      <c r="I77" s="74">
        <f t="shared" si="71"/>
        <v>27171</v>
      </c>
      <c r="J77" s="85">
        <f t="shared" si="72"/>
        <v>3.1467373302418021E-2</v>
      </c>
      <c r="K77" s="74">
        <v>42</v>
      </c>
      <c r="L77" s="74">
        <v>974</v>
      </c>
      <c r="M77" s="78">
        <f t="shared" si="4"/>
        <v>1016</v>
      </c>
      <c r="N77" s="76">
        <f t="shared" si="5"/>
        <v>4.1338582677165357E-2</v>
      </c>
      <c r="O77" s="80">
        <f t="shared" ref="O77:P77" si="89">S77-S76</f>
        <v>4115</v>
      </c>
      <c r="P77" s="80">
        <f t="shared" si="89"/>
        <v>114</v>
      </c>
      <c r="Q77" s="80">
        <f t="shared" si="7"/>
        <v>4001</v>
      </c>
      <c r="R77" s="76">
        <f t="shared" si="8"/>
        <v>2.7703523693803158E-2</v>
      </c>
      <c r="S77" s="78">
        <f t="shared" si="9"/>
        <v>70846</v>
      </c>
      <c r="T77" s="74">
        <f t="shared" si="10"/>
        <v>3850</v>
      </c>
      <c r="U77" s="74">
        <f t="shared" si="11"/>
        <v>66996</v>
      </c>
      <c r="V77" s="76">
        <f t="shared" si="12"/>
        <v>5.43432233294752E-2</v>
      </c>
    </row>
    <row r="78" spans="1:22" x14ac:dyDescent="0.25">
      <c r="A78" s="74">
        <f t="shared" si="60"/>
        <v>76</v>
      </c>
      <c r="B78" s="75">
        <v>44272</v>
      </c>
      <c r="C78" s="74">
        <v>2976</v>
      </c>
      <c r="D78" s="74">
        <v>40240</v>
      </c>
      <c r="E78" s="74">
        <f t="shared" si="0"/>
        <v>43216</v>
      </c>
      <c r="F78" s="76">
        <f t="shared" si="1"/>
        <v>6.8863383931877076E-2</v>
      </c>
      <c r="G78" s="74">
        <v>936</v>
      </c>
      <c r="H78" s="74">
        <v>29151</v>
      </c>
      <c r="I78" s="74">
        <f t="shared" si="71"/>
        <v>30087</v>
      </c>
      <c r="J78" s="85">
        <f t="shared" si="72"/>
        <v>3.1109781633263535E-2</v>
      </c>
      <c r="K78" s="74">
        <v>42</v>
      </c>
      <c r="L78" s="74">
        <v>974</v>
      </c>
      <c r="M78" s="78">
        <f t="shared" si="4"/>
        <v>1016</v>
      </c>
      <c r="N78" s="76">
        <f t="shared" si="5"/>
        <v>4.1338582677165357E-2</v>
      </c>
      <c r="O78" s="80">
        <f t="shared" ref="O78:P78" si="90">S78-S77</f>
        <v>3473</v>
      </c>
      <c r="P78" s="80">
        <f t="shared" si="90"/>
        <v>104</v>
      </c>
      <c r="Q78" s="80">
        <f t="shared" si="7"/>
        <v>3369</v>
      </c>
      <c r="R78" s="76">
        <f t="shared" si="8"/>
        <v>2.9945292254534985E-2</v>
      </c>
      <c r="S78" s="78">
        <f t="shared" si="9"/>
        <v>74319</v>
      </c>
      <c r="T78" s="74">
        <f t="shared" si="10"/>
        <v>3954</v>
      </c>
      <c r="U78" s="74">
        <f t="shared" si="11"/>
        <v>70365</v>
      </c>
      <c r="V78" s="76">
        <f t="shared" si="12"/>
        <v>5.3203084002744927E-2</v>
      </c>
    </row>
    <row r="79" spans="1:22" x14ac:dyDescent="0.25">
      <c r="A79" s="74">
        <f t="shared" si="60"/>
        <v>77</v>
      </c>
      <c r="B79" s="75">
        <v>44273</v>
      </c>
      <c r="C79" s="74">
        <v>2997</v>
      </c>
      <c r="D79" s="74">
        <v>40754</v>
      </c>
      <c r="E79" s="74">
        <f t="shared" si="0"/>
        <v>43751</v>
      </c>
      <c r="F79" s="76">
        <f t="shared" si="1"/>
        <v>6.850129139905374E-2</v>
      </c>
      <c r="G79" s="74">
        <v>1048</v>
      </c>
      <c r="H79" s="74">
        <v>32677</v>
      </c>
      <c r="I79" s="74">
        <f t="shared" si="71"/>
        <v>33725</v>
      </c>
      <c r="J79" s="85">
        <f t="shared" si="72"/>
        <v>3.1074870274277241E-2</v>
      </c>
      <c r="K79" s="74">
        <v>42</v>
      </c>
      <c r="L79" s="74">
        <v>974</v>
      </c>
      <c r="M79" s="78">
        <f t="shared" si="4"/>
        <v>1016</v>
      </c>
      <c r="N79" s="76">
        <f t="shared" si="5"/>
        <v>4.1338582677165357E-2</v>
      </c>
      <c r="O79" s="80">
        <f t="shared" ref="O79:P79" si="91">S79-S78</f>
        <v>4173</v>
      </c>
      <c r="P79" s="80">
        <f t="shared" si="91"/>
        <v>133</v>
      </c>
      <c r="Q79" s="80">
        <f t="shared" si="7"/>
        <v>4040</v>
      </c>
      <c r="R79" s="76">
        <f t="shared" si="8"/>
        <v>3.1871555236041217E-2</v>
      </c>
      <c r="S79" s="78">
        <f t="shared" si="9"/>
        <v>78492</v>
      </c>
      <c r="T79" s="74">
        <f t="shared" si="10"/>
        <v>4087</v>
      </c>
      <c r="U79" s="74">
        <f t="shared" si="11"/>
        <v>74405</v>
      </c>
      <c r="V79" s="76">
        <f t="shared" si="12"/>
        <v>5.2069000662487895E-2</v>
      </c>
    </row>
    <row r="80" spans="1:22" x14ac:dyDescent="0.25">
      <c r="A80" s="74">
        <f t="shared" si="60"/>
        <v>78</v>
      </c>
      <c r="B80" s="75">
        <v>44274</v>
      </c>
      <c r="C80" s="74">
        <v>3022</v>
      </c>
      <c r="D80" s="74">
        <v>41613</v>
      </c>
      <c r="E80" s="74">
        <f t="shared" si="0"/>
        <v>44635</v>
      </c>
      <c r="F80" s="76">
        <f t="shared" si="1"/>
        <v>6.7704716030021289E-2</v>
      </c>
      <c r="G80" s="74">
        <v>1114</v>
      </c>
      <c r="H80" s="74">
        <v>34941</v>
      </c>
      <c r="I80" s="74">
        <f t="shared" si="71"/>
        <v>36055</v>
      </c>
      <c r="J80" s="85">
        <f t="shared" si="72"/>
        <v>3.089724032727777E-2</v>
      </c>
      <c r="K80" s="74">
        <v>42</v>
      </c>
      <c r="L80" s="74">
        <v>974</v>
      </c>
      <c r="M80" s="78">
        <f t="shared" si="4"/>
        <v>1016</v>
      </c>
      <c r="N80" s="76">
        <f t="shared" si="5"/>
        <v>4.1338582677165357E-2</v>
      </c>
      <c r="O80" s="80">
        <f t="shared" ref="O80:P80" si="92">S80-S79</f>
        <v>3214</v>
      </c>
      <c r="P80" s="80">
        <f t="shared" si="92"/>
        <v>91</v>
      </c>
      <c r="Q80" s="80">
        <f t="shared" si="7"/>
        <v>3123</v>
      </c>
      <c r="R80" s="76">
        <f t="shared" si="8"/>
        <v>2.8313627878033602E-2</v>
      </c>
      <c r="S80" s="78">
        <f t="shared" si="9"/>
        <v>81706</v>
      </c>
      <c r="T80" s="74">
        <f t="shared" si="10"/>
        <v>4178</v>
      </c>
      <c r="U80" s="74">
        <f t="shared" si="11"/>
        <v>77528</v>
      </c>
      <c r="V80" s="76">
        <f t="shared" si="12"/>
        <v>5.1134555601791788E-2</v>
      </c>
    </row>
    <row r="81" spans="1:22" x14ac:dyDescent="0.25">
      <c r="A81" s="74">
        <f t="shared" si="60"/>
        <v>79</v>
      </c>
      <c r="B81" s="75">
        <v>44275</v>
      </c>
      <c r="C81" s="74">
        <v>3050</v>
      </c>
      <c r="D81" s="74">
        <v>42222</v>
      </c>
      <c r="E81" s="74">
        <f t="shared" si="0"/>
        <v>45272</v>
      </c>
      <c r="F81" s="76">
        <f t="shared" si="1"/>
        <v>6.7370560169641283E-2</v>
      </c>
      <c r="G81" s="74">
        <v>1179</v>
      </c>
      <c r="H81" s="74">
        <v>37641</v>
      </c>
      <c r="I81" s="74">
        <f t="shared" si="71"/>
        <v>38820</v>
      </c>
      <c r="J81" s="85">
        <f t="shared" si="72"/>
        <v>3.0370942812982998E-2</v>
      </c>
      <c r="K81" s="74">
        <v>42</v>
      </c>
      <c r="L81" s="74">
        <v>974</v>
      </c>
      <c r="M81" s="78">
        <f t="shared" si="4"/>
        <v>1016</v>
      </c>
      <c r="N81" s="76">
        <f t="shared" si="5"/>
        <v>4.1338582677165357E-2</v>
      </c>
      <c r="O81" s="80">
        <f t="shared" ref="O81:P81" si="93">S81-S80</f>
        <v>3402</v>
      </c>
      <c r="P81" s="80">
        <f t="shared" si="93"/>
        <v>93</v>
      </c>
      <c r="Q81" s="80">
        <f t="shared" si="7"/>
        <v>3309</v>
      </c>
      <c r="R81" s="76">
        <f t="shared" si="8"/>
        <v>2.7336860670194002E-2</v>
      </c>
      <c r="S81" s="78">
        <f t="shared" si="9"/>
        <v>85108</v>
      </c>
      <c r="T81" s="74">
        <f t="shared" si="10"/>
        <v>4271</v>
      </c>
      <c r="U81" s="74">
        <f t="shared" si="11"/>
        <v>80837</v>
      </c>
      <c r="V81" s="76">
        <f t="shared" si="12"/>
        <v>5.0183296517366173E-2</v>
      </c>
    </row>
    <row r="82" spans="1:22" x14ac:dyDescent="0.25">
      <c r="A82" s="74">
        <f t="shared" si="60"/>
        <v>80</v>
      </c>
      <c r="B82" s="75">
        <v>44276</v>
      </c>
      <c r="C82" s="74">
        <v>3077</v>
      </c>
      <c r="D82" s="74">
        <v>42726</v>
      </c>
      <c r="E82" s="74">
        <f t="shared" si="0"/>
        <v>45803</v>
      </c>
      <c r="F82" s="76">
        <f t="shared" si="1"/>
        <v>6.7179005741981962E-2</v>
      </c>
      <c r="G82" s="74">
        <v>1223</v>
      </c>
      <c r="H82" s="74">
        <v>39376</v>
      </c>
      <c r="I82" s="74">
        <f t="shared" si="71"/>
        <v>40599</v>
      </c>
      <c r="J82" s="85">
        <f t="shared" si="72"/>
        <v>3.0123894677208798E-2</v>
      </c>
      <c r="K82" s="74">
        <v>42</v>
      </c>
      <c r="L82" s="74">
        <v>974</v>
      </c>
      <c r="M82" s="78">
        <f t="shared" si="4"/>
        <v>1016</v>
      </c>
      <c r="N82" s="76">
        <f t="shared" si="5"/>
        <v>4.1338582677165357E-2</v>
      </c>
      <c r="O82" s="80">
        <f t="shared" ref="O82:P82" si="94">S82-S81</f>
        <v>2310</v>
      </c>
      <c r="P82" s="80">
        <f t="shared" si="94"/>
        <v>71</v>
      </c>
      <c r="Q82" s="80">
        <f t="shared" si="7"/>
        <v>2239</v>
      </c>
      <c r="R82" s="76">
        <f t="shared" si="8"/>
        <v>3.0735930735930735E-2</v>
      </c>
      <c r="S82" s="78">
        <f t="shared" si="9"/>
        <v>87418</v>
      </c>
      <c r="T82" s="74">
        <f t="shared" si="10"/>
        <v>4342</v>
      </c>
      <c r="U82" s="74">
        <f t="shared" si="11"/>
        <v>83076</v>
      </c>
      <c r="V82" s="76">
        <f t="shared" si="12"/>
        <v>4.9669404470475187E-2</v>
      </c>
    </row>
    <row r="83" spans="1:22" x14ac:dyDescent="0.25">
      <c r="A83" s="74">
        <f t="shared" si="60"/>
        <v>81</v>
      </c>
      <c r="B83" s="75">
        <v>44277</v>
      </c>
      <c r="C83" s="74">
        <v>3098</v>
      </c>
      <c r="D83" s="74">
        <v>43204</v>
      </c>
      <c r="E83" s="74">
        <f t="shared" si="0"/>
        <v>46302</v>
      </c>
      <c r="F83" s="76">
        <f t="shared" si="1"/>
        <v>6.6908556865794139E-2</v>
      </c>
      <c r="G83" s="74">
        <v>1247</v>
      </c>
      <c r="H83" s="74">
        <v>40121</v>
      </c>
      <c r="I83" s="74">
        <f t="shared" si="71"/>
        <v>41368</v>
      </c>
      <c r="J83" s="85">
        <f t="shared" si="72"/>
        <v>3.0144072713208278E-2</v>
      </c>
      <c r="K83" s="74">
        <v>42</v>
      </c>
      <c r="L83" s="74">
        <v>974</v>
      </c>
      <c r="M83" s="78">
        <f t="shared" si="4"/>
        <v>1016</v>
      </c>
      <c r="N83" s="76">
        <f t="shared" si="5"/>
        <v>4.1338582677165357E-2</v>
      </c>
      <c r="O83" s="80">
        <f t="shared" ref="O83:P83" si="95">S83-S82</f>
        <v>1268</v>
      </c>
      <c r="P83" s="80">
        <f t="shared" si="95"/>
        <v>45</v>
      </c>
      <c r="Q83" s="80">
        <f t="shared" si="7"/>
        <v>1223</v>
      </c>
      <c r="R83" s="76">
        <f t="shared" si="8"/>
        <v>3.5488958990536279E-2</v>
      </c>
      <c r="S83" s="78">
        <f t="shared" si="9"/>
        <v>88686</v>
      </c>
      <c r="T83" s="74">
        <f t="shared" si="10"/>
        <v>4387</v>
      </c>
      <c r="U83" s="74">
        <f t="shared" si="11"/>
        <v>84299</v>
      </c>
      <c r="V83" s="76">
        <f t="shared" si="12"/>
        <v>4.9466657646077168E-2</v>
      </c>
    </row>
    <row r="84" spans="1:22" x14ac:dyDescent="0.25">
      <c r="A84" s="74">
        <f t="shared" si="60"/>
        <v>82</v>
      </c>
      <c r="B84" s="75">
        <v>44278</v>
      </c>
      <c r="C84" s="74">
        <v>3122</v>
      </c>
      <c r="D84" s="74">
        <v>43657</v>
      </c>
      <c r="E84" s="74">
        <f t="shared" si="0"/>
        <v>46779</v>
      </c>
      <c r="F84" s="76">
        <f t="shared" si="1"/>
        <v>6.6739348853117858E-2</v>
      </c>
      <c r="G84" s="74">
        <v>1322</v>
      </c>
      <c r="H84" s="74">
        <v>43102</v>
      </c>
      <c r="I84" s="74">
        <f t="shared" si="71"/>
        <v>44424</v>
      </c>
      <c r="J84" s="85">
        <f t="shared" si="72"/>
        <v>2.9758688996938593E-2</v>
      </c>
      <c r="K84" s="74">
        <v>42</v>
      </c>
      <c r="L84" s="74">
        <v>974</v>
      </c>
      <c r="M84" s="78">
        <f t="shared" si="4"/>
        <v>1016</v>
      </c>
      <c r="N84" s="76">
        <f t="shared" si="5"/>
        <v>4.1338582677165357E-2</v>
      </c>
      <c r="O84" s="80">
        <f t="shared" ref="O84:P84" si="96">S84-S83</f>
        <v>3533</v>
      </c>
      <c r="P84" s="80">
        <f t="shared" si="96"/>
        <v>99</v>
      </c>
      <c r="Q84" s="80">
        <f t="shared" si="7"/>
        <v>3434</v>
      </c>
      <c r="R84" s="76">
        <f t="shared" si="8"/>
        <v>2.8021511463345597E-2</v>
      </c>
      <c r="S84" s="78">
        <f t="shared" si="9"/>
        <v>92219</v>
      </c>
      <c r="T84" s="74">
        <f t="shared" si="10"/>
        <v>4486</v>
      </c>
      <c r="U84" s="74">
        <f t="shared" si="11"/>
        <v>87733</v>
      </c>
      <c r="V84" s="76">
        <f t="shared" si="12"/>
        <v>4.8645073141109753E-2</v>
      </c>
    </row>
    <row r="85" spans="1:22" x14ac:dyDescent="0.25">
      <c r="A85" s="74">
        <f t="shared" si="60"/>
        <v>83</v>
      </c>
      <c r="B85" s="75">
        <v>44279</v>
      </c>
      <c r="C85" s="74">
        <v>3155</v>
      </c>
      <c r="D85" s="74">
        <v>44374</v>
      </c>
      <c r="E85" s="74">
        <f t="shared" si="0"/>
        <v>47529</v>
      </c>
      <c r="F85" s="76">
        <f t="shared" si="1"/>
        <v>6.6380525573860164E-2</v>
      </c>
      <c r="G85" s="74">
        <v>1410</v>
      </c>
      <c r="H85" s="74">
        <v>46218</v>
      </c>
      <c r="I85" s="74">
        <f t="shared" si="71"/>
        <v>47628</v>
      </c>
      <c r="J85" s="85">
        <f t="shared" si="72"/>
        <v>2.9604434366339128E-2</v>
      </c>
      <c r="K85" s="74">
        <v>42</v>
      </c>
      <c r="L85" s="74">
        <v>974</v>
      </c>
      <c r="M85" s="78">
        <f t="shared" si="4"/>
        <v>1016</v>
      </c>
      <c r="N85" s="76">
        <f t="shared" si="5"/>
        <v>4.1338582677165357E-2</v>
      </c>
      <c r="O85" s="80">
        <f t="shared" ref="O85:P85" si="97">S85-S84</f>
        <v>3954</v>
      </c>
      <c r="P85" s="80">
        <f t="shared" si="97"/>
        <v>121</v>
      </c>
      <c r="Q85" s="80">
        <f t="shared" si="7"/>
        <v>3833</v>
      </c>
      <c r="R85" s="76">
        <f t="shared" si="8"/>
        <v>3.0601922104198279E-2</v>
      </c>
      <c r="S85" s="78">
        <f t="shared" si="9"/>
        <v>96173</v>
      </c>
      <c r="T85" s="74">
        <f t="shared" si="10"/>
        <v>4607</v>
      </c>
      <c r="U85" s="74">
        <f t="shared" si="11"/>
        <v>91566</v>
      </c>
      <c r="V85" s="76">
        <f t="shared" si="12"/>
        <v>4.7903257671071925E-2</v>
      </c>
    </row>
    <row r="86" spans="1:22" x14ac:dyDescent="0.25">
      <c r="A86" s="74">
        <f t="shared" si="60"/>
        <v>84</v>
      </c>
      <c r="B86" s="75">
        <v>44280</v>
      </c>
      <c r="C86" s="74">
        <v>3188</v>
      </c>
      <c r="D86" s="74">
        <v>45111</v>
      </c>
      <c r="E86" s="74">
        <f t="shared" si="0"/>
        <v>48299</v>
      </c>
      <c r="F86" s="76">
        <f t="shared" si="1"/>
        <v>6.6005507360400839E-2</v>
      </c>
      <c r="G86" s="74">
        <v>1476</v>
      </c>
      <c r="H86" s="74">
        <v>49101</v>
      </c>
      <c r="I86" s="74">
        <f t="shared" si="71"/>
        <v>50577</v>
      </c>
      <c r="J86" s="85">
        <f t="shared" si="72"/>
        <v>2.918322557684323E-2</v>
      </c>
      <c r="K86" s="74">
        <v>42</v>
      </c>
      <c r="L86" s="74">
        <v>974</v>
      </c>
      <c r="M86" s="78">
        <f t="shared" si="4"/>
        <v>1016</v>
      </c>
      <c r="N86" s="76">
        <f t="shared" si="5"/>
        <v>4.1338582677165357E-2</v>
      </c>
      <c r="O86" s="80">
        <f t="shared" ref="O86:P86" si="98">S86-S85</f>
        <v>3719</v>
      </c>
      <c r="P86" s="80">
        <f t="shared" si="98"/>
        <v>99</v>
      </c>
      <c r="Q86" s="80">
        <f t="shared" si="7"/>
        <v>3620</v>
      </c>
      <c r="R86" s="76">
        <f t="shared" si="8"/>
        <v>2.6620059155687013E-2</v>
      </c>
      <c r="S86" s="78">
        <f t="shared" si="9"/>
        <v>99892</v>
      </c>
      <c r="T86" s="74">
        <f t="shared" si="10"/>
        <v>4706</v>
      </c>
      <c r="U86" s="74">
        <f t="shared" si="11"/>
        <v>95186</v>
      </c>
      <c r="V86" s="76">
        <f t="shared" si="12"/>
        <v>4.711087975013014E-2</v>
      </c>
    </row>
    <row r="87" spans="1:22" x14ac:dyDescent="0.25">
      <c r="A87" s="74">
        <f t="shared" si="60"/>
        <v>85</v>
      </c>
      <c r="B87" s="75">
        <v>44281</v>
      </c>
      <c r="C87" s="74">
        <v>3212</v>
      </c>
      <c r="D87" s="74">
        <v>45653</v>
      </c>
      <c r="E87" s="74">
        <f t="shared" si="0"/>
        <v>48865</v>
      </c>
      <c r="F87" s="76">
        <f t="shared" si="1"/>
        <v>6.5732119103652925E-2</v>
      </c>
      <c r="G87" s="74">
        <v>1558</v>
      </c>
      <c r="H87" s="74">
        <v>52324</v>
      </c>
      <c r="I87" s="74">
        <f t="shared" si="71"/>
        <v>53882</v>
      </c>
      <c r="J87" s="85">
        <f t="shared" si="72"/>
        <v>2.8915036561374854E-2</v>
      </c>
      <c r="K87" s="74">
        <v>42</v>
      </c>
      <c r="L87" s="74">
        <v>974</v>
      </c>
      <c r="M87" s="78">
        <f t="shared" si="4"/>
        <v>1016</v>
      </c>
      <c r="N87" s="76">
        <f t="shared" si="5"/>
        <v>4.1338582677165357E-2</v>
      </c>
      <c r="O87" s="80">
        <f t="shared" ref="O87:P87" si="99">S87-S86</f>
        <v>3871</v>
      </c>
      <c r="P87" s="80">
        <f t="shared" si="99"/>
        <v>106</v>
      </c>
      <c r="Q87" s="80">
        <f t="shared" si="7"/>
        <v>3765</v>
      </c>
      <c r="R87" s="76">
        <f t="shared" si="8"/>
        <v>2.7383105140790492E-2</v>
      </c>
      <c r="S87" s="78">
        <f t="shared" si="9"/>
        <v>103763</v>
      </c>
      <c r="T87" s="74">
        <f t="shared" si="10"/>
        <v>4812</v>
      </c>
      <c r="U87" s="74">
        <f t="shared" si="11"/>
        <v>98951</v>
      </c>
      <c r="V87" s="76">
        <f t="shared" si="12"/>
        <v>4.6374912059211855E-2</v>
      </c>
    </row>
    <row r="88" spans="1:22" x14ac:dyDescent="0.25">
      <c r="A88" s="74">
        <f t="shared" si="60"/>
        <v>86</v>
      </c>
      <c r="B88" s="75">
        <v>44282</v>
      </c>
      <c r="C88" s="74">
        <v>3236</v>
      </c>
      <c r="D88" s="74">
        <v>46280</v>
      </c>
      <c r="E88" s="74">
        <f t="shared" si="0"/>
        <v>49516</v>
      </c>
      <c r="F88" s="76">
        <f t="shared" si="1"/>
        <v>6.5352613296712173E-2</v>
      </c>
      <c r="G88" s="74">
        <v>1638</v>
      </c>
      <c r="H88" s="74">
        <v>55383</v>
      </c>
      <c r="I88" s="74">
        <f t="shared" si="71"/>
        <v>57021</v>
      </c>
      <c r="J88" s="85">
        <f t="shared" si="72"/>
        <v>2.8726258746777502E-2</v>
      </c>
      <c r="K88" s="74">
        <v>42</v>
      </c>
      <c r="L88" s="74">
        <v>974</v>
      </c>
      <c r="M88" s="78">
        <f t="shared" si="4"/>
        <v>1016</v>
      </c>
      <c r="N88" s="76">
        <f t="shared" si="5"/>
        <v>4.1338582677165357E-2</v>
      </c>
      <c r="O88" s="80">
        <f t="shared" ref="O88:P88" si="100">S88-S87</f>
        <v>3790</v>
      </c>
      <c r="P88" s="80">
        <f t="shared" si="100"/>
        <v>104</v>
      </c>
      <c r="Q88" s="80">
        <f t="shared" si="7"/>
        <v>3686</v>
      </c>
      <c r="R88" s="76">
        <f t="shared" si="8"/>
        <v>2.7440633245382585E-2</v>
      </c>
      <c r="S88" s="78">
        <f t="shared" si="9"/>
        <v>107553</v>
      </c>
      <c r="T88" s="74">
        <f t="shared" si="10"/>
        <v>4916</v>
      </c>
      <c r="U88" s="74">
        <f t="shared" si="11"/>
        <v>102637</v>
      </c>
      <c r="V88" s="76">
        <f t="shared" si="12"/>
        <v>4.5707697600252901E-2</v>
      </c>
    </row>
    <row r="89" spans="1:22" x14ac:dyDescent="0.25">
      <c r="A89" s="74">
        <f t="shared" si="60"/>
        <v>87</v>
      </c>
      <c r="B89" s="75">
        <v>44283</v>
      </c>
      <c r="C89" s="74">
        <v>3262</v>
      </c>
      <c r="D89" s="74">
        <v>46712</v>
      </c>
      <c r="E89" s="74">
        <f t="shared" si="0"/>
        <v>49974</v>
      </c>
      <c r="F89" s="76">
        <f t="shared" si="1"/>
        <v>6.5273942450074035E-2</v>
      </c>
      <c r="G89" s="74">
        <v>1669</v>
      </c>
      <c r="H89" s="74">
        <v>56539</v>
      </c>
      <c r="I89" s="74">
        <f t="shared" si="71"/>
        <v>58208</v>
      </c>
      <c r="J89" s="85">
        <f t="shared" si="72"/>
        <v>2.8673034634414514E-2</v>
      </c>
      <c r="K89" s="74">
        <v>42</v>
      </c>
      <c r="L89" s="74">
        <v>974</v>
      </c>
      <c r="M89" s="78">
        <f t="shared" si="4"/>
        <v>1016</v>
      </c>
      <c r="N89" s="76">
        <f t="shared" si="5"/>
        <v>4.1338582677165357E-2</v>
      </c>
      <c r="O89" s="80">
        <f t="shared" ref="O89:P89" si="101">S89-S88</f>
        <v>1645</v>
      </c>
      <c r="P89" s="80">
        <f t="shared" si="101"/>
        <v>57</v>
      </c>
      <c r="Q89" s="80">
        <f t="shared" si="7"/>
        <v>1588</v>
      </c>
      <c r="R89" s="76">
        <f t="shared" si="8"/>
        <v>3.4650455927051675E-2</v>
      </c>
      <c r="S89" s="78">
        <f t="shared" si="9"/>
        <v>109198</v>
      </c>
      <c r="T89" s="74">
        <f t="shared" si="10"/>
        <v>4973</v>
      </c>
      <c r="U89" s="74">
        <f t="shared" si="11"/>
        <v>104225</v>
      </c>
      <c r="V89" s="76">
        <f t="shared" si="12"/>
        <v>4.5541127126870452E-2</v>
      </c>
    </row>
    <row r="90" spans="1:22" x14ac:dyDescent="0.25">
      <c r="A90" s="74">
        <f t="shared" si="60"/>
        <v>88</v>
      </c>
      <c r="B90" s="75">
        <v>44284</v>
      </c>
      <c r="C90" s="74">
        <v>3279</v>
      </c>
      <c r="D90" s="74">
        <v>47144</v>
      </c>
      <c r="E90" s="74">
        <f t="shared" si="0"/>
        <v>50423</v>
      </c>
      <c r="F90" s="76">
        <f t="shared" si="1"/>
        <v>6.5029847490232634E-2</v>
      </c>
      <c r="G90" s="74">
        <v>1700</v>
      </c>
      <c r="H90" s="74">
        <v>58019</v>
      </c>
      <c r="I90" s="74">
        <f t="shared" si="71"/>
        <v>59719</v>
      </c>
      <c r="J90" s="85">
        <f t="shared" si="72"/>
        <v>2.8466652154255763E-2</v>
      </c>
      <c r="K90" s="74">
        <v>42</v>
      </c>
      <c r="L90" s="74">
        <v>974</v>
      </c>
      <c r="M90" s="78">
        <f t="shared" si="4"/>
        <v>1016</v>
      </c>
      <c r="N90" s="76">
        <f t="shared" si="5"/>
        <v>4.1338582677165357E-2</v>
      </c>
      <c r="O90" s="80">
        <f t="shared" ref="O90:P90" si="102">S90-S89</f>
        <v>1960</v>
      </c>
      <c r="P90" s="80">
        <f t="shared" si="102"/>
        <v>48</v>
      </c>
      <c r="Q90" s="80">
        <f t="shared" si="7"/>
        <v>1912</v>
      </c>
      <c r="R90" s="76">
        <f t="shared" si="8"/>
        <v>2.4489795918367346E-2</v>
      </c>
      <c r="S90" s="78">
        <f t="shared" si="9"/>
        <v>111158</v>
      </c>
      <c r="T90" s="74">
        <f t="shared" si="10"/>
        <v>5021</v>
      </c>
      <c r="U90" s="74">
        <f t="shared" si="11"/>
        <v>106137</v>
      </c>
      <c r="V90" s="76">
        <f t="shared" si="12"/>
        <v>4.5169938286043293E-2</v>
      </c>
    </row>
    <row r="91" spans="1:22" x14ac:dyDescent="0.25">
      <c r="A91" s="74">
        <f t="shared" si="60"/>
        <v>89</v>
      </c>
      <c r="B91" s="75">
        <v>44285</v>
      </c>
      <c r="C91" s="74">
        <v>3282</v>
      </c>
      <c r="D91" s="74">
        <v>47244</v>
      </c>
      <c r="E91" s="74">
        <f t="shared" si="0"/>
        <v>50526</v>
      </c>
      <c r="F91" s="76">
        <f t="shared" si="1"/>
        <v>6.4956655979099873E-2</v>
      </c>
      <c r="G91" s="74">
        <v>1766</v>
      </c>
      <c r="H91" s="74">
        <v>61581</v>
      </c>
      <c r="I91" s="74">
        <f t="shared" si="71"/>
        <v>63347</v>
      </c>
      <c r="J91" s="85">
        <f t="shared" si="72"/>
        <v>2.7878194705353056E-2</v>
      </c>
      <c r="K91" s="74">
        <v>42</v>
      </c>
      <c r="L91" s="74">
        <v>974</v>
      </c>
      <c r="M91" s="78">
        <f t="shared" si="4"/>
        <v>1016</v>
      </c>
      <c r="N91" s="76">
        <f t="shared" si="5"/>
        <v>4.1338582677165357E-2</v>
      </c>
      <c r="O91" s="80">
        <f t="shared" ref="O91:P91" si="103">S91-S90</f>
        <v>3731</v>
      </c>
      <c r="P91" s="80">
        <f t="shared" si="103"/>
        <v>69</v>
      </c>
      <c r="Q91" s="80">
        <f t="shared" si="7"/>
        <v>3662</v>
      </c>
      <c r="R91" s="76">
        <f t="shared" si="8"/>
        <v>1.8493701420530688E-2</v>
      </c>
      <c r="S91" s="78">
        <f t="shared" si="9"/>
        <v>114889</v>
      </c>
      <c r="T91" s="74">
        <f t="shared" si="10"/>
        <v>5090</v>
      </c>
      <c r="U91" s="74">
        <f t="shared" si="11"/>
        <v>109799</v>
      </c>
      <c r="V91" s="76">
        <f t="shared" si="12"/>
        <v>4.4303632201516244E-2</v>
      </c>
    </row>
    <row r="92" spans="1:22" x14ac:dyDescent="0.25">
      <c r="A92" s="74">
        <f t="shared" si="60"/>
        <v>90</v>
      </c>
      <c r="B92" s="75">
        <v>44286</v>
      </c>
      <c r="C92" s="74">
        <v>3309</v>
      </c>
      <c r="D92" s="74">
        <v>47837</v>
      </c>
      <c r="E92" s="74">
        <f t="shared" si="0"/>
        <v>51146</v>
      </c>
      <c r="F92" s="76">
        <f t="shared" si="1"/>
        <v>6.4697141516443124E-2</v>
      </c>
      <c r="G92" s="74">
        <v>1827</v>
      </c>
      <c r="H92" s="74">
        <v>64697</v>
      </c>
      <c r="I92" s="74">
        <f t="shared" si="71"/>
        <v>66524</v>
      </c>
      <c r="J92" s="85">
        <f t="shared" si="72"/>
        <v>2.7463772473092417E-2</v>
      </c>
      <c r="K92" s="74">
        <v>42</v>
      </c>
      <c r="L92" s="74">
        <v>974</v>
      </c>
      <c r="M92" s="78">
        <f t="shared" si="4"/>
        <v>1016</v>
      </c>
      <c r="N92" s="76">
        <f t="shared" si="5"/>
        <v>4.1338582677165357E-2</v>
      </c>
      <c r="O92" s="80">
        <f t="shared" ref="O92:P92" si="104">S92-S91</f>
        <v>3797</v>
      </c>
      <c r="P92" s="80">
        <f t="shared" si="104"/>
        <v>88</v>
      </c>
      <c r="Q92" s="80">
        <f t="shared" si="7"/>
        <v>3709</v>
      </c>
      <c r="R92" s="76">
        <f t="shared" si="8"/>
        <v>2.3176191730313406E-2</v>
      </c>
      <c r="S92" s="78">
        <f t="shared" si="9"/>
        <v>118686</v>
      </c>
      <c r="T92" s="74">
        <f t="shared" si="10"/>
        <v>5178</v>
      </c>
      <c r="U92" s="74">
        <f t="shared" si="11"/>
        <v>113508</v>
      </c>
      <c r="V92" s="76">
        <f t="shared" si="12"/>
        <v>4.3627723573125728E-2</v>
      </c>
    </row>
    <row r="93" spans="1:22" x14ac:dyDescent="0.25">
      <c r="A93" s="74">
        <f t="shared" si="60"/>
        <v>91</v>
      </c>
      <c r="B93" s="75">
        <v>44287</v>
      </c>
      <c r="C93" s="74">
        <v>3332</v>
      </c>
      <c r="D93" s="74">
        <v>48305</v>
      </c>
      <c r="E93" s="74">
        <f t="shared" si="0"/>
        <v>51637</v>
      </c>
      <c r="F93" s="76">
        <f t="shared" si="1"/>
        <v>6.4527373782365352E-2</v>
      </c>
      <c r="G93" s="74">
        <v>1882</v>
      </c>
      <c r="H93" s="74">
        <v>67806</v>
      </c>
      <c r="I93" s="74">
        <f t="shared" si="71"/>
        <v>69688</v>
      </c>
      <c r="J93" s="85">
        <f t="shared" si="72"/>
        <v>2.7006084261278842E-2</v>
      </c>
      <c r="K93" s="74">
        <v>42</v>
      </c>
      <c r="L93" s="74">
        <v>974</v>
      </c>
      <c r="M93" s="78">
        <f t="shared" si="4"/>
        <v>1016</v>
      </c>
      <c r="N93" s="76">
        <f t="shared" si="5"/>
        <v>4.1338582677165357E-2</v>
      </c>
      <c r="O93" s="80">
        <f t="shared" ref="O93:P93" si="105">S93-S92</f>
        <v>3655</v>
      </c>
      <c r="P93" s="80">
        <f t="shared" si="105"/>
        <v>78</v>
      </c>
      <c r="Q93" s="80">
        <f t="shared" si="7"/>
        <v>3577</v>
      </c>
      <c r="R93" s="76">
        <f t="shared" si="8"/>
        <v>2.13406292749658E-2</v>
      </c>
      <c r="S93" s="78">
        <f t="shared" si="9"/>
        <v>122341</v>
      </c>
      <c r="T93" s="74">
        <f t="shared" si="10"/>
        <v>5256</v>
      </c>
      <c r="U93" s="74">
        <f t="shared" si="11"/>
        <v>117085</v>
      </c>
      <c r="V93" s="76">
        <f t="shared" si="12"/>
        <v>4.2961885222452E-2</v>
      </c>
    </row>
    <row r="94" spans="1:22" x14ac:dyDescent="0.25">
      <c r="A94" s="74">
        <f t="shared" si="60"/>
        <v>92</v>
      </c>
      <c r="B94" s="75">
        <v>44288</v>
      </c>
      <c r="C94" s="74">
        <v>3350</v>
      </c>
      <c r="D94" s="74">
        <v>48819</v>
      </c>
      <c r="E94" s="74">
        <f t="shared" si="0"/>
        <v>52169</v>
      </c>
      <c r="F94" s="76">
        <f t="shared" si="1"/>
        <v>6.4214380187467654E-2</v>
      </c>
      <c r="G94" s="74">
        <v>1932</v>
      </c>
      <c r="H94" s="74">
        <v>70607</v>
      </c>
      <c r="I94" s="74">
        <f t="shared" si="71"/>
        <v>72539</v>
      </c>
      <c r="J94" s="85">
        <f t="shared" si="72"/>
        <v>2.6633948634527633E-2</v>
      </c>
      <c r="K94" s="74">
        <v>42</v>
      </c>
      <c r="L94" s="74">
        <v>974</v>
      </c>
      <c r="M94" s="78">
        <f t="shared" si="4"/>
        <v>1016</v>
      </c>
      <c r="N94" s="76">
        <f t="shared" si="5"/>
        <v>4.1338582677165357E-2</v>
      </c>
      <c r="O94" s="80">
        <f t="shared" ref="O94:P94" si="106">S94-S93</f>
        <v>3383</v>
      </c>
      <c r="P94" s="80">
        <f t="shared" si="106"/>
        <v>68</v>
      </c>
      <c r="Q94" s="80">
        <f t="shared" si="7"/>
        <v>3315</v>
      </c>
      <c r="R94" s="76">
        <f t="shared" si="8"/>
        <v>2.0100502512562814E-2</v>
      </c>
      <c r="S94" s="78">
        <f t="shared" si="9"/>
        <v>125724</v>
      </c>
      <c r="T94" s="74">
        <f t="shared" si="10"/>
        <v>5324</v>
      </c>
      <c r="U94" s="74">
        <f t="shared" si="11"/>
        <v>120400</v>
      </c>
      <c r="V94" s="76">
        <f t="shared" si="12"/>
        <v>4.2346727752855459E-2</v>
      </c>
    </row>
    <row r="95" spans="1:22" x14ac:dyDescent="0.25">
      <c r="A95" s="74">
        <f t="shared" si="60"/>
        <v>93</v>
      </c>
      <c r="B95" s="75">
        <v>44289</v>
      </c>
      <c r="C95" s="74">
        <v>3359</v>
      </c>
      <c r="D95" s="74">
        <v>49151</v>
      </c>
      <c r="E95" s="74">
        <f t="shared" si="0"/>
        <v>52510</v>
      </c>
      <c r="F95" s="76">
        <f t="shared" si="1"/>
        <v>6.3968767853742142E-2</v>
      </c>
      <c r="G95" s="74">
        <v>1953</v>
      </c>
      <c r="H95" s="74">
        <v>71876</v>
      </c>
      <c r="I95" s="74">
        <f t="shared" si="71"/>
        <v>73829</v>
      </c>
      <c r="J95" s="85">
        <f t="shared" si="72"/>
        <v>2.6453019816061438E-2</v>
      </c>
      <c r="K95" s="74">
        <v>42</v>
      </c>
      <c r="L95" s="74">
        <v>974</v>
      </c>
      <c r="M95" s="78">
        <f t="shared" si="4"/>
        <v>1016</v>
      </c>
      <c r="N95" s="76">
        <f t="shared" si="5"/>
        <v>4.1338582677165357E-2</v>
      </c>
      <c r="O95" s="80">
        <f t="shared" ref="O95:P95" si="107">S95-S94</f>
        <v>1631</v>
      </c>
      <c r="P95" s="80">
        <f t="shared" si="107"/>
        <v>30</v>
      </c>
      <c r="Q95" s="80">
        <f t="shared" si="7"/>
        <v>1601</v>
      </c>
      <c r="R95" s="76">
        <f t="shared" si="8"/>
        <v>1.8393623543838136E-2</v>
      </c>
      <c r="S95" s="78">
        <f t="shared" si="9"/>
        <v>127355</v>
      </c>
      <c r="T95" s="74">
        <f t="shared" si="10"/>
        <v>5354</v>
      </c>
      <c r="U95" s="74">
        <f t="shared" si="11"/>
        <v>122001</v>
      </c>
      <c r="V95" s="76">
        <f t="shared" si="12"/>
        <v>4.2039967021318361E-2</v>
      </c>
    </row>
    <row r="96" spans="1:22" x14ac:dyDescent="0.25">
      <c r="A96" s="74">
        <f t="shared" si="60"/>
        <v>94</v>
      </c>
      <c r="B96" s="75">
        <v>44290</v>
      </c>
      <c r="C96" s="74">
        <v>3362</v>
      </c>
      <c r="D96" s="74">
        <v>49225</v>
      </c>
      <c r="E96" s="74">
        <f t="shared" si="0"/>
        <v>52587</v>
      </c>
      <c r="F96" s="76">
        <f t="shared" si="1"/>
        <v>6.3932150531500184E-2</v>
      </c>
      <c r="G96" s="74">
        <v>2001</v>
      </c>
      <c r="H96" s="74">
        <v>73967</v>
      </c>
      <c r="I96" s="74">
        <f t="shared" si="71"/>
        <v>75968</v>
      </c>
      <c r="J96" s="85">
        <f t="shared" si="72"/>
        <v>2.6340037910699242E-2</v>
      </c>
      <c r="K96" s="74">
        <v>42</v>
      </c>
      <c r="L96" s="74">
        <v>974</v>
      </c>
      <c r="M96" s="78">
        <f t="shared" si="4"/>
        <v>1016</v>
      </c>
      <c r="N96" s="76">
        <f t="shared" si="5"/>
        <v>4.1338582677165357E-2</v>
      </c>
      <c r="O96" s="80">
        <f t="shared" ref="O96:P96" si="108">S96-S95</f>
        <v>2216</v>
      </c>
      <c r="P96" s="80">
        <f t="shared" si="108"/>
        <v>51</v>
      </c>
      <c r="Q96" s="80">
        <f t="shared" si="7"/>
        <v>2165</v>
      </c>
      <c r="R96" s="76">
        <f t="shared" si="8"/>
        <v>2.3014440433212997E-2</v>
      </c>
      <c r="S96" s="78">
        <f t="shared" si="9"/>
        <v>129571</v>
      </c>
      <c r="T96" s="74">
        <f t="shared" si="10"/>
        <v>5405</v>
      </c>
      <c r="U96" s="74">
        <f t="shared" si="11"/>
        <v>124166</v>
      </c>
      <c r="V96" s="76">
        <f t="shared" si="12"/>
        <v>4.1714581194866138E-2</v>
      </c>
    </row>
    <row r="97" spans="1:22" x14ac:dyDescent="0.25">
      <c r="A97" s="74">
        <f t="shared" si="60"/>
        <v>95</v>
      </c>
      <c r="B97" s="75">
        <v>44291</v>
      </c>
      <c r="C97" s="74">
        <v>3367</v>
      </c>
      <c r="D97" s="74">
        <v>49415</v>
      </c>
      <c r="E97" s="74">
        <f t="shared" si="0"/>
        <v>52782</v>
      </c>
      <c r="F97" s="76">
        <f t="shared" si="1"/>
        <v>6.379068621878671E-2</v>
      </c>
      <c r="G97" s="74">
        <v>2016</v>
      </c>
      <c r="H97" s="74">
        <v>75543</v>
      </c>
      <c r="I97" s="74">
        <f t="shared" si="71"/>
        <v>77559</v>
      </c>
      <c r="J97" s="85">
        <f t="shared" si="72"/>
        <v>2.5993114918964916E-2</v>
      </c>
      <c r="K97" s="74">
        <v>42</v>
      </c>
      <c r="L97" s="74">
        <v>974</v>
      </c>
      <c r="M97" s="78">
        <f t="shared" si="4"/>
        <v>1016</v>
      </c>
      <c r="N97" s="76">
        <f t="shared" si="5"/>
        <v>4.1338582677165357E-2</v>
      </c>
      <c r="O97" s="80">
        <f t="shared" ref="O97:P97" si="109">S97-S96</f>
        <v>1786</v>
      </c>
      <c r="P97" s="80">
        <f t="shared" si="109"/>
        <v>20</v>
      </c>
      <c r="Q97" s="80">
        <f t="shared" si="7"/>
        <v>1766</v>
      </c>
      <c r="R97" s="76">
        <f t="shared" si="8"/>
        <v>1.1198208286674132E-2</v>
      </c>
      <c r="S97" s="78">
        <f t="shared" si="9"/>
        <v>131357</v>
      </c>
      <c r="T97" s="74">
        <f t="shared" si="10"/>
        <v>5425</v>
      </c>
      <c r="U97" s="74">
        <f t="shared" si="11"/>
        <v>125932</v>
      </c>
      <c r="V97" s="76">
        <f t="shared" si="12"/>
        <v>4.1299664273696871E-2</v>
      </c>
    </row>
    <row r="98" spans="1:22" x14ac:dyDescent="0.25">
      <c r="A98" s="74">
        <f t="shared" si="60"/>
        <v>96</v>
      </c>
      <c r="B98" s="75">
        <v>44292</v>
      </c>
      <c r="C98" s="74">
        <v>3369</v>
      </c>
      <c r="D98" s="74">
        <v>49475</v>
      </c>
      <c r="E98" s="74">
        <f t="shared" si="0"/>
        <v>52844</v>
      </c>
      <c r="F98" s="76">
        <f t="shared" si="1"/>
        <v>6.3753690106729238E-2</v>
      </c>
      <c r="G98" s="74">
        <v>2089</v>
      </c>
      <c r="H98" s="74">
        <v>79781</v>
      </c>
      <c r="I98" s="74">
        <f t="shared" si="71"/>
        <v>81870</v>
      </c>
      <c r="J98" s="85">
        <f t="shared" si="72"/>
        <v>2.5516062049590813E-2</v>
      </c>
      <c r="K98" s="74">
        <v>42</v>
      </c>
      <c r="L98" s="74">
        <v>974</v>
      </c>
      <c r="M98" s="78">
        <f t="shared" si="4"/>
        <v>1016</v>
      </c>
      <c r="N98" s="76">
        <f t="shared" si="5"/>
        <v>4.1338582677165357E-2</v>
      </c>
      <c r="O98" s="80">
        <f t="shared" ref="O98:P98" si="110">S98-S97</f>
        <v>4373</v>
      </c>
      <c r="P98" s="80">
        <f t="shared" si="110"/>
        <v>75</v>
      </c>
      <c r="Q98" s="80">
        <f t="shared" si="7"/>
        <v>4298</v>
      </c>
      <c r="R98" s="76">
        <f t="shared" si="8"/>
        <v>1.7150697461696774E-2</v>
      </c>
      <c r="S98" s="78">
        <f t="shared" si="9"/>
        <v>135730</v>
      </c>
      <c r="T98" s="74">
        <f t="shared" si="10"/>
        <v>5500</v>
      </c>
      <c r="U98" s="74">
        <f t="shared" si="11"/>
        <v>130230</v>
      </c>
      <c r="V98" s="76">
        <f t="shared" si="12"/>
        <v>4.0521623811979664E-2</v>
      </c>
    </row>
    <row r="99" spans="1:22" x14ac:dyDescent="0.25">
      <c r="A99" s="74">
        <f t="shared" si="60"/>
        <v>97</v>
      </c>
      <c r="B99" s="75">
        <v>44293</v>
      </c>
      <c r="C99" s="74">
        <v>3387</v>
      </c>
      <c r="D99" s="74">
        <v>49908</v>
      </c>
      <c r="E99" s="74">
        <f t="shared" si="0"/>
        <v>53295</v>
      </c>
      <c r="F99" s="76">
        <f t="shared" si="1"/>
        <v>6.355192794821278E-2</v>
      </c>
      <c r="G99" s="74">
        <v>2145</v>
      </c>
      <c r="H99" s="74">
        <v>82939</v>
      </c>
      <c r="I99" s="74">
        <f t="shared" si="71"/>
        <v>85084</v>
      </c>
      <c r="J99" s="85">
        <f t="shared" si="72"/>
        <v>2.5210380330026799E-2</v>
      </c>
      <c r="K99" s="74">
        <v>42</v>
      </c>
      <c r="L99" s="74">
        <v>974</v>
      </c>
      <c r="M99" s="78">
        <f t="shared" si="4"/>
        <v>1016</v>
      </c>
      <c r="N99" s="76">
        <f t="shared" si="5"/>
        <v>4.1338582677165357E-2</v>
      </c>
      <c r="O99" s="80">
        <f t="shared" ref="O99:P99" si="111">S99-S98</f>
        <v>3665</v>
      </c>
      <c r="P99" s="80">
        <f t="shared" si="111"/>
        <v>74</v>
      </c>
      <c r="Q99" s="80">
        <f t="shared" si="7"/>
        <v>3591</v>
      </c>
      <c r="R99" s="76">
        <f t="shared" si="8"/>
        <v>2.0190995907230558E-2</v>
      </c>
      <c r="S99" s="78">
        <f t="shared" si="9"/>
        <v>139395</v>
      </c>
      <c r="T99" s="74">
        <f t="shared" si="10"/>
        <v>5574</v>
      </c>
      <c r="U99" s="74">
        <f t="shared" si="11"/>
        <v>133821</v>
      </c>
      <c r="V99" s="76">
        <f t="shared" si="12"/>
        <v>3.9987087054772406E-2</v>
      </c>
    </row>
    <row r="100" spans="1:22" x14ac:dyDescent="0.25">
      <c r="A100" s="74">
        <f t="shared" si="60"/>
        <v>98</v>
      </c>
      <c r="B100" s="75">
        <v>44294</v>
      </c>
      <c r="C100" s="74">
        <v>3410</v>
      </c>
      <c r="D100" s="74">
        <v>50411</v>
      </c>
      <c r="E100" s="74">
        <f t="shared" si="0"/>
        <v>53821</v>
      </c>
      <c r="F100" s="76">
        <f t="shared" si="1"/>
        <v>6.3358168744542087E-2</v>
      </c>
      <c r="G100" s="74">
        <v>2218</v>
      </c>
      <c r="H100" s="74">
        <v>86646</v>
      </c>
      <c r="I100" s="74">
        <f t="shared" si="71"/>
        <v>88864</v>
      </c>
      <c r="J100" s="85">
        <f t="shared" si="72"/>
        <v>2.495948865682391E-2</v>
      </c>
      <c r="K100" s="74">
        <v>42</v>
      </c>
      <c r="L100" s="74">
        <v>974</v>
      </c>
      <c r="M100" s="78">
        <f t="shared" si="4"/>
        <v>1016</v>
      </c>
      <c r="N100" s="76">
        <f t="shared" si="5"/>
        <v>4.1338582677165357E-2</v>
      </c>
      <c r="O100" s="80">
        <f t="shared" ref="O100:P100" si="112">S100-S99</f>
        <v>4306</v>
      </c>
      <c r="P100" s="80">
        <f t="shared" si="112"/>
        <v>96</v>
      </c>
      <c r="Q100" s="80">
        <f t="shared" si="7"/>
        <v>4210</v>
      </c>
      <c r="R100" s="76">
        <f t="shared" si="8"/>
        <v>2.2294472828611241E-2</v>
      </c>
      <c r="S100" s="78">
        <f t="shared" si="9"/>
        <v>143701</v>
      </c>
      <c r="T100" s="74">
        <f t="shared" si="10"/>
        <v>5670</v>
      </c>
      <c r="U100" s="74">
        <f t="shared" si="11"/>
        <v>138031</v>
      </c>
      <c r="V100" s="76">
        <f t="shared" si="12"/>
        <v>3.9456927926736766E-2</v>
      </c>
    </row>
    <row r="101" spans="1:22" x14ac:dyDescent="0.25">
      <c r="A101" s="74">
        <f t="shared" si="60"/>
        <v>99</v>
      </c>
      <c r="B101" s="75">
        <v>44295</v>
      </c>
      <c r="C101" s="74">
        <v>3431</v>
      </c>
      <c r="D101" s="74">
        <v>50905</v>
      </c>
      <c r="E101" s="74">
        <f t="shared" si="0"/>
        <v>54336</v>
      </c>
      <c r="F101" s="76">
        <f t="shared" si="1"/>
        <v>6.3144140164899887E-2</v>
      </c>
      <c r="G101" s="74">
        <v>2301</v>
      </c>
      <c r="H101" s="74">
        <v>90667</v>
      </c>
      <c r="I101" s="74">
        <f t="shared" si="71"/>
        <v>92968</v>
      </c>
      <c r="J101" s="85">
        <f t="shared" si="72"/>
        <v>2.47504517683504E-2</v>
      </c>
      <c r="K101" s="74">
        <v>42</v>
      </c>
      <c r="L101" s="74">
        <v>974</v>
      </c>
      <c r="M101" s="78">
        <f t="shared" si="4"/>
        <v>1016</v>
      </c>
      <c r="N101" s="76">
        <f t="shared" si="5"/>
        <v>4.1338582677165357E-2</v>
      </c>
      <c r="O101" s="80">
        <f t="shared" ref="O101:P101" si="113">S101-S100</f>
        <v>4619</v>
      </c>
      <c r="P101" s="80">
        <f t="shared" si="113"/>
        <v>104</v>
      </c>
      <c r="Q101" s="80">
        <f t="shared" si="7"/>
        <v>4515</v>
      </c>
      <c r="R101" s="76">
        <f t="shared" si="8"/>
        <v>2.2515696038103484E-2</v>
      </c>
      <c r="S101" s="78">
        <f t="shared" si="9"/>
        <v>148320</v>
      </c>
      <c r="T101" s="74">
        <f t="shared" si="10"/>
        <v>5774</v>
      </c>
      <c r="U101" s="74">
        <f t="shared" si="11"/>
        <v>142546</v>
      </c>
      <c r="V101" s="76">
        <f t="shared" si="12"/>
        <v>3.8929341963322546E-2</v>
      </c>
    </row>
    <row r="102" spans="1:22" x14ac:dyDescent="0.25">
      <c r="A102" s="74">
        <f t="shared" si="60"/>
        <v>100</v>
      </c>
      <c r="B102" s="75">
        <v>44296</v>
      </c>
      <c r="C102" s="74">
        <v>3451</v>
      </c>
      <c r="D102" s="74">
        <v>51413</v>
      </c>
      <c r="E102" s="74">
        <f t="shared" si="0"/>
        <v>54864</v>
      </c>
      <c r="F102" s="76">
        <f t="shared" si="1"/>
        <v>6.2900991542723828E-2</v>
      </c>
      <c r="G102" s="74">
        <v>2346</v>
      </c>
      <c r="H102" s="74">
        <v>94175</v>
      </c>
      <c r="I102" s="74">
        <f t="shared" si="71"/>
        <v>96521</v>
      </c>
      <c r="J102" s="85">
        <f t="shared" si="72"/>
        <v>2.4305591529304504E-2</v>
      </c>
      <c r="K102" s="74">
        <v>42</v>
      </c>
      <c r="L102" s="74">
        <v>974</v>
      </c>
      <c r="M102" s="78">
        <f t="shared" si="4"/>
        <v>1016</v>
      </c>
      <c r="N102" s="76">
        <f t="shared" si="5"/>
        <v>4.1338582677165357E-2</v>
      </c>
      <c r="O102" s="80">
        <f t="shared" ref="O102:P102" si="114">S102-S101</f>
        <v>4081</v>
      </c>
      <c r="P102" s="80">
        <f t="shared" si="114"/>
        <v>65</v>
      </c>
      <c r="Q102" s="80">
        <f t="shared" si="7"/>
        <v>4016</v>
      </c>
      <c r="R102" s="76">
        <f t="shared" si="8"/>
        <v>1.5927468757657437E-2</v>
      </c>
      <c r="S102" s="78">
        <f t="shared" si="9"/>
        <v>152401</v>
      </c>
      <c r="T102" s="74">
        <f t="shared" si="10"/>
        <v>5839</v>
      </c>
      <c r="U102" s="74">
        <f t="shared" si="11"/>
        <v>146562</v>
      </c>
      <c r="V102" s="76">
        <f t="shared" si="12"/>
        <v>3.8313396893721173E-2</v>
      </c>
    </row>
    <row r="103" spans="1:22" x14ac:dyDescent="0.25">
      <c r="A103" s="74">
        <f t="shared" si="60"/>
        <v>101</v>
      </c>
      <c r="B103" s="75">
        <v>44297</v>
      </c>
      <c r="C103" s="74">
        <v>3474</v>
      </c>
      <c r="D103" s="74">
        <v>52050</v>
      </c>
      <c r="E103" s="74">
        <f t="shared" si="0"/>
        <v>55524</v>
      </c>
      <c r="F103" s="76">
        <f t="shared" si="1"/>
        <v>6.2567538361789493E-2</v>
      </c>
      <c r="G103" s="74">
        <v>2382</v>
      </c>
      <c r="H103" s="74">
        <v>96029</v>
      </c>
      <c r="I103" s="74">
        <f t="shared" si="71"/>
        <v>98411</v>
      </c>
      <c r="J103" s="85">
        <f t="shared" si="72"/>
        <v>2.4204611273130037E-2</v>
      </c>
      <c r="K103" s="74">
        <v>42</v>
      </c>
      <c r="L103" s="74">
        <v>974</v>
      </c>
      <c r="M103" s="78">
        <f t="shared" si="4"/>
        <v>1016</v>
      </c>
      <c r="N103" s="76">
        <f t="shared" si="5"/>
        <v>4.1338582677165357E-2</v>
      </c>
      <c r="O103" s="80">
        <f t="shared" ref="O103:P103" si="115">S103-S102</f>
        <v>2550</v>
      </c>
      <c r="P103" s="80">
        <f t="shared" si="115"/>
        <v>59</v>
      </c>
      <c r="Q103" s="80">
        <f t="shared" si="7"/>
        <v>2491</v>
      </c>
      <c r="R103" s="76">
        <f t="shared" si="8"/>
        <v>2.3137254901960783E-2</v>
      </c>
      <c r="S103" s="78">
        <f t="shared" si="9"/>
        <v>154951</v>
      </c>
      <c r="T103" s="74">
        <f t="shared" si="10"/>
        <v>5898</v>
      </c>
      <c r="U103" s="74">
        <f t="shared" si="11"/>
        <v>149053</v>
      </c>
      <c r="V103" s="76">
        <f t="shared" si="12"/>
        <v>3.806364592677685E-2</v>
      </c>
    </row>
    <row r="104" spans="1:22" x14ac:dyDescent="0.25">
      <c r="A104" s="74">
        <f t="shared" si="60"/>
        <v>102</v>
      </c>
      <c r="B104" s="75">
        <v>44298</v>
      </c>
      <c r="C104" s="74">
        <v>3498</v>
      </c>
      <c r="D104" s="74">
        <v>52247</v>
      </c>
      <c r="E104" s="74">
        <f t="shared" si="0"/>
        <v>55745</v>
      </c>
      <c r="F104" s="76">
        <f t="shared" si="1"/>
        <v>6.2750022423535737E-2</v>
      </c>
      <c r="G104" s="74">
        <v>2407</v>
      </c>
      <c r="H104" s="74">
        <v>97594</v>
      </c>
      <c r="I104" s="74">
        <f t="shared" si="71"/>
        <v>100001</v>
      </c>
      <c r="J104" s="85">
        <f t="shared" si="72"/>
        <v>2.4069759302406978E-2</v>
      </c>
      <c r="K104" s="74">
        <v>42</v>
      </c>
      <c r="L104" s="74">
        <v>974</v>
      </c>
      <c r="M104" s="78">
        <f t="shared" si="4"/>
        <v>1016</v>
      </c>
      <c r="N104" s="76">
        <f t="shared" si="5"/>
        <v>4.1338582677165357E-2</v>
      </c>
      <c r="O104" s="80">
        <f t="shared" ref="O104:P104" si="116">S104-S103</f>
        <v>1811</v>
      </c>
      <c r="P104" s="80">
        <f t="shared" si="116"/>
        <v>49</v>
      </c>
      <c r="Q104" s="80">
        <f t="shared" si="7"/>
        <v>1762</v>
      </c>
      <c r="R104" s="76">
        <f t="shared" si="8"/>
        <v>2.7056874654886803E-2</v>
      </c>
      <c r="S104" s="78">
        <f t="shared" si="9"/>
        <v>156762</v>
      </c>
      <c r="T104" s="74">
        <f t="shared" si="10"/>
        <v>5947</v>
      </c>
      <c r="U104" s="74">
        <f t="shared" si="11"/>
        <v>150815</v>
      </c>
      <c r="V104" s="76">
        <f t="shared" si="12"/>
        <v>3.793648971051658E-2</v>
      </c>
    </row>
    <row r="105" spans="1:22" x14ac:dyDescent="0.25">
      <c r="A105" s="74">
        <f t="shared" si="60"/>
        <v>103</v>
      </c>
      <c r="B105" s="75">
        <v>44299</v>
      </c>
      <c r="C105" s="74">
        <v>3499</v>
      </c>
      <c r="D105" s="74">
        <v>52558</v>
      </c>
      <c r="E105" s="74">
        <f t="shared" si="0"/>
        <v>56057</v>
      </c>
      <c r="F105" s="76">
        <f t="shared" si="1"/>
        <v>6.2418609629484277E-2</v>
      </c>
      <c r="G105" s="74">
        <v>2472</v>
      </c>
      <c r="H105" s="74">
        <v>101106</v>
      </c>
      <c r="I105" s="74">
        <f t="shared" si="71"/>
        <v>103578</v>
      </c>
      <c r="J105" s="85">
        <f t="shared" si="72"/>
        <v>2.3866071945779992E-2</v>
      </c>
      <c r="K105" s="74">
        <v>42</v>
      </c>
      <c r="L105" s="74">
        <v>974</v>
      </c>
      <c r="M105" s="78">
        <f t="shared" si="4"/>
        <v>1016</v>
      </c>
      <c r="N105" s="76">
        <f t="shared" si="5"/>
        <v>4.1338582677165357E-2</v>
      </c>
      <c r="O105" s="80">
        <f t="shared" ref="O105:P105" si="117">S105-S104</f>
        <v>3889</v>
      </c>
      <c r="P105" s="80">
        <f t="shared" si="117"/>
        <v>66</v>
      </c>
      <c r="Q105" s="80">
        <f t="shared" si="7"/>
        <v>3823</v>
      </c>
      <c r="R105" s="76">
        <f t="shared" si="8"/>
        <v>1.6970943687323218E-2</v>
      </c>
      <c r="S105" s="78">
        <f t="shared" si="9"/>
        <v>160651</v>
      </c>
      <c r="T105" s="74">
        <f t="shared" si="10"/>
        <v>6013</v>
      </c>
      <c r="U105" s="74">
        <f t="shared" si="11"/>
        <v>154638</v>
      </c>
      <c r="V105" s="76">
        <f t="shared" si="12"/>
        <v>3.742896091527597E-2</v>
      </c>
    </row>
    <row r="106" spans="1:22" x14ac:dyDescent="0.25">
      <c r="A106" s="74">
        <f t="shared" si="60"/>
        <v>104</v>
      </c>
      <c r="B106" s="75">
        <v>44300</v>
      </c>
      <c r="C106" s="74">
        <v>3524</v>
      </c>
      <c r="D106" s="74">
        <v>53336</v>
      </c>
      <c r="E106" s="74">
        <f t="shared" si="0"/>
        <v>56860</v>
      </c>
      <c r="F106" s="76">
        <f t="shared" si="1"/>
        <v>6.1976785086176572E-2</v>
      </c>
      <c r="G106" s="74">
        <v>2533</v>
      </c>
      <c r="H106" s="74">
        <v>104284</v>
      </c>
      <c r="I106" s="74">
        <f t="shared" si="71"/>
        <v>106817</v>
      </c>
      <c r="J106" s="85">
        <f t="shared" si="72"/>
        <v>2.3713453850978776E-2</v>
      </c>
      <c r="K106" s="74">
        <v>42</v>
      </c>
      <c r="L106" s="74">
        <v>974</v>
      </c>
      <c r="M106" s="78">
        <f t="shared" si="4"/>
        <v>1016</v>
      </c>
      <c r="N106" s="76">
        <f t="shared" si="5"/>
        <v>4.1338582677165357E-2</v>
      </c>
      <c r="O106" s="80">
        <f t="shared" ref="O106:P106" si="118">S106-S105</f>
        <v>4042</v>
      </c>
      <c r="P106" s="80">
        <f t="shared" si="118"/>
        <v>86</v>
      </c>
      <c r="Q106" s="80">
        <f t="shared" si="7"/>
        <v>3956</v>
      </c>
      <c r="R106" s="76">
        <f t="shared" si="8"/>
        <v>2.1276595744680851E-2</v>
      </c>
      <c r="S106" s="78">
        <f t="shared" si="9"/>
        <v>164693</v>
      </c>
      <c r="T106" s="74">
        <f t="shared" si="10"/>
        <v>6099</v>
      </c>
      <c r="U106" s="74">
        <f t="shared" si="11"/>
        <v>158594</v>
      </c>
      <c r="V106" s="76">
        <f t="shared" si="12"/>
        <v>3.7032539330754802E-2</v>
      </c>
    </row>
    <row r="107" spans="1:22" x14ac:dyDescent="0.25">
      <c r="A107" s="74">
        <f t="shared" si="60"/>
        <v>105</v>
      </c>
      <c r="B107" s="75">
        <v>44301</v>
      </c>
      <c r="C107" s="74">
        <v>3538</v>
      </c>
      <c r="D107" s="74">
        <v>54047</v>
      </c>
      <c r="E107" s="74">
        <f t="shared" si="0"/>
        <v>57585</v>
      </c>
      <c r="F107" s="76">
        <f t="shared" si="1"/>
        <v>6.143961100981158E-2</v>
      </c>
      <c r="G107" s="74">
        <v>2585</v>
      </c>
      <c r="H107" s="74">
        <v>106768</v>
      </c>
      <c r="I107" s="74">
        <f t="shared" si="71"/>
        <v>109353</v>
      </c>
      <c r="J107" s="85">
        <f t="shared" si="72"/>
        <v>2.363904053843973E-2</v>
      </c>
      <c r="K107" s="74">
        <v>42</v>
      </c>
      <c r="L107" s="74">
        <v>974</v>
      </c>
      <c r="M107" s="78">
        <f t="shared" si="4"/>
        <v>1016</v>
      </c>
      <c r="N107" s="76">
        <f t="shared" si="5"/>
        <v>4.1338582677165357E-2</v>
      </c>
      <c r="O107" s="80">
        <f t="shared" ref="O107:P107" si="119">S107-S106</f>
        <v>3261</v>
      </c>
      <c r="P107" s="80">
        <f t="shared" si="119"/>
        <v>66</v>
      </c>
      <c r="Q107" s="80">
        <f t="shared" si="7"/>
        <v>3195</v>
      </c>
      <c r="R107" s="76">
        <f t="shared" si="8"/>
        <v>2.0239190432382703E-2</v>
      </c>
      <c r="S107" s="78">
        <f t="shared" si="9"/>
        <v>167954</v>
      </c>
      <c r="T107" s="74">
        <f t="shared" si="10"/>
        <v>6165</v>
      </c>
      <c r="U107" s="74">
        <f t="shared" si="11"/>
        <v>161789</v>
      </c>
      <c r="V107" s="76">
        <f t="shared" si="12"/>
        <v>3.670647915500673E-2</v>
      </c>
    </row>
    <row r="108" spans="1:22" x14ac:dyDescent="0.25">
      <c r="A108" s="74">
        <f t="shared" si="60"/>
        <v>106</v>
      </c>
      <c r="B108" s="75">
        <v>44302</v>
      </c>
      <c r="C108" s="74">
        <v>3554</v>
      </c>
      <c r="D108" s="74">
        <v>54754</v>
      </c>
      <c r="E108" s="74">
        <f t="shared" si="0"/>
        <v>58308</v>
      </c>
      <c r="F108" s="76">
        <f t="shared" si="1"/>
        <v>6.0952184948892089E-2</v>
      </c>
      <c r="G108" s="74">
        <v>2637</v>
      </c>
      <c r="H108" s="74">
        <v>110575</v>
      </c>
      <c r="I108" s="74">
        <f t="shared" si="71"/>
        <v>113212</v>
      </c>
      <c r="J108" s="85">
        <f t="shared" si="72"/>
        <v>2.3292583825036215E-2</v>
      </c>
      <c r="K108" s="74">
        <v>42</v>
      </c>
      <c r="L108" s="74">
        <v>974</v>
      </c>
      <c r="M108" s="78">
        <f t="shared" si="4"/>
        <v>1016</v>
      </c>
      <c r="N108" s="76">
        <f t="shared" si="5"/>
        <v>4.1338582677165357E-2</v>
      </c>
      <c r="O108" s="80">
        <f t="shared" ref="O108:P108" si="120">S108-S107</f>
        <v>4582</v>
      </c>
      <c r="P108" s="80">
        <f t="shared" si="120"/>
        <v>68</v>
      </c>
      <c r="Q108" s="80">
        <f t="shared" si="7"/>
        <v>4514</v>
      </c>
      <c r="R108" s="76">
        <f t="shared" si="8"/>
        <v>1.4840680925360105E-2</v>
      </c>
      <c r="S108" s="78">
        <f t="shared" si="9"/>
        <v>172536</v>
      </c>
      <c r="T108" s="74">
        <f t="shared" si="10"/>
        <v>6233</v>
      </c>
      <c r="U108" s="74">
        <f t="shared" si="11"/>
        <v>166303</v>
      </c>
      <c r="V108" s="76">
        <f t="shared" si="12"/>
        <v>3.6125794037186444E-2</v>
      </c>
    </row>
    <row r="109" spans="1:22" x14ac:dyDescent="0.25">
      <c r="A109" s="74">
        <f t="shared" si="60"/>
        <v>107</v>
      </c>
      <c r="B109" s="75">
        <v>44303</v>
      </c>
      <c r="C109" s="74">
        <v>3570</v>
      </c>
      <c r="D109" s="74">
        <v>55572</v>
      </c>
      <c r="E109" s="74">
        <f t="shared" si="0"/>
        <v>59142</v>
      </c>
      <c r="F109" s="76">
        <f t="shared" si="1"/>
        <v>6.0363193669473472E-2</v>
      </c>
      <c r="G109" s="74">
        <v>2694</v>
      </c>
      <c r="H109" s="74">
        <v>113134</v>
      </c>
      <c r="I109" s="74">
        <f t="shared" si="71"/>
        <v>115828</v>
      </c>
      <c r="J109" s="85">
        <f t="shared" si="72"/>
        <v>2.3258624857547396E-2</v>
      </c>
      <c r="K109" s="74">
        <v>42</v>
      </c>
      <c r="L109" s="74">
        <v>974</v>
      </c>
      <c r="M109" s="78">
        <f t="shared" si="4"/>
        <v>1016</v>
      </c>
      <c r="N109" s="76">
        <f t="shared" si="5"/>
        <v>4.1338582677165357E-2</v>
      </c>
      <c r="O109" s="80">
        <f t="shared" ref="O109:P109" si="121">S109-S108</f>
        <v>3450</v>
      </c>
      <c r="P109" s="80">
        <f t="shared" si="121"/>
        <v>73</v>
      </c>
      <c r="Q109" s="80">
        <f t="shared" si="7"/>
        <v>3377</v>
      </c>
      <c r="R109" s="76">
        <f t="shared" si="8"/>
        <v>2.1159420289855072E-2</v>
      </c>
      <c r="S109" s="78">
        <f t="shared" si="9"/>
        <v>175986</v>
      </c>
      <c r="T109" s="74">
        <f t="shared" si="10"/>
        <v>6306</v>
      </c>
      <c r="U109" s="74">
        <f t="shared" si="11"/>
        <v>169680</v>
      </c>
      <c r="V109" s="76">
        <f t="shared" si="12"/>
        <v>3.5832395758753535E-2</v>
      </c>
    </row>
    <row r="110" spans="1:22" x14ac:dyDescent="0.25">
      <c r="A110" s="74">
        <f t="shared" si="60"/>
        <v>108</v>
      </c>
      <c r="B110" s="75">
        <v>44304</v>
      </c>
      <c r="C110" s="74">
        <v>3596</v>
      </c>
      <c r="D110" s="74">
        <v>56164</v>
      </c>
      <c r="E110" s="74">
        <f t="shared" si="0"/>
        <v>59760</v>
      </c>
      <c r="F110" s="76">
        <f t="shared" si="1"/>
        <v>6.0174029451137888E-2</v>
      </c>
      <c r="G110" s="74">
        <v>2756</v>
      </c>
      <c r="H110" s="74">
        <v>115455</v>
      </c>
      <c r="I110" s="74">
        <f t="shared" si="71"/>
        <v>118211</v>
      </c>
      <c r="J110" s="85">
        <f t="shared" si="72"/>
        <v>2.3314243175339013E-2</v>
      </c>
      <c r="K110" s="74">
        <v>42</v>
      </c>
      <c r="L110" s="74">
        <v>974</v>
      </c>
      <c r="M110" s="78">
        <f t="shared" si="4"/>
        <v>1016</v>
      </c>
      <c r="N110" s="76">
        <f t="shared" si="5"/>
        <v>4.1338582677165357E-2</v>
      </c>
      <c r="O110" s="80">
        <f t="shared" ref="O110:P110" si="122">S110-S109</f>
        <v>3001</v>
      </c>
      <c r="P110" s="80">
        <f t="shared" si="122"/>
        <v>88</v>
      </c>
      <c r="Q110" s="80">
        <f t="shared" si="7"/>
        <v>2913</v>
      </c>
      <c r="R110" s="76">
        <f t="shared" si="8"/>
        <v>2.9323558813728758E-2</v>
      </c>
      <c r="S110" s="78">
        <f t="shared" si="9"/>
        <v>178987</v>
      </c>
      <c r="T110" s="74">
        <f t="shared" si="10"/>
        <v>6394</v>
      </c>
      <c r="U110" s="74">
        <f t="shared" si="11"/>
        <v>172593</v>
      </c>
      <c r="V110" s="76">
        <f t="shared" si="12"/>
        <v>3.5723264818115281E-2</v>
      </c>
    </row>
    <row r="111" spans="1:22" x14ac:dyDescent="0.25">
      <c r="A111" s="74">
        <f t="shared" si="60"/>
        <v>109</v>
      </c>
      <c r="B111" s="75">
        <v>44305</v>
      </c>
      <c r="C111" s="74">
        <v>3604</v>
      </c>
      <c r="D111" s="74">
        <v>56605</v>
      </c>
      <c r="E111" s="74">
        <f t="shared" si="0"/>
        <v>60209</v>
      </c>
      <c r="F111" s="76">
        <f t="shared" si="1"/>
        <v>5.9858160740088692E-2</v>
      </c>
      <c r="G111" s="74">
        <v>2805</v>
      </c>
      <c r="H111" s="74">
        <v>117810</v>
      </c>
      <c r="I111" s="74">
        <f t="shared" si="71"/>
        <v>120615</v>
      </c>
      <c r="J111" s="85">
        <f t="shared" si="72"/>
        <v>2.3255813953488372E-2</v>
      </c>
      <c r="K111" s="74">
        <v>42</v>
      </c>
      <c r="L111" s="74">
        <v>974</v>
      </c>
      <c r="M111" s="78">
        <f t="shared" si="4"/>
        <v>1016</v>
      </c>
      <c r="N111" s="76">
        <f t="shared" si="5"/>
        <v>4.1338582677165357E-2</v>
      </c>
      <c r="O111" s="80">
        <f t="shared" ref="O111:P111" si="123">S111-S110</f>
        <v>2853</v>
      </c>
      <c r="P111" s="80">
        <f t="shared" si="123"/>
        <v>57</v>
      </c>
      <c r="Q111" s="80">
        <f t="shared" si="7"/>
        <v>2796</v>
      </c>
      <c r="R111" s="76">
        <f t="shared" si="8"/>
        <v>1.9978969505783387E-2</v>
      </c>
      <c r="S111" s="78">
        <f t="shared" si="9"/>
        <v>181840</v>
      </c>
      <c r="T111" s="74">
        <f t="shared" si="10"/>
        <v>6451</v>
      </c>
      <c r="U111" s="74">
        <f t="shared" si="11"/>
        <v>175389</v>
      </c>
      <c r="V111" s="76">
        <f t="shared" si="12"/>
        <v>3.5476242850857896E-2</v>
      </c>
    </row>
    <row r="112" spans="1:22" x14ac:dyDescent="0.25">
      <c r="A112" s="74">
        <f t="shared" si="60"/>
        <v>110</v>
      </c>
      <c r="B112" s="75">
        <v>44306</v>
      </c>
      <c r="C112" s="74">
        <v>3613</v>
      </c>
      <c r="D112" s="74">
        <v>56918</v>
      </c>
      <c r="E112" s="74">
        <f t="shared" si="0"/>
        <v>60531</v>
      </c>
      <c r="F112" s="76">
        <f t="shared" si="1"/>
        <v>5.9688424113264277E-2</v>
      </c>
      <c r="G112" s="74">
        <v>2882</v>
      </c>
      <c r="H112" s="74">
        <v>121337</v>
      </c>
      <c r="I112" s="74">
        <f t="shared" si="71"/>
        <v>124219</v>
      </c>
      <c r="J112" s="85">
        <f t="shared" si="72"/>
        <v>2.3200959595553017E-2</v>
      </c>
      <c r="K112" s="74">
        <v>42</v>
      </c>
      <c r="L112" s="74">
        <v>974</v>
      </c>
      <c r="M112" s="78">
        <f t="shared" si="4"/>
        <v>1016</v>
      </c>
      <c r="N112" s="76">
        <f t="shared" si="5"/>
        <v>4.1338582677165357E-2</v>
      </c>
      <c r="O112" s="80">
        <f t="shared" ref="O112:P112" si="124">S112-S111</f>
        <v>3926</v>
      </c>
      <c r="P112" s="80">
        <f t="shared" si="124"/>
        <v>86</v>
      </c>
      <c r="Q112" s="80">
        <f t="shared" si="7"/>
        <v>3840</v>
      </c>
      <c r="R112" s="76">
        <f t="shared" si="8"/>
        <v>2.1905247070809986E-2</v>
      </c>
      <c r="S112" s="78">
        <f t="shared" si="9"/>
        <v>185766</v>
      </c>
      <c r="T112" s="74">
        <f t="shared" si="10"/>
        <v>6537</v>
      </c>
      <c r="U112" s="74">
        <f t="shared" si="11"/>
        <v>179229</v>
      </c>
      <c r="V112" s="76">
        <f t="shared" si="12"/>
        <v>3.5189431865895807E-2</v>
      </c>
    </row>
    <row r="113" spans="1:22" x14ac:dyDescent="0.25">
      <c r="A113" s="74">
        <f t="shared" si="60"/>
        <v>111</v>
      </c>
      <c r="B113" s="75">
        <v>44307</v>
      </c>
      <c r="C113" s="74">
        <v>3635</v>
      </c>
      <c r="D113" s="74">
        <v>57331</v>
      </c>
      <c r="E113" s="74">
        <f t="shared" si="0"/>
        <v>60966</v>
      </c>
      <c r="F113" s="76">
        <f t="shared" si="1"/>
        <v>5.9623396647311616E-2</v>
      </c>
      <c r="G113" s="74">
        <v>2978</v>
      </c>
      <c r="H113" s="74">
        <v>126046</v>
      </c>
      <c r="I113" s="74">
        <f t="shared" si="71"/>
        <v>129024</v>
      </c>
      <c r="J113" s="85">
        <f t="shared" si="72"/>
        <v>2.3080977182539684E-2</v>
      </c>
      <c r="K113" s="74">
        <v>42</v>
      </c>
      <c r="L113" s="74">
        <v>974</v>
      </c>
      <c r="M113" s="78">
        <f t="shared" si="4"/>
        <v>1016</v>
      </c>
      <c r="N113" s="76">
        <f t="shared" si="5"/>
        <v>4.1338582677165357E-2</v>
      </c>
      <c r="O113" s="80">
        <f t="shared" ref="O113:P113" si="125">S113-S112</f>
        <v>5240</v>
      </c>
      <c r="P113" s="80">
        <f t="shared" si="125"/>
        <v>118</v>
      </c>
      <c r="Q113" s="80">
        <f t="shared" si="7"/>
        <v>5122</v>
      </c>
      <c r="R113" s="76">
        <f t="shared" si="8"/>
        <v>2.2519083969465649E-2</v>
      </c>
      <c r="S113" s="78">
        <f t="shared" si="9"/>
        <v>191006</v>
      </c>
      <c r="T113" s="74">
        <f t="shared" si="10"/>
        <v>6655</v>
      </c>
      <c r="U113" s="74">
        <f t="shared" si="11"/>
        <v>184351</v>
      </c>
      <c r="V113" s="76">
        <f t="shared" si="12"/>
        <v>3.4841837429190704E-2</v>
      </c>
    </row>
    <row r="114" spans="1:22" x14ac:dyDescent="0.25">
      <c r="A114" s="74">
        <f t="shared" si="60"/>
        <v>112</v>
      </c>
      <c r="B114" s="75">
        <v>44308</v>
      </c>
      <c r="C114" s="74">
        <v>3659</v>
      </c>
      <c r="D114" s="74">
        <v>57789</v>
      </c>
      <c r="E114" s="74">
        <f t="shared" si="0"/>
        <v>61448</v>
      </c>
      <c r="F114" s="76">
        <f t="shared" si="1"/>
        <v>5.9546283036063012E-2</v>
      </c>
      <c r="G114" s="74">
        <v>3042</v>
      </c>
      <c r="H114" s="74">
        <v>129868</v>
      </c>
      <c r="I114" s="74">
        <f t="shared" si="71"/>
        <v>132910</v>
      </c>
      <c r="J114" s="85">
        <f t="shared" si="72"/>
        <v>2.2887668347001729E-2</v>
      </c>
      <c r="K114" s="74">
        <v>42</v>
      </c>
      <c r="L114" s="74">
        <v>974</v>
      </c>
      <c r="M114" s="78">
        <f t="shared" si="4"/>
        <v>1016</v>
      </c>
      <c r="N114" s="76">
        <f t="shared" si="5"/>
        <v>4.1338582677165357E-2</v>
      </c>
      <c r="O114" s="80">
        <f t="shared" ref="O114:P114" si="126">S114-S113</f>
        <v>4368</v>
      </c>
      <c r="P114" s="80">
        <f t="shared" si="126"/>
        <v>88</v>
      </c>
      <c r="Q114" s="80">
        <f t="shared" si="7"/>
        <v>4280</v>
      </c>
      <c r="R114" s="76">
        <f t="shared" si="8"/>
        <v>2.0146520146520148E-2</v>
      </c>
      <c r="S114" s="78">
        <f t="shared" si="9"/>
        <v>195374</v>
      </c>
      <c r="T114" s="74">
        <f t="shared" si="10"/>
        <v>6743</v>
      </c>
      <c r="U114" s="74">
        <f t="shared" si="11"/>
        <v>188631</v>
      </c>
      <c r="V114" s="76">
        <f t="shared" si="12"/>
        <v>3.4513292454471933E-2</v>
      </c>
    </row>
    <row r="115" spans="1:22" x14ac:dyDescent="0.25">
      <c r="A115" s="74">
        <f t="shared" si="60"/>
        <v>113</v>
      </c>
      <c r="B115" s="75">
        <v>44309</v>
      </c>
      <c r="C115" s="74">
        <v>3666</v>
      </c>
      <c r="D115" s="74">
        <v>58225</v>
      </c>
      <c r="E115" s="74">
        <f t="shared" si="0"/>
        <v>61891</v>
      </c>
      <c r="F115" s="76">
        <f t="shared" si="1"/>
        <v>5.923316798888368E-2</v>
      </c>
      <c r="G115" s="74">
        <v>3104</v>
      </c>
      <c r="H115" s="74">
        <v>133206</v>
      </c>
      <c r="I115" s="74">
        <f t="shared" si="71"/>
        <v>136310</v>
      </c>
      <c r="J115" s="85">
        <f t="shared" si="72"/>
        <v>2.2771623505245395E-2</v>
      </c>
      <c r="K115" s="74">
        <v>42</v>
      </c>
      <c r="L115" s="74">
        <v>974</v>
      </c>
      <c r="M115" s="78">
        <f t="shared" si="4"/>
        <v>1016</v>
      </c>
      <c r="N115" s="76">
        <f t="shared" si="5"/>
        <v>4.1338582677165357E-2</v>
      </c>
      <c r="O115" s="80">
        <f t="shared" ref="O115:P115" si="127">S115-S114</f>
        <v>3843</v>
      </c>
      <c r="P115" s="80">
        <f t="shared" si="127"/>
        <v>69</v>
      </c>
      <c r="Q115" s="80">
        <f t="shared" si="7"/>
        <v>3774</v>
      </c>
      <c r="R115" s="76">
        <f t="shared" si="8"/>
        <v>1.7954722872755659E-2</v>
      </c>
      <c r="S115" s="78">
        <f t="shared" si="9"/>
        <v>199217</v>
      </c>
      <c r="T115" s="74">
        <f t="shared" si="10"/>
        <v>6812</v>
      </c>
      <c r="U115" s="74">
        <f t="shared" si="11"/>
        <v>192405</v>
      </c>
      <c r="V115" s="76">
        <f t="shared" si="12"/>
        <v>3.419386899712374E-2</v>
      </c>
    </row>
    <row r="116" spans="1:22" x14ac:dyDescent="0.25">
      <c r="A116" s="74">
        <f t="shared" si="60"/>
        <v>114</v>
      </c>
      <c r="B116" s="75">
        <v>44310</v>
      </c>
      <c r="C116" s="74">
        <v>3682</v>
      </c>
      <c r="D116" s="74">
        <v>58939</v>
      </c>
      <c r="E116" s="74">
        <f t="shared" si="0"/>
        <v>62621</v>
      </c>
      <c r="F116" s="76">
        <f t="shared" si="1"/>
        <v>5.8798166749173597E-2</v>
      </c>
      <c r="G116" s="74">
        <v>3195</v>
      </c>
      <c r="H116" s="74">
        <v>136901</v>
      </c>
      <c r="I116" s="74">
        <f t="shared" si="71"/>
        <v>140096</v>
      </c>
      <c r="J116" s="85">
        <f t="shared" si="72"/>
        <v>2.2805790315212425E-2</v>
      </c>
      <c r="K116" s="74">
        <v>42</v>
      </c>
      <c r="L116" s="74">
        <v>974</v>
      </c>
      <c r="M116" s="78">
        <f t="shared" si="4"/>
        <v>1016</v>
      </c>
      <c r="N116" s="76">
        <f t="shared" si="5"/>
        <v>4.1338582677165357E-2</v>
      </c>
      <c r="O116" s="80">
        <f t="shared" ref="O116:P116" si="128">S116-S115</f>
        <v>4516</v>
      </c>
      <c r="P116" s="80">
        <f t="shared" si="128"/>
        <v>107</v>
      </c>
      <c r="Q116" s="80">
        <f t="shared" si="7"/>
        <v>4409</v>
      </c>
      <c r="R116" s="76">
        <f t="shared" si="8"/>
        <v>2.3693534100974314E-2</v>
      </c>
      <c r="S116" s="78">
        <f t="shared" si="9"/>
        <v>203733</v>
      </c>
      <c r="T116" s="74">
        <f t="shared" si="10"/>
        <v>6919</v>
      </c>
      <c r="U116" s="74">
        <f t="shared" si="11"/>
        <v>196814</v>
      </c>
      <c r="V116" s="76">
        <f t="shared" si="12"/>
        <v>3.3961115774076858E-2</v>
      </c>
    </row>
    <row r="117" spans="1:22" x14ac:dyDescent="0.25">
      <c r="A117" s="74">
        <f t="shared" si="60"/>
        <v>115</v>
      </c>
      <c r="B117" s="75">
        <v>44311</v>
      </c>
      <c r="C117" s="74">
        <v>3713</v>
      </c>
      <c r="D117" s="74">
        <v>59525</v>
      </c>
      <c r="E117" s="74">
        <f t="shared" si="0"/>
        <v>63238</v>
      </c>
      <c r="F117" s="76">
        <f t="shared" si="1"/>
        <v>5.8714696859483224E-2</v>
      </c>
      <c r="G117" s="74">
        <v>3230</v>
      </c>
      <c r="H117" s="74">
        <v>139133</v>
      </c>
      <c r="I117" s="74">
        <f t="shared" si="71"/>
        <v>142363</v>
      </c>
      <c r="J117" s="85">
        <f t="shared" si="72"/>
        <v>2.2688479450418998E-2</v>
      </c>
      <c r="K117" s="74">
        <v>42</v>
      </c>
      <c r="L117" s="74">
        <v>974</v>
      </c>
      <c r="M117" s="78">
        <f t="shared" si="4"/>
        <v>1016</v>
      </c>
      <c r="N117" s="76">
        <f t="shared" si="5"/>
        <v>4.1338582677165357E-2</v>
      </c>
      <c r="O117" s="80">
        <f t="shared" ref="O117:P117" si="129">S117-S116</f>
        <v>2884</v>
      </c>
      <c r="P117" s="80">
        <f t="shared" si="129"/>
        <v>66</v>
      </c>
      <c r="Q117" s="80">
        <f t="shared" si="7"/>
        <v>2818</v>
      </c>
      <c r="R117" s="76">
        <f t="shared" si="8"/>
        <v>2.2884882108183079E-2</v>
      </c>
      <c r="S117" s="78">
        <f t="shared" si="9"/>
        <v>206617</v>
      </c>
      <c r="T117" s="74">
        <f t="shared" si="10"/>
        <v>6985</v>
      </c>
      <c r="U117" s="74">
        <f t="shared" si="11"/>
        <v>199632</v>
      </c>
      <c r="V117" s="76">
        <f t="shared" si="12"/>
        <v>3.3806511564876074E-2</v>
      </c>
    </row>
    <row r="118" spans="1:22" x14ac:dyDescent="0.25">
      <c r="A118" s="74">
        <f t="shared" si="60"/>
        <v>116</v>
      </c>
      <c r="B118" s="75">
        <v>44312</v>
      </c>
      <c r="C118" s="74">
        <v>3728</v>
      </c>
      <c r="D118" s="74">
        <v>59963</v>
      </c>
      <c r="E118" s="74">
        <f t="shared" si="0"/>
        <v>63691</v>
      </c>
      <c r="F118" s="76">
        <f t="shared" si="1"/>
        <v>5.8532602722519665E-2</v>
      </c>
      <c r="G118" s="74">
        <v>3260</v>
      </c>
      <c r="H118" s="74">
        <v>141133</v>
      </c>
      <c r="I118" s="74">
        <f t="shared" si="71"/>
        <v>144393</v>
      </c>
      <c r="J118" s="85">
        <f t="shared" si="72"/>
        <v>2.2577271751400691E-2</v>
      </c>
      <c r="K118" s="74">
        <v>42</v>
      </c>
      <c r="L118" s="74">
        <v>974</v>
      </c>
      <c r="M118" s="78">
        <f t="shared" si="4"/>
        <v>1016</v>
      </c>
      <c r="N118" s="76">
        <f t="shared" si="5"/>
        <v>4.1338582677165357E-2</v>
      </c>
      <c r="O118" s="80">
        <f t="shared" ref="O118:P118" si="130">S118-S117</f>
        <v>2483</v>
      </c>
      <c r="P118" s="80">
        <f t="shared" si="130"/>
        <v>45</v>
      </c>
      <c r="Q118" s="80">
        <f t="shared" si="7"/>
        <v>2438</v>
      </c>
      <c r="R118" s="76">
        <f t="shared" si="8"/>
        <v>1.8123238018525976E-2</v>
      </c>
      <c r="S118" s="78">
        <f t="shared" si="9"/>
        <v>209100</v>
      </c>
      <c r="T118" s="74">
        <f t="shared" si="10"/>
        <v>7030</v>
      </c>
      <c r="U118" s="74">
        <f t="shared" si="11"/>
        <v>202070</v>
      </c>
      <c r="V118" s="76">
        <f t="shared" si="12"/>
        <v>3.3620277379244383E-2</v>
      </c>
    </row>
    <row r="119" spans="1:22" x14ac:dyDescent="0.25">
      <c r="A119" s="74">
        <f t="shared" si="60"/>
        <v>117</v>
      </c>
      <c r="B119" s="75">
        <v>44313</v>
      </c>
      <c r="C119" s="74">
        <v>3747</v>
      </c>
      <c r="D119" s="74">
        <v>60543</v>
      </c>
      <c r="E119" s="74">
        <f t="shared" si="0"/>
        <v>64290</v>
      </c>
      <c r="F119" s="76">
        <f t="shared" si="1"/>
        <v>5.8282781147923471E-2</v>
      </c>
      <c r="G119" s="74">
        <v>3326</v>
      </c>
      <c r="H119" s="74">
        <v>146265</v>
      </c>
      <c r="I119" s="74">
        <f t="shared" si="71"/>
        <v>149591</v>
      </c>
      <c r="J119" s="85">
        <f t="shared" si="72"/>
        <v>2.2233957925276254E-2</v>
      </c>
      <c r="K119" s="74">
        <v>42</v>
      </c>
      <c r="L119" s="74">
        <v>974</v>
      </c>
      <c r="M119" s="78">
        <f t="shared" si="4"/>
        <v>1016</v>
      </c>
      <c r="N119" s="76">
        <f t="shared" si="5"/>
        <v>4.1338582677165357E-2</v>
      </c>
      <c r="O119" s="80">
        <f t="shared" ref="O119:P119" si="131">S119-S118</f>
        <v>5797</v>
      </c>
      <c r="P119" s="80">
        <f t="shared" si="131"/>
        <v>85</v>
      </c>
      <c r="Q119" s="80">
        <f t="shared" si="7"/>
        <v>5712</v>
      </c>
      <c r="R119" s="76">
        <f t="shared" si="8"/>
        <v>1.466275659824047E-2</v>
      </c>
      <c r="S119" s="78">
        <f t="shared" si="9"/>
        <v>214897</v>
      </c>
      <c r="T119" s="74">
        <f t="shared" si="10"/>
        <v>7115</v>
      </c>
      <c r="U119" s="74">
        <f t="shared" si="11"/>
        <v>207782</v>
      </c>
      <c r="V119" s="76">
        <f t="shared" si="12"/>
        <v>3.3108884721517753E-2</v>
      </c>
    </row>
    <row r="120" spans="1:22" x14ac:dyDescent="0.25">
      <c r="A120" s="74">
        <f t="shared" si="60"/>
        <v>118</v>
      </c>
      <c r="B120" s="75">
        <v>44314</v>
      </c>
      <c r="C120" s="74">
        <v>3763</v>
      </c>
      <c r="D120" s="74">
        <v>61329</v>
      </c>
      <c r="E120" s="74">
        <f t="shared" si="0"/>
        <v>65092</v>
      </c>
      <c r="F120" s="76">
        <f t="shared" si="1"/>
        <v>5.7810483623179497E-2</v>
      </c>
      <c r="G120" s="74">
        <v>3387</v>
      </c>
      <c r="H120" s="74">
        <v>150467</v>
      </c>
      <c r="I120" s="74">
        <f t="shared" si="71"/>
        <v>153854</v>
      </c>
      <c r="J120" s="85">
        <f t="shared" si="72"/>
        <v>2.2014377266759394E-2</v>
      </c>
      <c r="K120" s="74">
        <v>42</v>
      </c>
      <c r="L120" s="74">
        <v>974</v>
      </c>
      <c r="M120" s="78">
        <f t="shared" si="4"/>
        <v>1016</v>
      </c>
      <c r="N120" s="76">
        <f t="shared" si="5"/>
        <v>4.1338582677165357E-2</v>
      </c>
      <c r="O120" s="80">
        <f t="shared" ref="O120:P120" si="132">S120-S119</f>
        <v>5065</v>
      </c>
      <c r="P120" s="80">
        <f t="shared" si="132"/>
        <v>77</v>
      </c>
      <c r="Q120" s="80">
        <f t="shared" si="7"/>
        <v>4988</v>
      </c>
      <c r="R120" s="76">
        <f t="shared" si="8"/>
        <v>1.5202369200394866E-2</v>
      </c>
      <c r="S120" s="78">
        <f t="shared" si="9"/>
        <v>219962</v>
      </c>
      <c r="T120" s="74">
        <f t="shared" si="10"/>
        <v>7192</v>
      </c>
      <c r="U120" s="74">
        <f t="shared" si="11"/>
        <v>212770</v>
      </c>
      <c r="V120" s="76">
        <f t="shared" si="12"/>
        <v>3.2696556677971653E-2</v>
      </c>
    </row>
    <row r="121" spans="1:22" x14ac:dyDescent="0.25">
      <c r="A121" s="74">
        <f t="shared" si="60"/>
        <v>119</v>
      </c>
      <c r="B121" s="75">
        <v>44315</v>
      </c>
      <c r="C121" s="74">
        <v>3789</v>
      </c>
      <c r="D121" s="74">
        <v>62183</v>
      </c>
      <c r="E121" s="74">
        <f t="shared" si="0"/>
        <v>65972</v>
      </c>
      <c r="F121" s="76">
        <f t="shared" si="1"/>
        <v>5.7433456617959136E-2</v>
      </c>
      <c r="G121" s="74">
        <v>3436</v>
      </c>
      <c r="H121" s="74">
        <v>154321</v>
      </c>
      <c r="I121" s="74">
        <f t="shared" si="71"/>
        <v>157757</v>
      </c>
      <c r="J121" s="85">
        <f t="shared" si="72"/>
        <v>2.1780333043858593E-2</v>
      </c>
      <c r="K121" s="74">
        <v>42</v>
      </c>
      <c r="L121" s="74">
        <v>974</v>
      </c>
      <c r="M121" s="78">
        <f t="shared" si="4"/>
        <v>1016</v>
      </c>
      <c r="N121" s="76">
        <f t="shared" si="5"/>
        <v>4.1338582677165357E-2</v>
      </c>
      <c r="O121" s="80">
        <f t="shared" ref="O121:P121" si="133">S121-S120</f>
        <v>4783</v>
      </c>
      <c r="P121" s="80">
        <f t="shared" si="133"/>
        <v>75</v>
      </c>
      <c r="Q121" s="80">
        <f t="shared" si="7"/>
        <v>4708</v>
      </c>
      <c r="R121" s="76">
        <f t="shared" si="8"/>
        <v>1.5680535228935814E-2</v>
      </c>
      <c r="S121" s="78">
        <f t="shared" si="9"/>
        <v>224745</v>
      </c>
      <c r="T121" s="74">
        <f t="shared" si="10"/>
        <v>7267</v>
      </c>
      <c r="U121" s="74">
        <f t="shared" si="11"/>
        <v>217478</v>
      </c>
      <c r="V121" s="76">
        <f t="shared" si="12"/>
        <v>3.23344234576965E-2</v>
      </c>
    </row>
    <row r="122" spans="1:22" x14ac:dyDescent="0.25">
      <c r="A122" s="74">
        <f t="shared" si="60"/>
        <v>120</v>
      </c>
      <c r="B122" s="75">
        <v>44316</v>
      </c>
      <c r="C122" s="74">
        <v>3806</v>
      </c>
      <c r="D122" s="74">
        <v>62954</v>
      </c>
      <c r="E122" s="74">
        <f t="shared" si="0"/>
        <v>66760</v>
      </c>
      <c r="F122" s="76">
        <f t="shared" si="1"/>
        <v>5.7010185739964053E-2</v>
      </c>
      <c r="G122" s="74">
        <v>3495</v>
      </c>
      <c r="H122" s="74">
        <v>158231</v>
      </c>
      <c r="I122" s="74">
        <f t="shared" si="71"/>
        <v>161726</v>
      </c>
      <c r="J122" s="85">
        <f t="shared" si="72"/>
        <v>2.1610625378726982E-2</v>
      </c>
      <c r="K122" s="74">
        <v>42</v>
      </c>
      <c r="L122" s="74">
        <v>974</v>
      </c>
      <c r="M122" s="78">
        <f t="shared" si="4"/>
        <v>1016</v>
      </c>
      <c r="N122" s="76">
        <f t="shared" si="5"/>
        <v>4.1338582677165357E-2</v>
      </c>
      <c r="O122" s="80">
        <f t="shared" ref="O122:P122" si="134">S122-S121</f>
        <v>4757</v>
      </c>
      <c r="P122" s="80">
        <f t="shared" si="134"/>
        <v>76</v>
      </c>
      <c r="Q122" s="80">
        <f t="shared" si="7"/>
        <v>4681</v>
      </c>
      <c r="R122" s="76">
        <f t="shared" si="8"/>
        <v>1.5976455749421904E-2</v>
      </c>
      <c r="S122" s="78">
        <f t="shared" si="9"/>
        <v>229502</v>
      </c>
      <c r="T122" s="74">
        <f t="shared" si="10"/>
        <v>7343</v>
      </c>
      <c r="U122" s="74">
        <f t="shared" si="11"/>
        <v>222159</v>
      </c>
      <c r="V122" s="76">
        <f t="shared" si="12"/>
        <v>3.1995363874824621E-2</v>
      </c>
    </row>
    <row r="123" spans="1:22" x14ac:dyDescent="0.25">
      <c r="A123" s="74">
        <f t="shared" si="60"/>
        <v>121</v>
      </c>
      <c r="B123" s="75">
        <v>44317</v>
      </c>
      <c r="C123" s="74">
        <v>3833</v>
      </c>
      <c r="D123" s="74">
        <v>63743</v>
      </c>
      <c r="E123" s="74">
        <f t="shared" si="0"/>
        <v>67576</v>
      </c>
      <c r="F123" s="76">
        <f t="shared" si="1"/>
        <v>5.6721321179116845E-2</v>
      </c>
      <c r="G123" s="74">
        <v>3542</v>
      </c>
      <c r="H123" s="74">
        <v>162513</v>
      </c>
      <c r="I123" s="74">
        <f t="shared" si="71"/>
        <v>166055</v>
      </c>
      <c r="J123" s="85">
        <f t="shared" si="72"/>
        <v>2.1330282135437053E-2</v>
      </c>
      <c r="K123" s="74">
        <v>42</v>
      </c>
      <c r="L123" s="74">
        <v>974</v>
      </c>
      <c r="M123" s="78">
        <f t="shared" si="4"/>
        <v>1016</v>
      </c>
      <c r="N123" s="76">
        <f t="shared" si="5"/>
        <v>4.1338582677165357E-2</v>
      </c>
      <c r="O123" s="80">
        <f t="shared" ref="O123:P123" si="135">S123-S122</f>
        <v>5145</v>
      </c>
      <c r="P123" s="80">
        <f t="shared" si="135"/>
        <v>74</v>
      </c>
      <c r="Q123" s="80">
        <f t="shared" si="7"/>
        <v>5071</v>
      </c>
      <c r="R123" s="76">
        <f t="shared" si="8"/>
        <v>1.4382896015549077E-2</v>
      </c>
      <c r="S123" s="78">
        <f t="shared" si="9"/>
        <v>234647</v>
      </c>
      <c r="T123" s="74">
        <f t="shared" si="10"/>
        <v>7417</v>
      </c>
      <c r="U123" s="74">
        <f t="shared" si="11"/>
        <v>227230</v>
      </c>
      <c r="V123" s="76">
        <f t="shared" si="12"/>
        <v>3.1609183155974718E-2</v>
      </c>
    </row>
    <row r="124" spans="1:22" x14ac:dyDescent="0.25">
      <c r="A124" s="74">
        <f t="shared" si="60"/>
        <v>122</v>
      </c>
      <c r="B124" s="75">
        <v>44318</v>
      </c>
      <c r="C124" s="74">
        <v>3845</v>
      </c>
      <c r="D124" s="74">
        <v>64314</v>
      </c>
      <c r="E124" s="74">
        <f t="shared" si="0"/>
        <v>68159</v>
      </c>
      <c r="F124" s="76">
        <f t="shared" si="1"/>
        <v>5.6412212620490322E-2</v>
      </c>
      <c r="G124" s="74">
        <v>3562</v>
      </c>
      <c r="H124" s="74">
        <v>164403</v>
      </c>
      <c r="I124" s="74">
        <f t="shared" si="71"/>
        <v>167965</v>
      </c>
      <c r="J124" s="85">
        <f t="shared" si="72"/>
        <v>2.1206799035513351E-2</v>
      </c>
      <c r="K124" s="74">
        <v>42</v>
      </c>
      <c r="L124" s="74">
        <v>974</v>
      </c>
      <c r="M124" s="78">
        <f t="shared" si="4"/>
        <v>1016</v>
      </c>
      <c r="N124" s="76">
        <f t="shared" si="5"/>
        <v>4.1338582677165357E-2</v>
      </c>
      <c r="O124" s="80">
        <f t="shared" ref="O124:P124" si="136">S124-S123</f>
        <v>2493</v>
      </c>
      <c r="P124" s="80">
        <f t="shared" si="136"/>
        <v>32</v>
      </c>
      <c r="Q124" s="80">
        <f t="shared" si="7"/>
        <v>2461</v>
      </c>
      <c r="R124" s="76">
        <f t="shared" si="8"/>
        <v>1.2835940633774568E-2</v>
      </c>
      <c r="S124" s="78">
        <f t="shared" si="9"/>
        <v>237140</v>
      </c>
      <c r="T124" s="74">
        <f t="shared" si="10"/>
        <v>7449</v>
      </c>
      <c r="U124" s="74">
        <f t="shared" si="11"/>
        <v>229691</v>
      </c>
      <c r="V124" s="76">
        <f t="shared" si="12"/>
        <v>3.1411824238846253E-2</v>
      </c>
    </row>
    <row r="125" spans="1:22" x14ac:dyDescent="0.25">
      <c r="A125" s="74">
        <f t="shared" si="60"/>
        <v>123</v>
      </c>
      <c r="B125" s="75">
        <v>44319</v>
      </c>
      <c r="C125" s="74">
        <v>3850</v>
      </c>
      <c r="D125" s="74">
        <v>64780</v>
      </c>
      <c r="E125" s="74">
        <f t="shared" si="0"/>
        <v>68630</v>
      </c>
      <c r="F125" s="76">
        <f t="shared" si="1"/>
        <v>5.6097916363106515E-2</v>
      </c>
      <c r="G125" s="74">
        <v>3601</v>
      </c>
      <c r="H125" s="74">
        <v>167271</v>
      </c>
      <c r="I125" s="74">
        <f t="shared" si="71"/>
        <v>170872</v>
      </c>
      <c r="J125" s="85">
        <f t="shared" si="72"/>
        <v>2.1074254412659768E-2</v>
      </c>
      <c r="K125" s="74">
        <v>42</v>
      </c>
      <c r="L125" s="74">
        <v>974</v>
      </c>
      <c r="M125" s="78">
        <f t="shared" si="4"/>
        <v>1016</v>
      </c>
      <c r="N125" s="76">
        <f t="shared" si="5"/>
        <v>4.1338582677165357E-2</v>
      </c>
      <c r="O125" s="80">
        <f t="shared" ref="O125:P125" si="137">S125-S124</f>
        <v>3378</v>
      </c>
      <c r="P125" s="80">
        <f t="shared" si="137"/>
        <v>44</v>
      </c>
      <c r="Q125" s="80">
        <f t="shared" si="7"/>
        <v>3334</v>
      </c>
      <c r="R125" s="76">
        <f t="shared" si="8"/>
        <v>1.3025458851391355E-2</v>
      </c>
      <c r="S125" s="78">
        <f t="shared" si="9"/>
        <v>240518</v>
      </c>
      <c r="T125" s="74">
        <f t="shared" si="10"/>
        <v>7493</v>
      </c>
      <c r="U125" s="74">
        <f t="shared" si="11"/>
        <v>233025</v>
      </c>
      <c r="V125" s="76">
        <f t="shared" si="12"/>
        <v>3.1153593494042026E-2</v>
      </c>
    </row>
    <row r="126" spans="1:22" x14ac:dyDescent="0.25">
      <c r="A126" s="74">
        <f t="shared" si="60"/>
        <v>124</v>
      </c>
      <c r="B126" s="75">
        <v>44320</v>
      </c>
      <c r="C126" s="74">
        <v>3864</v>
      </c>
      <c r="D126" s="74">
        <v>65381</v>
      </c>
      <c r="E126" s="74">
        <f t="shared" si="0"/>
        <v>69245</v>
      </c>
      <c r="F126" s="76">
        <f t="shared" si="1"/>
        <v>5.5801862950393528E-2</v>
      </c>
      <c r="G126" s="74">
        <v>3662</v>
      </c>
      <c r="H126" s="74">
        <v>171270</v>
      </c>
      <c r="I126" s="74">
        <f t="shared" si="71"/>
        <v>174932</v>
      </c>
      <c r="J126" s="85">
        <f t="shared" si="72"/>
        <v>2.0933848581162966E-2</v>
      </c>
      <c r="K126" s="74">
        <v>42</v>
      </c>
      <c r="L126" s="74">
        <v>974</v>
      </c>
      <c r="M126" s="78">
        <f t="shared" si="4"/>
        <v>1016</v>
      </c>
      <c r="N126" s="76">
        <f t="shared" si="5"/>
        <v>4.1338582677165357E-2</v>
      </c>
      <c r="O126" s="80">
        <f t="shared" ref="O126:P126" si="138">S126-S125</f>
        <v>4675</v>
      </c>
      <c r="P126" s="80">
        <f t="shared" si="138"/>
        <v>75</v>
      </c>
      <c r="Q126" s="80">
        <f t="shared" si="7"/>
        <v>4600</v>
      </c>
      <c r="R126" s="76">
        <f t="shared" si="8"/>
        <v>1.6042780748663103E-2</v>
      </c>
      <c r="S126" s="78">
        <f t="shared" si="9"/>
        <v>245193</v>
      </c>
      <c r="T126" s="74">
        <f t="shared" si="10"/>
        <v>7568</v>
      </c>
      <c r="U126" s="74">
        <f t="shared" si="11"/>
        <v>237625</v>
      </c>
      <c r="V126" s="76">
        <f t="shared" si="12"/>
        <v>3.086548147785622E-2</v>
      </c>
    </row>
    <row r="127" spans="1:22" x14ac:dyDescent="0.25">
      <c r="A127" s="74">
        <f t="shared" si="60"/>
        <v>125</v>
      </c>
      <c r="B127" s="75">
        <v>44321</v>
      </c>
      <c r="C127" s="74">
        <v>3878</v>
      </c>
      <c r="D127" s="74">
        <v>65977</v>
      </c>
      <c r="E127" s="74">
        <f t="shared" si="0"/>
        <v>69855</v>
      </c>
      <c r="F127" s="76">
        <f t="shared" si="1"/>
        <v>5.551499534750555E-2</v>
      </c>
      <c r="G127" s="74">
        <v>3716</v>
      </c>
      <c r="H127" s="74">
        <v>175645</v>
      </c>
      <c r="I127" s="74">
        <f t="shared" si="71"/>
        <v>179361</v>
      </c>
      <c r="J127" s="85">
        <f t="shared" si="72"/>
        <v>2.0717993320733048E-2</v>
      </c>
      <c r="K127" s="74">
        <v>42</v>
      </c>
      <c r="L127" s="74">
        <v>974</v>
      </c>
      <c r="M127" s="78">
        <f t="shared" si="4"/>
        <v>1016</v>
      </c>
      <c r="N127" s="76">
        <f t="shared" si="5"/>
        <v>4.1338582677165357E-2</v>
      </c>
      <c r="O127" s="80">
        <f t="shared" ref="O127:P127" si="139">S127-S126</f>
        <v>5039</v>
      </c>
      <c r="P127" s="80">
        <f t="shared" si="139"/>
        <v>68</v>
      </c>
      <c r="Q127" s="80">
        <f t="shared" si="7"/>
        <v>4971</v>
      </c>
      <c r="R127" s="76">
        <f t="shared" si="8"/>
        <v>1.3494741020043659E-2</v>
      </c>
      <c r="S127" s="78">
        <f t="shared" si="9"/>
        <v>250232</v>
      </c>
      <c r="T127" s="74">
        <f t="shared" si="10"/>
        <v>7636</v>
      </c>
      <c r="U127" s="74">
        <f t="shared" si="11"/>
        <v>242596</v>
      </c>
      <c r="V127" s="76">
        <f t="shared" si="12"/>
        <v>3.0515681447616613E-2</v>
      </c>
    </row>
    <row r="128" spans="1:22" x14ac:dyDescent="0.25">
      <c r="A128" s="74">
        <f t="shared" si="60"/>
        <v>126</v>
      </c>
      <c r="B128" s="75">
        <v>44322</v>
      </c>
      <c r="C128" s="74">
        <v>3889</v>
      </c>
      <c r="D128" s="74">
        <v>66418</v>
      </c>
      <c r="E128" s="74">
        <f t="shared" si="0"/>
        <v>70307</v>
      </c>
      <c r="F128" s="76">
        <f t="shared" si="1"/>
        <v>5.5314549049170068E-2</v>
      </c>
      <c r="G128" s="74">
        <v>3766</v>
      </c>
      <c r="H128" s="74">
        <v>178987</v>
      </c>
      <c r="I128" s="74">
        <f t="shared" si="71"/>
        <v>182753</v>
      </c>
      <c r="J128" s="85">
        <f t="shared" si="72"/>
        <v>2.0607048858295077E-2</v>
      </c>
      <c r="K128" s="74">
        <v>42</v>
      </c>
      <c r="L128" s="74">
        <v>974</v>
      </c>
      <c r="M128" s="78">
        <f t="shared" si="4"/>
        <v>1016</v>
      </c>
      <c r="N128" s="76">
        <f t="shared" si="5"/>
        <v>4.1338582677165357E-2</v>
      </c>
      <c r="O128" s="80">
        <f t="shared" ref="O128:P128" si="140">S128-S127</f>
        <v>3844</v>
      </c>
      <c r="P128" s="80">
        <f t="shared" si="140"/>
        <v>61</v>
      </c>
      <c r="Q128" s="80">
        <f t="shared" si="7"/>
        <v>3783</v>
      </c>
      <c r="R128" s="76">
        <f t="shared" si="8"/>
        <v>1.5868886576482829E-2</v>
      </c>
      <c r="S128" s="78">
        <f t="shared" si="9"/>
        <v>254076</v>
      </c>
      <c r="T128" s="74">
        <f t="shared" si="10"/>
        <v>7697</v>
      </c>
      <c r="U128" s="74">
        <f t="shared" si="11"/>
        <v>246379</v>
      </c>
      <c r="V128" s="76">
        <f t="shared" si="12"/>
        <v>3.0294085234339331E-2</v>
      </c>
    </row>
    <row r="129" spans="1:22" x14ac:dyDescent="0.25">
      <c r="A129" s="74">
        <f t="shared" si="60"/>
        <v>127</v>
      </c>
      <c r="B129" s="75">
        <v>44323</v>
      </c>
      <c r="C129" s="74">
        <v>3898</v>
      </c>
      <c r="D129" s="74">
        <v>67019</v>
      </c>
      <c r="E129" s="74">
        <f t="shared" si="0"/>
        <v>70917</v>
      </c>
      <c r="F129" s="76">
        <f t="shared" si="1"/>
        <v>5.4965664086185258E-2</v>
      </c>
      <c r="G129" s="74">
        <v>3843</v>
      </c>
      <c r="H129" s="74">
        <v>183749</v>
      </c>
      <c r="I129" s="74">
        <f t="shared" si="71"/>
        <v>187592</v>
      </c>
      <c r="J129" s="85">
        <f t="shared" si="72"/>
        <v>2.0485948228069428E-2</v>
      </c>
      <c r="K129" s="74">
        <v>42</v>
      </c>
      <c r="L129" s="74">
        <v>974</v>
      </c>
      <c r="M129" s="78">
        <f t="shared" si="4"/>
        <v>1016</v>
      </c>
      <c r="N129" s="76">
        <f t="shared" si="5"/>
        <v>4.1338582677165357E-2</v>
      </c>
      <c r="O129" s="80">
        <f t="shared" ref="O129:P129" si="141">S129-S128</f>
        <v>5449</v>
      </c>
      <c r="P129" s="80">
        <f t="shared" si="141"/>
        <v>86</v>
      </c>
      <c r="Q129" s="80">
        <f t="shared" si="7"/>
        <v>5363</v>
      </c>
      <c r="R129" s="76">
        <f t="shared" si="8"/>
        <v>1.5782712424298035E-2</v>
      </c>
      <c r="S129" s="78">
        <f t="shared" si="9"/>
        <v>259525</v>
      </c>
      <c r="T129" s="74">
        <f t="shared" si="10"/>
        <v>7783</v>
      </c>
      <c r="U129" s="74">
        <f t="shared" si="11"/>
        <v>251742</v>
      </c>
      <c r="V129" s="76">
        <f t="shared" si="12"/>
        <v>2.9989403718331566E-2</v>
      </c>
    </row>
    <row r="130" spans="1:22" x14ac:dyDescent="0.25">
      <c r="A130" s="74">
        <f t="shared" si="60"/>
        <v>128</v>
      </c>
      <c r="B130" s="75">
        <v>44324</v>
      </c>
      <c r="C130" s="74">
        <v>3911</v>
      </c>
      <c r="D130" s="74">
        <v>67613</v>
      </c>
      <c r="E130" s="74">
        <f t="shared" si="0"/>
        <v>71524</v>
      </c>
      <c r="F130" s="76">
        <f t="shared" si="1"/>
        <v>5.4680946255802249E-2</v>
      </c>
      <c r="G130" s="74">
        <v>3912</v>
      </c>
      <c r="H130" s="74">
        <v>187852</v>
      </c>
      <c r="I130" s="74">
        <f t="shared" si="71"/>
        <v>191764</v>
      </c>
      <c r="J130" s="85">
        <f t="shared" si="72"/>
        <v>2.0400075092300952E-2</v>
      </c>
      <c r="K130" s="74">
        <v>42</v>
      </c>
      <c r="L130" s="74">
        <v>974</v>
      </c>
      <c r="M130" s="78">
        <f t="shared" si="4"/>
        <v>1016</v>
      </c>
      <c r="N130" s="76">
        <f t="shared" si="5"/>
        <v>4.1338582677165357E-2</v>
      </c>
      <c r="O130" s="80">
        <f t="shared" ref="O130:P130" si="142">S130-S129</f>
        <v>4779</v>
      </c>
      <c r="P130" s="80">
        <f t="shared" si="142"/>
        <v>82</v>
      </c>
      <c r="Q130" s="80">
        <f t="shared" si="7"/>
        <v>4697</v>
      </c>
      <c r="R130" s="76">
        <f t="shared" si="8"/>
        <v>1.7158401339192299E-2</v>
      </c>
      <c r="S130" s="78">
        <f t="shared" si="9"/>
        <v>264304</v>
      </c>
      <c r="T130" s="74">
        <f t="shared" si="10"/>
        <v>7865</v>
      </c>
      <c r="U130" s="74">
        <f t="shared" si="11"/>
        <v>256439</v>
      </c>
      <c r="V130" s="76">
        <f t="shared" si="12"/>
        <v>2.9757400569041709E-2</v>
      </c>
    </row>
    <row r="131" spans="1:22" x14ac:dyDescent="0.25">
      <c r="A131" s="74">
        <f t="shared" si="60"/>
        <v>129</v>
      </c>
      <c r="B131" s="75">
        <v>44325</v>
      </c>
      <c r="C131" s="74">
        <v>3928</v>
      </c>
      <c r="D131" s="74">
        <v>68120</v>
      </c>
      <c r="E131" s="74">
        <f t="shared" si="0"/>
        <v>72048</v>
      </c>
      <c r="F131" s="76">
        <f t="shared" si="1"/>
        <v>5.4519209415944923E-2</v>
      </c>
      <c r="G131" s="74">
        <v>3950</v>
      </c>
      <c r="H131" s="74">
        <v>189766</v>
      </c>
      <c r="I131" s="74">
        <f t="shared" si="71"/>
        <v>193716</v>
      </c>
      <c r="J131" s="85">
        <f t="shared" si="72"/>
        <v>2.0390675008775734E-2</v>
      </c>
      <c r="K131" s="74">
        <v>42</v>
      </c>
      <c r="L131" s="74">
        <v>974</v>
      </c>
      <c r="M131" s="78">
        <f t="shared" si="4"/>
        <v>1016</v>
      </c>
      <c r="N131" s="76">
        <f t="shared" si="5"/>
        <v>4.1338582677165357E-2</v>
      </c>
      <c r="O131" s="80">
        <f t="shared" ref="O131:P131" si="143">S131-S130</f>
        <v>2476</v>
      </c>
      <c r="P131" s="80">
        <f t="shared" si="143"/>
        <v>55</v>
      </c>
      <c r="Q131" s="80">
        <f t="shared" si="7"/>
        <v>2421</v>
      </c>
      <c r="R131" s="76">
        <f t="shared" si="8"/>
        <v>2.2213247172859451E-2</v>
      </c>
      <c r="S131" s="78">
        <f t="shared" si="9"/>
        <v>266780</v>
      </c>
      <c r="T131" s="74">
        <f t="shared" si="10"/>
        <v>7920</v>
      </c>
      <c r="U131" s="74">
        <f t="shared" si="11"/>
        <v>258860</v>
      </c>
      <c r="V131" s="76">
        <f t="shared" si="12"/>
        <v>2.9687382862283531E-2</v>
      </c>
    </row>
    <row r="132" spans="1:22" x14ac:dyDescent="0.25">
      <c r="A132" s="74">
        <f t="shared" si="60"/>
        <v>130</v>
      </c>
      <c r="B132" s="75">
        <v>44326</v>
      </c>
      <c r="C132" s="74">
        <v>3949</v>
      </c>
      <c r="D132" s="74">
        <v>68723</v>
      </c>
      <c r="E132" s="74">
        <f t="shared" si="0"/>
        <v>72672</v>
      </c>
      <c r="F132" s="76">
        <f t="shared" si="1"/>
        <v>5.4340048436811977E-2</v>
      </c>
      <c r="G132" s="74">
        <v>3962</v>
      </c>
      <c r="H132" s="74">
        <v>191359</v>
      </c>
      <c r="I132" s="74">
        <f t="shared" si="71"/>
        <v>195321</v>
      </c>
      <c r="J132" s="85">
        <f t="shared" si="72"/>
        <v>2.0284557216069955E-2</v>
      </c>
      <c r="K132" s="74">
        <v>42</v>
      </c>
      <c r="L132" s="74">
        <v>974</v>
      </c>
      <c r="M132" s="78">
        <f t="shared" si="4"/>
        <v>1016</v>
      </c>
      <c r="N132" s="76">
        <f t="shared" si="5"/>
        <v>4.1338582677165357E-2</v>
      </c>
      <c r="O132" s="80">
        <f t="shared" ref="O132:P132" si="144">S132-S131</f>
        <v>2229</v>
      </c>
      <c r="P132" s="80">
        <f t="shared" si="144"/>
        <v>33</v>
      </c>
      <c r="Q132" s="80">
        <f t="shared" si="7"/>
        <v>2196</v>
      </c>
      <c r="R132" s="76">
        <f t="shared" si="8"/>
        <v>1.4804845222072678E-2</v>
      </c>
      <c r="S132" s="78">
        <f t="shared" si="9"/>
        <v>269009</v>
      </c>
      <c r="T132" s="74">
        <f t="shared" si="10"/>
        <v>7953</v>
      </c>
      <c r="U132" s="74">
        <f t="shared" si="11"/>
        <v>261056</v>
      </c>
      <c r="V132" s="76">
        <f t="shared" si="12"/>
        <v>2.9564066629741013E-2</v>
      </c>
    </row>
    <row r="133" spans="1:22" x14ac:dyDescent="0.25">
      <c r="A133" s="74">
        <f t="shared" si="60"/>
        <v>131</v>
      </c>
      <c r="B133" s="75">
        <v>44327</v>
      </c>
      <c r="C133" s="74">
        <v>3963</v>
      </c>
      <c r="D133" s="74">
        <v>69248</v>
      </c>
      <c r="E133" s="74">
        <f t="shared" si="0"/>
        <v>73211</v>
      </c>
      <c r="F133" s="76">
        <f t="shared" si="1"/>
        <v>5.4131209790878418E-2</v>
      </c>
      <c r="G133" s="74">
        <v>4027</v>
      </c>
      <c r="H133" s="74">
        <v>195542</v>
      </c>
      <c r="I133" s="74">
        <f t="shared" si="71"/>
        <v>199569</v>
      </c>
      <c r="J133" s="85">
        <f t="shared" si="72"/>
        <v>2.0178484634387105E-2</v>
      </c>
      <c r="K133" s="74">
        <v>42</v>
      </c>
      <c r="L133" s="74">
        <v>974</v>
      </c>
      <c r="M133" s="78">
        <f t="shared" si="4"/>
        <v>1016</v>
      </c>
      <c r="N133" s="76">
        <f t="shared" si="5"/>
        <v>4.1338582677165357E-2</v>
      </c>
      <c r="O133" s="80">
        <f t="shared" ref="O133:P133" si="145">S133-S132</f>
        <v>4787</v>
      </c>
      <c r="P133" s="80">
        <f t="shared" si="145"/>
        <v>79</v>
      </c>
      <c r="Q133" s="80">
        <f t="shared" si="7"/>
        <v>4708</v>
      </c>
      <c r="R133" s="76">
        <f t="shared" si="8"/>
        <v>1.6503029036975141E-2</v>
      </c>
      <c r="S133" s="78">
        <f t="shared" si="9"/>
        <v>273796</v>
      </c>
      <c r="T133" s="74">
        <f t="shared" si="10"/>
        <v>8032</v>
      </c>
      <c r="U133" s="74">
        <f t="shared" si="11"/>
        <v>265764</v>
      </c>
      <c r="V133" s="76">
        <f t="shared" si="12"/>
        <v>2.9335709798536138E-2</v>
      </c>
    </row>
    <row r="134" spans="1:22" x14ac:dyDescent="0.25">
      <c r="A134" s="74">
        <f t="shared" si="60"/>
        <v>132</v>
      </c>
      <c r="B134" s="75">
        <v>44328</v>
      </c>
      <c r="C134" s="74">
        <v>3980</v>
      </c>
      <c r="D134" s="74">
        <v>69808</v>
      </c>
      <c r="E134" s="74">
        <f t="shared" si="0"/>
        <v>73788</v>
      </c>
      <c r="F134" s="76">
        <f t="shared" si="1"/>
        <v>5.3938309752263242E-2</v>
      </c>
      <c r="G134" s="74">
        <v>4078</v>
      </c>
      <c r="H134" s="74">
        <v>199372</v>
      </c>
      <c r="I134" s="74">
        <f t="shared" si="71"/>
        <v>203450</v>
      </c>
      <c r="J134" s="85">
        <f t="shared" si="72"/>
        <v>2.0044236913246499E-2</v>
      </c>
      <c r="K134" s="74">
        <v>42</v>
      </c>
      <c r="L134" s="74">
        <v>974</v>
      </c>
      <c r="M134" s="78">
        <f t="shared" si="4"/>
        <v>1016</v>
      </c>
      <c r="N134" s="76">
        <f t="shared" si="5"/>
        <v>4.1338582677165357E-2</v>
      </c>
      <c r="O134" s="80">
        <f t="shared" ref="O134:P134" si="146">S134-S133</f>
        <v>4458</v>
      </c>
      <c r="P134" s="80">
        <f t="shared" si="146"/>
        <v>68</v>
      </c>
      <c r="Q134" s="80">
        <f t="shared" si="7"/>
        <v>4390</v>
      </c>
      <c r="R134" s="76">
        <f t="shared" si="8"/>
        <v>1.5253476895468821E-2</v>
      </c>
      <c r="S134" s="78">
        <f t="shared" si="9"/>
        <v>278254</v>
      </c>
      <c r="T134" s="74">
        <f t="shared" si="10"/>
        <v>8100</v>
      </c>
      <c r="U134" s="74">
        <f t="shared" si="11"/>
        <v>270154</v>
      </c>
      <c r="V134" s="76">
        <f t="shared" si="12"/>
        <v>2.9110093655437118E-2</v>
      </c>
    </row>
    <row r="135" spans="1:22" x14ac:dyDescent="0.25">
      <c r="A135" s="74">
        <f t="shared" si="60"/>
        <v>133</v>
      </c>
      <c r="B135" s="75">
        <v>44329</v>
      </c>
      <c r="C135" s="74">
        <v>3992</v>
      </c>
      <c r="D135" s="74">
        <v>70376</v>
      </c>
      <c r="E135" s="74">
        <f t="shared" si="0"/>
        <v>74368</v>
      </c>
      <c r="F135" s="76">
        <f t="shared" si="1"/>
        <v>5.3679001721170398E-2</v>
      </c>
      <c r="G135" s="74">
        <v>4134</v>
      </c>
      <c r="H135" s="74">
        <v>201256</v>
      </c>
      <c r="I135" s="74">
        <f t="shared" si="71"/>
        <v>205390</v>
      </c>
      <c r="J135" s="85">
        <f t="shared" si="72"/>
        <v>2.0127562198743853E-2</v>
      </c>
      <c r="K135" s="74">
        <v>42</v>
      </c>
      <c r="L135" s="74">
        <v>974</v>
      </c>
      <c r="M135" s="78">
        <f t="shared" si="4"/>
        <v>1016</v>
      </c>
      <c r="N135" s="76">
        <f t="shared" si="5"/>
        <v>4.1338582677165357E-2</v>
      </c>
      <c r="O135" s="80">
        <f t="shared" ref="O135:P135" si="147">S135-S134</f>
        <v>2520</v>
      </c>
      <c r="P135" s="80">
        <f t="shared" si="147"/>
        <v>68</v>
      </c>
      <c r="Q135" s="80">
        <f t="shared" si="7"/>
        <v>2452</v>
      </c>
      <c r="R135" s="76">
        <f t="shared" si="8"/>
        <v>2.6984126984126985E-2</v>
      </c>
      <c r="S135" s="78">
        <f t="shared" si="9"/>
        <v>280774</v>
      </c>
      <c r="T135" s="74">
        <f t="shared" si="10"/>
        <v>8168</v>
      </c>
      <c r="U135" s="74">
        <f t="shared" si="11"/>
        <v>272606</v>
      </c>
      <c r="V135" s="76">
        <f t="shared" si="12"/>
        <v>2.909101270060618E-2</v>
      </c>
    </row>
    <row r="136" spans="1:22" x14ac:dyDescent="0.25">
      <c r="A136" s="74">
        <f t="shared" si="60"/>
        <v>134</v>
      </c>
      <c r="B136" s="75">
        <v>44330</v>
      </c>
      <c r="C136" s="74">
        <v>4007</v>
      </c>
      <c r="D136" s="74">
        <v>71063</v>
      </c>
      <c r="E136" s="74">
        <f t="shared" si="0"/>
        <v>75070</v>
      </c>
      <c r="F136" s="76">
        <f t="shared" si="1"/>
        <v>5.3376848274943385E-2</v>
      </c>
      <c r="G136" s="74">
        <v>4157</v>
      </c>
      <c r="H136" s="74">
        <v>201961</v>
      </c>
      <c r="I136" s="74">
        <f t="shared" si="71"/>
        <v>206118</v>
      </c>
      <c r="J136" s="85">
        <f t="shared" si="72"/>
        <v>2.0168059072958208E-2</v>
      </c>
      <c r="K136" s="74">
        <v>42</v>
      </c>
      <c r="L136" s="74">
        <v>974</v>
      </c>
      <c r="M136" s="78">
        <f t="shared" si="4"/>
        <v>1016</v>
      </c>
      <c r="N136" s="76">
        <f t="shared" si="5"/>
        <v>4.1338582677165357E-2</v>
      </c>
      <c r="O136" s="80">
        <f t="shared" ref="O136:P136" si="148">S136-S135</f>
        <v>1430</v>
      </c>
      <c r="P136" s="80">
        <f t="shared" si="148"/>
        <v>38</v>
      </c>
      <c r="Q136" s="80">
        <f t="shared" si="7"/>
        <v>1392</v>
      </c>
      <c r="R136" s="76">
        <f t="shared" si="8"/>
        <v>2.6573426573426574E-2</v>
      </c>
      <c r="S136" s="78">
        <f t="shared" si="9"/>
        <v>282204</v>
      </c>
      <c r="T136" s="74">
        <f t="shared" si="10"/>
        <v>8206</v>
      </c>
      <c r="U136" s="74">
        <f t="shared" si="11"/>
        <v>273998</v>
      </c>
      <c r="V136" s="76">
        <f t="shared" si="12"/>
        <v>2.9078255446414649E-2</v>
      </c>
    </row>
    <row r="137" spans="1:22" x14ac:dyDescent="0.25">
      <c r="A137" s="74">
        <f t="shared" si="60"/>
        <v>135</v>
      </c>
      <c r="B137" s="75">
        <v>44331</v>
      </c>
      <c r="C137" s="74">
        <v>4013</v>
      </c>
      <c r="D137" s="74">
        <v>71305</v>
      </c>
      <c r="E137" s="74">
        <f t="shared" si="0"/>
        <v>75318</v>
      </c>
      <c r="F137" s="76">
        <f t="shared" si="1"/>
        <v>5.3280756260123741E-2</v>
      </c>
      <c r="G137" s="74">
        <v>4201</v>
      </c>
      <c r="H137" s="74">
        <v>203060</v>
      </c>
      <c r="I137" s="74">
        <f t="shared" si="71"/>
        <v>207261</v>
      </c>
      <c r="J137" s="85">
        <f t="shared" si="72"/>
        <v>2.0269129262138075E-2</v>
      </c>
      <c r="K137" s="74">
        <v>42</v>
      </c>
      <c r="L137" s="74">
        <v>974</v>
      </c>
      <c r="M137" s="78">
        <f t="shared" si="4"/>
        <v>1016</v>
      </c>
      <c r="N137" s="76">
        <f t="shared" si="5"/>
        <v>4.1338582677165357E-2</v>
      </c>
      <c r="O137" s="80">
        <f t="shared" ref="O137:P137" si="149">S137-S136</f>
        <v>1391</v>
      </c>
      <c r="P137" s="80">
        <f t="shared" si="149"/>
        <v>50</v>
      </c>
      <c r="Q137" s="80">
        <f t="shared" si="7"/>
        <v>1341</v>
      </c>
      <c r="R137" s="76">
        <f t="shared" si="8"/>
        <v>3.5945363048166784E-2</v>
      </c>
      <c r="S137" s="78">
        <f t="shared" si="9"/>
        <v>283595</v>
      </c>
      <c r="T137" s="74">
        <f t="shared" si="10"/>
        <v>8256</v>
      </c>
      <c r="U137" s="74">
        <f t="shared" si="11"/>
        <v>275339</v>
      </c>
      <c r="V137" s="76">
        <f t="shared" si="12"/>
        <v>2.9111937798621274E-2</v>
      </c>
    </row>
    <row r="138" spans="1:22" x14ac:dyDescent="0.25">
      <c r="A138" s="74">
        <f t="shared" si="60"/>
        <v>136</v>
      </c>
      <c r="B138" s="75">
        <v>44332</v>
      </c>
      <c r="C138" s="74">
        <v>4027</v>
      </c>
      <c r="D138" s="74">
        <v>71944</v>
      </c>
      <c r="E138" s="74">
        <f t="shared" si="0"/>
        <v>75971</v>
      </c>
      <c r="F138" s="76">
        <f t="shared" si="1"/>
        <v>5.3007068486659384E-2</v>
      </c>
      <c r="G138" s="74">
        <v>4273</v>
      </c>
      <c r="H138" s="74">
        <v>205749</v>
      </c>
      <c r="I138" s="74">
        <f t="shared" si="71"/>
        <v>210022</v>
      </c>
      <c r="J138" s="85">
        <f t="shared" si="72"/>
        <v>2.0345487615583129E-2</v>
      </c>
      <c r="K138" s="74">
        <v>42</v>
      </c>
      <c r="L138" s="74">
        <v>974</v>
      </c>
      <c r="M138" s="78">
        <f t="shared" si="4"/>
        <v>1016</v>
      </c>
      <c r="N138" s="76">
        <f t="shared" si="5"/>
        <v>4.1338582677165357E-2</v>
      </c>
      <c r="O138" s="80">
        <f t="shared" ref="O138:P138" si="150">S138-S137</f>
        <v>3414</v>
      </c>
      <c r="P138" s="80">
        <f t="shared" si="150"/>
        <v>86</v>
      </c>
      <c r="Q138" s="80">
        <f t="shared" si="7"/>
        <v>3328</v>
      </c>
      <c r="R138" s="76">
        <f t="shared" si="8"/>
        <v>2.5190392501464556E-2</v>
      </c>
      <c r="S138" s="78">
        <f t="shared" si="9"/>
        <v>287009</v>
      </c>
      <c r="T138" s="74">
        <f t="shared" si="10"/>
        <v>8342</v>
      </c>
      <c r="U138" s="74">
        <f t="shared" si="11"/>
        <v>278667</v>
      </c>
      <c r="V138" s="76">
        <f t="shared" si="12"/>
        <v>2.9065290635485297E-2</v>
      </c>
    </row>
    <row r="139" spans="1:22" x14ac:dyDescent="0.25">
      <c r="A139" s="74">
        <f t="shared" si="60"/>
        <v>137</v>
      </c>
      <c r="B139" s="75">
        <v>44333</v>
      </c>
      <c r="C139" s="74">
        <v>4030</v>
      </c>
      <c r="D139" s="74">
        <v>72425</v>
      </c>
      <c r="E139" s="74">
        <f t="shared" si="0"/>
        <v>76455</v>
      </c>
      <c r="F139" s="76">
        <f t="shared" si="1"/>
        <v>5.2710744882610683E-2</v>
      </c>
      <c r="G139" s="74">
        <v>4315</v>
      </c>
      <c r="H139" s="74">
        <v>207958</v>
      </c>
      <c r="I139" s="74">
        <f t="shared" si="71"/>
        <v>212273</v>
      </c>
      <c r="J139" s="85">
        <f t="shared" si="72"/>
        <v>2.0327597009511335E-2</v>
      </c>
      <c r="K139" s="74">
        <v>42</v>
      </c>
      <c r="L139" s="74">
        <v>974</v>
      </c>
      <c r="M139" s="78">
        <f t="shared" si="4"/>
        <v>1016</v>
      </c>
      <c r="N139" s="76">
        <f t="shared" si="5"/>
        <v>4.1338582677165357E-2</v>
      </c>
      <c r="O139" s="80">
        <f t="shared" ref="O139:P139" si="151">S139-S138</f>
        <v>2735</v>
      </c>
      <c r="P139" s="80">
        <f t="shared" si="151"/>
        <v>45</v>
      </c>
      <c r="Q139" s="80">
        <f t="shared" si="7"/>
        <v>2690</v>
      </c>
      <c r="R139" s="76">
        <f t="shared" si="8"/>
        <v>1.6453382084095063E-2</v>
      </c>
      <c r="S139" s="78">
        <f t="shared" si="9"/>
        <v>289744</v>
      </c>
      <c r="T139" s="74">
        <f t="shared" si="10"/>
        <v>8387</v>
      </c>
      <c r="U139" s="74">
        <f t="shared" si="11"/>
        <v>281357</v>
      </c>
      <c r="V139" s="76">
        <f t="shared" si="12"/>
        <v>2.8946242200011043E-2</v>
      </c>
    </row>
    <row r="140" spans="1:22" x14ac:dyDescent="0.25">
      <c r="A140" s="74">
        <f t="shared" si="60"/>
        <v>138</v>
      </c>
      <c r="B140" s="75">
        <v>44334</v>
      </c>
      <c r="C140" s="74">
        <v>4032</v>
      </c>
      <c r="D140" s="74">
        <v>72618</v>
      </c>
      <c r="E140" s="74">
        <f t="shared" si="0"/>
        <v>76650</v>
      </c>
      <c r="F140" s="76">
        <f t="shared" si="1"/>
        <v>5.26027397260274E-2</v>
      </c>
      <c r="G140" s="74">
        <v>4381</v>
      </c>
      <c r="H140" s="74">
        <v>212799</v>
      </c>
      <c r="I140" s="74">
        <f t="shared" si="71"/>
        <v>217180</v>
      </c>
      <c r="J140" s="85">
        <f t="shared" si="72"/>
        <v>2.0172207385578782E-2</v>
      </c>
      <c r="K140" s="74">
        <v>42</v>
      </c>
      <c r="L140" s="74">
        <v>974</v>
      </c>
      <c r="M140" s="78">
        <f t="shared" si="4"/>
        <v>1016</v>
      </c>
      <c r="N140" s="76">
        <f t="shared" si="5"/>
        <v>4.1338582677165357E-2</v>
      </c>
      <c r="O140" s="80">
        <f t="shared" ref="O140:P140" si="152">S140-S139</f>
        <v>5102</v>
      </c>
      <c r="P140" s="80">
        <f t="shared" si="152"/>
        <v>68</v>
      </c>
      <c r="Q140" s="80">
        <f t="shared" si="7"/>
        <v>5034</v>
      </c>
      <c r="R140" s="76">
        <f t="shared" si="8"/>
        <v>1.3328106624852998E-2</v>
      </c>
      <c r="S140" s="78">
        <f t="shared" si="9"/>
        <v>294846</v>
      </c>
      <c r="T140" s="74">
        <f t="shared" si="10"/>
        <v>8455</v>
      </c>
      <c r="U140" s="74">
        <f t="shared" si="11"/>
        <v>286391</v>
      </c>
      <c r="V140" s="76">
        <f t="shared" si="12"/>
        <v>2.8675986786322352E-2</v>
      </c>
    </row>
    <row r="141" spans="1:22" x14ac:dyDescent="0.25">
      <c r="A141" s="74">
        <f t="shared" si="60"/>
        <v>139</v>
      </c>
      <c r="B141" s="75">
        <v>44335</v>
      </c>
      <c r="C141" s="74">
        <v>4043</v>
      </c>
      <c r="D141" s="74">
        <v>73362</v>
      </c>
      <c r="E141" s="74">
        <f t="shared" si="0"/>
        <v>77405</v>
      </c>
      <c r="F141" s="76">
        <f t="shared" si="1"/>
        <v>5.2231767973645114E-2</v>
      </c>
      <c r="G141" s="74">
        <v>4484</v>
      </c>
      <c r="H141" s="74">
        <v>219035</v>
      </c>
      <c r="I141" s="74">
        <f t="shared" si="71"/>
        <v>223519</v>
      </c>
      <c r="J141" s="85">
        <f t="shared" si="72"/>
        <v>2.0060934417208381E-2</v>
      </c>
      <c r="K141" s="74">
        <v>42</v>
      </c>
      <c r="L141" s="74">
        <v>974</v>
      </c>
      <c r="M141" s="78">
        <f t="shared" si="4"/>
        <v>1016</v>
      </c>
      <c r="N141" s="76">
        <f t="shared" si="5"/>
        <v>4.1338582677165357E-2</v>
      </c>
      <c r="O141" s="80">
        <f t="shared" ref="O141:P141" si="153">S141-S140</f>
        <v>7094</v>
      </c>
      <c r="P141" s="80">
        <f t="shared" si="153"/>
        <v>114</v>
      </c>
      <c r="Q141" s="80">
        <f t="shared" si="7"/>
        <v>6980</v>
      </c>
      <c r="R141" s="76">
        <f t="shared" si="8"/>
        <v>1.6069918240766846E-2</v>
      </c>
      <c r="S141" s="78">
        <f t="shared" si="9"/>
        <v>301940</v>
      </c>
      <c r="T141" s="74">
        <f t="shared" si="10"/>
        <v>8569</v>
      </c>
      <c r="U141" s="74">
        <f t="shared" si="11"/>
        <v>293371</v>
      </c>
      <c r="V141" s="76">
        <f t="shared" si="12"/>
        <v>2.8379810558389083E-2</v>
      </c>
    </row>
    <row r="142" spans="1:22" x14ac:dyDescent="0.25">
      <c r="A142" s="74">
        <f t="shared" si="60"/>
        <v>140</v>
      </c>
      <c r="B142" s="75">
        <v>44336</v>
      </c>
      <c r="C142" s="74">
        <v>4051</v>
      </c>
      <c r="D142" s="74">
        <v>74114</v>
      </c>
      <c r="E142" s="74">
        <f t="shared" si="0"/>
        <v>78165</v>
      </c>
      <c r="F142" s="76">
        <f t="shared" si="1"/>
        <v>5.1826264952344402E-2</v>
      </c>
      <c r="G142" s="74">
        <v>4552</v>
      </c>
      <c r="H142" s="74">
        <v>225368</v>
      </c>
      <c r="I142" s="74">
        <f t="shared" si="71"/>
        <v>229920</v>
      </c>
      <c r="J142" s="85">
        <f t="shared" si="72"/>
        <v>1.9798190675017396E-2</v>
      </c>
      <c r="K142" s="74">
        <v>42</v>
      </c>
      <c r="L142" s="74">
        <v>974</v>
      </c>
      <c r="M142" s="78">
        <f t="shared" si="4"/>
        <v>1016</v>
      </c>
      <c r="N142" s="76">
        <f t="shared" si="5"/>
        <v>4.1338582677165357E-2</v>
      </c>
      <c r="O142" s="80">
        <f t="shared" ref="O142:P142" si="154">S142-S141</f>
        <v>7161</v>
      </c>
      <c r="P142" s="80">
        <f t="shared" si="154"/>
        <v>76</v>
      </c>
      <c r="Q142" s="80">
        <f t="shared" si="7"/>
        <v>7085</v>
      </c>
      <c r="R142" s="76">
        <f t="shared" si="8"/>
        <v>1.0613042871107387E-2</v>
      </c>
      <c r="S142" s="78">
        <f t="shared" si="9"/>
        <v>309101</v>
      </c>
      <c r="T142" s="74">
        <f t="shared" si="10"/>
        <v>8645</v>
      </c>
      <c r="U142" s="74">
        <f t="shared" si="11"/>
        <v>300456</v>
      </c>
      <c r="V142" s="76">
        <f t="shared" si="12"/>
        <v>2.7968204567439123E-2</v>
      </c>
    </row>
    <row r="143" spans="1:22" x14ac:dyDescent="0.25">
      <c r="A143" s="74">
        <f t="shared" si="60"/>
        <v>141</v>
      </c>
      <c r="B143" s="75">
        <v>44337</v>
      </c>
      <c r="C143" s="74">
        <v>4055</v>
      </c>
      <c r="D143" s="74">
        <v>74996</v>
      </c>
      <c r="E143" s="74">
        <f t="shared" si="0"/>
        <v>79051</v>
      </c>
      <c r="F143" s="76">
        <f t="shared" si="1"/>
        <v>5.1295998785594113E-2</v>
      </c>
      <c r="G143" s="74">
        <v>4631</v>
      </c>
      <c r="H143" s="74">
        <v>232017</v>
      </c>
      <c r="I143" s="74">
        <f t="shared" si="71"/>
        <v>236648</v>
      </c>
      <c r="J143" s="85">
        <f t="shared" si="72"/>
        <v>1.9569149115986614E-2</v>
      </c>
      <c r="K143" s="74">
        <v>42</v>
      </c>
      <c r="L143" s="74">
        <v>974</v>
      </c>
      <c r="M143" s="78">
        <f t="shared" si="4"/>
        <v>1016</v>
      </c>
      <c r="N143" s="76">
        <f t="shared" si="5"/>
        <v>4.1338582677165357E-2</v>
      </c>
      <c r="O143" s="80">
        <f t="shared" ref="O143:P143" si="155">S143-S142</f>
        <v>7614</v>
      </c>
      <c r="P143" s="80">
        <f t="shared" si="155"/>
        <v>83</v>
      </c>
      <c r="Q143" s="80">
        <f t="shared" si="7"/>
        <v>7531</v>
      </c>
      <c r="R143" s="76">
        <f t="shared" si="8"/>
        <v>1.0900971893879695E-2</v>
      </c>
      <c r="S143" s="78">
        <f t="shared" si="9"/>
        <v>316715</v>
      </c>
      <c r="T143" s="74">
        <f t="shared" si="10"/>
        <v>8728</v>
      </c>
      <c r="U143" s="74">
        <f t="shared" si="11"/>
        <v>307987</v>
      </c>
      <c r="V143" s="76">
        <f t="shared" si="12"/>
        <v>2.7557899057512273E-2</v>
      </c>
    </row>
    <row r="144" spans="1:22" x14ac:dyDescent="0.25">
      <c r="A144" s="74">
        <f t="shared" si="60"/>
        <v>142</v>
      </c>
      <c r="B144" s="75">
        <v>44338</v>
      </c>
      <c r="C144" s="74">
        <v>4074</v>
      </c>
      <c r="D144" s="74">
        <v>75979</v>
      </c>
      <c r="E144" s="74">
        <f t="shared" si="0"/>
        <v>80053</v>
      </c>
      <c r="F144" s="76">
        <f t="shared" si="1"/>
        <v>5.089128452400285E-2</v>
      </c>
      <c r="G144" s="74">
        <v>4726</v>
      </c>
      <c r="H144" s="74">
        <v>240832</v>
      </c>
      <c r="I144" s="74">
        <f t="shared" si="71"/>
        <v>245558</v>
      </c>
      <c r="J144" s="85">
        <f t="shared" si="72"/>
        <v>1.9245962257389292E-2</v>
      </c>
      <c r="K144" s="74">
        <v>42</v>
      </c>
      <c r="L144" s="74">
        <v>974</v>
      </c>
      <c r="M144" s="78">
        <f t="shared" si="4"/>
        <v>1016</v>
      </c>
      <c r="N144" s="76">
        <f t="shared" si="5"/>
        <v>4.1338582677165357E-2</v>
      </c>
      <c r="O144" s="80">
        <f t="shared" ref="O144:P144" si="156">S144-S143</f>
        <v>9912</v>
      </c>
      <c r="P144" s="80">
        <f t="shared" si="156"/>
        <v>114</v>
      </c>
      <c r="Q144" s="80">
        <f t="shared" si="7"/>
        <v>9798</v>
      </c>
      <c r="R144" s="76">
        <f t="shared" si="8"/>
        <v>1.1501210653753027E-2</v>
      </c>
      <c r="S144" s="78">
        <f t="shared" si="9"/>
        <v>326627</v>
      </c>
      <c r="T144" s="74">
        <f t="shared" si="10"/>
        <v>8842</v>
      </c>
      <c r="U144" s="74">
        <f t="shared" si="11"/>
        <v>317785</v>
      </c>
      <c r="V144" s="76">
        <f t="shared" si="12"/>
        <v>2.7070634087200385E-2</v>
      </c>
    </row>
    <row r="145" spans="1:22" x14ac:dyDescent="0.25">
      <c r="A145" s="74">
        <f t="shared" si="60"/>
        <v>143</v>
      </c>
      <c r="B145" s="75">
        <v>44339</v>
      </c>
      <c r="C145" s="74">
        <v>4111</v>
      </c>
      <c r="D145" s="74">
        <v>77230</v>
      </c>
      <c r="E145" s="74">
        <f t="shared" si="0"/>
        <v>81341</v>
      </c>
      <c r="F145" s="76">
        <f t="shared" si="1"/>
        <v>5.0540317920851723E-2</v>
      </c>
      <c r="G145" s="74">
        <v>4825</v>
      </c>
      <c r="H145" s="74">
        <v>249785</v>
      </c>
      <c r="I145" s="74">
        <f t="shared" si="71"/>
        <v>254610</v>
      </c>
      <c r="J145" s="85">
        <f t="shared" si="72"/>
        <v>1.8950551824358824E-2</v>
      </c>
      <c r="K145" s="74">
        <v>42</v>
      </c>
      <c r="L145" s="74">
        <v>974</v>
      </c>
      <c r="M145" s="78">
        <f t="shared" si="4"/>
        <v>1016</v>
      </c>
      <c r="N145" s="76">
        <f t="shared" si="5"/>
        <v>4.1338582677165357E-2</v>
      </c>
      <c r="O145" s="80">
        <f t="shared" ref="O145:P145" si="157">S145-S144</f>
        <v>10340</v>
      </c>
      <c r="P145" s="80">
        <f t="shared" si="157"/>
        <v>136</v>
      </c>
      <c r="Q145" s="80">
        <f t="shared" si="7"/>
        <v>10204</v>
      </c>
      <c r="R145" s="76">
        <f t="shared" si="8"/>
        <v>1.3152804642166345E-2</v>
      </c>
      <c r="S145" s="78">
        <f t="shared" si="9"/>
        <v>336967</v>
      </c>
      <c r="T145" s="74">
        <f t="shared" si="10"/>
        <v>8978</v>
      </c>
      <c r="U145" s="74">
        <f t="shared" si="11"/>
        <v>327989</v>
      </c>
      <c r="V145" s="76">
        <f t="shared" si="12"/>
        <v>2.6643558568049692E-2</v>
      </c>
    </row>
    <row r="146" spans="1:22" x14ac:dyDescent="0.25">
      <c r="A146" s="74">
        <f t="shared" si="60"/>
        <v>144</v>
      </c>
      <c r="B146" s="75">
        <v>44340</v>
      </c>
      <c r="C146" s="74">
        <v>4113</v>
      </c>
      <c r="D146" s="74">
        <v>77584</v>
      </c>
      <c r="E146" s="74">
        <f t="shared" si="0"/>
        <v>81697</v>
      </c>
      <c r="F146" s="76">
        <f t="shared" si="1"/>
        <v>5.034456589593253E-2</v>
      </c>
      <c r="G146" s="74">
        <v>4949</v>
      </c>
      <c r="H146" s="74">
        <v>260215</v>
      </c>
      <c r="I146" s="74">
        <f t="shared" si="71"/>
        <v>265164</v>
      </c>
      <c r="J146" s="85">
        <f t="shared" si="72"/>
        <v>1.8663921195939116E-2</v>
      </c>
      <c r="K146" s="74">
        <v>42</v>
      </c>
      <c r="L146" s="74">
        <v>974</v>
      </c>
      <c r="M146" s="78">
        <f t="shared" si="4"/>
        <v>1016</v>
      </c>
      <c r="N146" s="76">
        <f t="shared" si="5"/>
        <v>4.1338582677165357E-2</v>
      </c>
      <c r="O146" s="80">
        <f t="shared" ref="O146:P146" si="158">S146-S145</f>
        <v>10910</v>
      </c>
      <c r="P146" s="80">
        <f t="shared" si="158"/>
        <v>126</v>
      </c>
      <c r="Q146" s="80">
        <f t="shared" si="7"/>
        <v>10784</v>
      </c>
      <c r="R146" s="76">
        <f t="shared" si="8"/>
        <v>1.154903758020165E-2</v>
      </c>
      <c r="S146" s="78">
        <f t="shared" si="9"/>
        <v>347877</v>
      </c>
      <c r="T146" s="74">
        <f t="shared" si="10"/>
        <v>9104</v>
      </c>
      <c r="U146" s="74">
        <f t="shared" si="11"/>
        <v>338773</v>
      </c>
      <c r="V146" s="76">
        <f t="shared" si="12"/>
        <v>2.6170169341462643E-2</v>
      </c>
    </row>
    <row r="147" spans="1:22" x14ac:dyDescent="0.25">
      <c r="A147" s="74">
        <f t="shared" si="60"/>
        <v>145</v>
      </c>
      <c r="B147" s="75">
        <v>44341</v>
      </c>
      <c r="C147" s="74">
        <v>4113</v>
      </c>
      <c r="D147" s="74">
        <v>77934</v>
      </c>
      <c r="E147" s="74">
        <f t="shared" si="0"/>
        <v>82047</v>
      </c>
      <c r="F147" s="76">
        <f t="shared" si="1"/>
        <v>5.0129803649127939E-2</v>
      </c>
      <c r="G147" s="74">
        <v>5037</v>
      </c>
      <c r="H147" s="74">
        <v>267718</v>
      </c>
      <c r="I147" s="74">
        <f t="shared" si="71"/>
        <v>272755</v>
      </c>
      <c r="J147" s="85">
        <f t="shared" si="72"/>
        <v>1.8467122509211564E-2</v>
      </c>
      <c r="K147" s="74">
        <v>42</v>
      </c>
      <c r="L147" s="74">
        <v>974</v>
      </c>
      <c r="M147" s="78">
        <f t="shared" si="4"/>
        <v>1016</v>
      </c>
      <c r="N147" s="76">
        <f t="shared" si="5"/>
        <v>4.1338582677165357E-2</v>
      </c>
      <c r="O147" s="80">
        <f t="shared" ref="O147:P147" si="159">S147-S146</f>
        <v>7941</v>
      </c>
      <c r="P147" s="80">
        <f t="shared" si="159"/>
        <v>88</v>
      </c>
      <c r="Q147" s="80">
        <f t="shared" si="7"/>
        <v>7853</v>
      </c>
      <c r="R147" s="76">
        <f t="shared" si="8"/>
        <v>1.1081727742097973E-2</v>
      </c>
      <c r="S147" s="78">
        <f t="shared" si="9"/>
        <v>355818</v>
      </c>
      <c r="T147" s="74">
        <f t="shared" si="10"/>
        <v>9192</v>
      </c>
      <c r="U147" s="74">
        <f t="shared" si="11"/>
        <v>346626</v>
      </c>
      <c r="V147" s="76">
        <f t="shared" si="12"/>
        <v>2.5833431698227747E-2</v>
      </c>
    </row>
    <row r="148" spans="1:22" x14ac:dyDescent="0.25">
      <c r="A148" s="74">
        <f t="shared" si="60"/>
        <v>146</v>
      </c>
      <c r="B148" s="75">
        <v>44342</v>
      </c>
      <c r="C148" s="74">
        <v>4125</v>
      </c>
      <c r="D148" s="74">
        <v>78888</v>
      </c>
      <c r="E148" s="74">
        <f t="shared" si="0"/>
        <v>83013</v>
      </c>
      <c r="F148" s="76">
        <f t="shared" si="1"/>
        <v>4.9691012251093201E-2</v>
      </c>
      <c r="G148" s="74">
        <v>5102</v>
      </c>
      <c r="H148" s="74">
        <v>272694</v>
      </c>
      <c r="I148" s="74">
        <f t="shared" si="71"/>
        <v>277796</v>
      </c>
      <c r="J148" s="85">
        <f t="shared" si="72"/>
        <v>1.8365995190715488E-2</v>
      </c>
      <c r="K148" s="74">
        <v>42</v>
      </c>
      <c r="L148" s="74">
        <v>974</v>
      </c>
      <c r="M148" s="78">
        <f t="shared" si="4"/>
        <v>1016</v>
      </c>
      <c r="N148" s="76">
        <f t="shared" si="5"/>
        <v>4.1338582677165357E-2</v>
      </c>
      <c r="O148" s="80">
        <f t="shared" ref="O148:P148" si="160">S148-S147</f>
        <v>6007</v>
      </c>
      <c r="P148" s="80">
        <f t="shared" si="160"/>
        <v>77</v>
      </c>
      <c r="Q148" s="80">
        <f t="shared" si="7"/>
        <v>5930</v>
      </c>
      <c r="R148" s="76">
        <f t="shared" si="8"/>
        <v>1.2818378558348593E-2</v>
      </c>
      <c r="S148" s="78">
        <f t="shared" si="9"/>
        <v>361825</v>
      </c>
      <c r="T148" s="74">
        <f t="shared" si="10"/>
        <v>9269</v>
      </c>
      <c r="U148" s="74">
        <f t="shared" si="11"/>
        <v>352556</v>
      </c>
      <c r="V148" s="76">
        <f t="shared" si="12"/>
        <v>2.5617356456850687E-2</v>
      </c>
    </row>
    <row r="149" spans="1:22" x14ac:dyDescent="0.25">
      <c r="A149" s="74">
        <f t="shared" si="60"/>
        <v>147</v>
      </c>
      <c r="B149" s="75">
        <v>44343</v>
      </c>
      <c r="C149" s="74">
        <v>4143</v>
      </c>
      <c r="D149" s="74">
        <v>79974</v>
      </c>
      <c r="E149" s="74">
        <f t="shared" si="0"/>
        <v>84117</v>
      </c>
      <c r="F149" s="76">
        <f t="shared" si="1"/>
        <v>4.9252826420343093E-2</v>
      </c>
      <c r="G149" s="74">
        <v>5159</v>
      </c>
      <c r="H149" s="74">
        <v>278800</v>
      </c>
      <c r="I149" s="74">
        <f t="shared" si="71"/>
        <v>283959</v>
      </c>
      <c r="J149" s="85">
        <f t="shared" si="72"/>
        <v>1.8168115819537329E-2</v>
      </c>
      <c r="K149" s="74">
        <v>42</v>
      </c>
      <c r="L149" s="74">
        <v>974</v>
      </c>
      <c r="M149" s="78">
        <f t="shared" si="4"/>
        <v>1016</v>
      </c>
      <c r="N149" s="76">
        <f t="shared" si="5"/>
        <v>4.1338582677165357E-2</v>
      </c>
      <c r="O149" s="80">
        <f t="shared" ref="O149:P149" si="161">S149-S148</f>
        <v>7267</v>
      </c>
      <c r="P149" s="80">
        <f t="shared" si="161"/>
        <v>75</v>
      </c>
      <c r="Q149" s="80">
        <f t="shared" si="7"/>
        <v>7192</v>
      </c>
      <c r="R149" s="76">
        <f t="shared" si="8"/>
        <v>1.0320627494151644E-2</v>
      </c>
      <c r="S149" s="78">
        <f t="shared" si="9"/>
        <v>369092</v>
      </c>
      <c r="T149" s="74">
        <f t="shared" si="10"/>
        <v>9344</v>
      </c>
      <c r="U149" s="74">
        <f t="shared" si="11"/>
        <v>359748</v>
      </c>
      <c r="V149" s="76">
        <f t="shared" si="12"/>
        <v>2.531618133148375E-2</v>
      </c>
    </row>
    <row r="150" spans="1:22" x14ac:dyDescent="0.25">
      <c r="A150" s="74">
        <f t="shared" si="60"/>
        <v>148</v>
      </c>
      <c r="B150" s="75">
        <v>44344</v>
      </c>
      <c r="C150" s="74">
        <v>4144</v>
      </c>
      <c r="D150" s="74">
        <v>80158</v>
      </c>
      <c r="E150" s="74">
        <f t="shared" si="0"/>
        <v>84302</v>
      </c>
      <c r="F150" s="76">
        <f t="shared" si="1"/>
        <v>4.9156603639296817E-2</v>
      </c>
      <c r="G150" s="74">
        <v>5306</v>
      </c>
      <c r="H150" s="74">
        <v>287040</v>
      </c>
      <c r="I150" s="74">
        <f t="shared" si="71"/>
        <v>292346</v>
      </c>
      <c r="J150" s="85">
        <f t="shared" si="72"/>
        <v>1.8149726693712245E-2</v>
      </c>
      <c r="K150" s="74">
        <v>42</v>
      </c>
      <c r="L150" s="74">
        <v>974</v>
      </c>
      <c r="M150" s="78">
        <f t="shared" si="4"/>
        <v>1016</v>
      </c>
      <c r="N150" s="76">
        <f t="shared" si="5"/>
        <v>4.1338582677165357E-2</v>
      </c>
      <c r="O150" s="80">
        <f t="shared" ref="O150:P150" si="162">S150-S149</f>
        <v>8572</v>
      </c>
      <c r="P150" s="80">
        <f t="shared" si="162"/>
        <v>148</v>
      </c>
      <c r="Q150" s="80">
        <f t="shared" si="7"/>
        <v>8424</v>
      </c>
      <c r="R150" s="76">
        <f t="shared" si="8"/>
        <v>1.726551563229118E-2</v>
      </c>
      <c r="S150" s="78">
        <f t="shared" si="9"/>
        <v>377664</v>
      </c>
      <c r="T150" s="74">
        <f t="shared" si="10"/>
        <v>9492</v>
      </c>
      <c r="U150" s="74">
        <f t="shared" si="11"/>
        <v>368172</v>
      </c>
      <c r="V150" s="76">
        <f t="shared" si="12"/>
        <v>2.5133451957295373E-2</v>
      </c>
    </row>
    <row r="151" spans="1:22" x14ac:dyDescent="0.25">
      <c r="A151" s="74">
        <f t="shared" si="60"/>
        <v>149</v>
      </c>
      <c r="B151" s="75">
        <v>44345</v>
      </c>
      <c r="C151" s="74">
        <v>4153</v>
      </c>
      <c r="D151" s="74">
        <v>81075</v>
      </c>
      <c r="E151" s="74">
        <f t="shared" si="0"/>
        <v>85228</v>
      </c>
      <c r="F151" s="76">
        <f t="shared" si="1"/>
        <v>4.8728117520063827E-2</v>
      </c>
      <c r="G151" s="74">
        <v>5371</v>
      </c>
      <c r="H151" s="74">
        <v>291016</v>
      </c>
      <c r="I151" s="74">
        <f t="shared" si="71"/>
        <v>296387</v>
      </c>
      <c r="J151" s="85">
        <f t="shared" si="72"/>
        <v>1.8121577532077993E-2</v>
      </c>
      <c r="K151" s="74">
        <v>42</v>
      </c>
      <c r="L151" s="74">
        <v>974</v>
      </c>
      <c r="M151" s="78">
        <f t="shared" si="4"/>
        <v>1016</v>
      </c>
      <c r="N151" s="76">
        <f t="shared" si="5"/>
        <v>4.1338582677165357E-2</v>
      </c>
      <c r="O151" s="80">
        <f t="shared" ref="O151:P151" si="163">S151-S150</f>
        <v>4967</v>
      </c>
      <c r="P151" s="80">
        <f t="shared" si="163"/>
        <v>74</v>
      </c>
      <c r="Q151" s="80">
        <f t="shared" si="7"/>
        <v>4893</v>
      </c>
      <c r="R151" s="76">
        <f t="shared" si="8"/>
        <v>1.4898328971209986E-2</v>
      </c>
      <c r="S151" s="78">
        <f t="shared" si="9"/>
        <v>382631</v>
      </c>
      <c r="T151" s="74">
        <f t="shared" si="10"/>
        <v>9566</v>
      </c>
      <c r="U151" s="74">
        <f t="shared" si="11"/>
        <v>373065</v>
      </c>
      <c r="V151" s="76">
        <f t="shared" si="12"/>
        <v>2.5000588033902114E-2</v>
      </c>
    </row>
    <row r="152" spans="1:22" x14ac:dyDescent="0.25">
      <c r="A152" s="74">
        <f t="shared" si="60"/>
        <v>150</v>
      </c>
      <c r="B152" s="75">
        <v>44346</v>
      </c>
      <c r="C152" s="74">
        <v>4168</v>
      </c>
      <c r="D152" s="74">
        <v>82247</v>
      </c>
      <c r="E152" s="74">
        <f t="shared" si="0"/>
        <v>86415</v>
      </c>
      <c r="F152" s="76">
        <f t="shared" si="1"/>
        <v>4.8232367065902913E-2</v>
      </c>
      <c r="G152" s="74">
        <v>5444</v>
      </c>
      <c r="H152" s="74">
        <v>297323</v>
      </c>
      <c r="I152" s="74">
        <f t="shared" si="71"/>
        <v>302767</v>
      </c>
      <c r="J152" s="85">
        <f t="shared" si="72"/>
        <v>1.7980823537571796E-2</v>
      </c>
      <c r="K152" s="74">
        <v>42</v>
      </c>
      <c r="L152" s="74">
        <v>974</v>
      </c>
      <c r="M152" s="78">
        <f t="shared" si="4"/>
        <v>1016</v>
      </c>
      <c r="N152" s="76">
        <f t="shared" si="5"/>
        <v>4.1338582677165357E-2</v>
      </c>
      <c r="O152" s="80">
        <f t="shared" ref="O152:P152" si="164">S152-S151</f>
        <v>7567</v>
      </c>
      <c r="P152" s="80">
        <f t="shared" si="164"/>
        <v>88</v>
      </c>
      <c r="Q152" s="80">
        <f t="shared" si="7"/>
        <v>7479</v>
      </c>
      <c r="R152" s="76">
        <f t="shared" si="8"/>
        <v>1.1629443636844192E-2</v>
      </c>
      <c r="S152" s="78">
        <f t="shared" si="9"/>
        <v>390198</v>
      </c>
      <c r="T152" s="74">
        <f t="shared" si="10"/>
        <v>9654</v>
      </c>
      <c r="U152" s="74">
        <f t="shared" si="11"/>
        <v>380544</v>
      </c>
      <c r="V152" s="76">
        <f t="shared" si="12"/>
        <v>2.4741285193670904E-2</v>
      </c>
    </row>
    <row r="153" spans="1:22" x14ac:dyDescent="0.25">
      <c r="A153" s="74">
        <f t="shared" si="60"/>
        <v>151</v>
      </c>
      <c r="B153" s="75">
        <v>44347</v>
      </c>
      <c r="C153" s="74">
        <v>4192</v>
      </c>
      <c r="D153" s="74">
        <v>82985</v>
      </c>
      <c r="E153" s="74">
        <f t="shared" si="0"/>
        <v>87177</v>
      </c>
      <c r="F153" s="76">
        <f t="shared" si="1"/>
        <v>4.8086077749865216E-2</v>
      </c>
      <c r="G153" s="74">
        <v>5475</v>
      </c>
      <c r="H153" s="74">
        <v>299924</v>
      </c>
      <c r="I153" s="74">
        <f t="shared" si="71"/>
        <v>305399</v>
      </c>
      <c r="J153" s="85">
        <f t="shared" si="72"/>
        <v>1.7927367149204811E-2</v>
      </c>
      <c r="K153" s="74">
        <v>42</v>
      </c>
      <c r="L153" s="74">
        <v>974</v>
      </c>
      <c r="M153" s="78">
        <f t="shared" si="4"/>
        <v>1016</v>
      </c>
      <c r="N153" s="76">
        <f t="shared" si="5"/>
        <v>4.1338582677165357E-2</v>
      </c>
      <c r="O153" s="80">
        <f t="shared" ref="O153:P153" si="165">S153-S152</f>
        <v>3394</v>
      </c>
      <c r="P153" s="80">
        <f t="shared" si="165"/>
        <v>55</v>
      </c>
      <c r="Q153" s="80">
        <f t="shared" si="7"/>
        <v>3339</v>
      </c>
      <c r="R153" s="76">
        <f t="shared" si="8"/>
        <v>1.6205067766647024E-2</v>
      </c>
      <c r="S153" s="78">
        <f t="shared" si="9"/>
        <v>393592</v>
      </c>
      <c r="T153" s="74">
        <f t="shared" si="10"/>
        <v>9709</v>
      </c>
      <c r="U153" s="74">
        <f t="shared" si="11"/>
        <v>383883</v>
      </c>
      <c r="V153" s="76">
        <f t="shared" si="12"/>
        <v>2.4667676172279926E-2</v>
      </c>
    </row>
    <row r="154" spans="1:22" x14ac:dyDescent="0.25">
      <c r="A154" s="74">
        <f t="shared" si="60"/>
        <v>152</v>
      </c>
      <c r="B154" s="75">
        <v>44348</v>
      </c>
      <c r="C154" s="74">
        <v>4194</v>
      </c>
      <c r="D154" s="74">
        <v>83396</v>
      </c>
      <c r="E154" s="74">
        <f t="shared" si="0"/>
        <v>87590</v>
      </c>
      <c r="F154" s="76">
        <f t="shared" si="1"/>
        <v>4.7882178330859684E-2</v>
      </c>
      <c r="G154" s="74">
        <v>5578</v>
      </c>
      <c r="H154" s="74">
        <v>306788</v>
      </c>
      <c r="I154" s="74">
        <f t="shared" si="71"/>
        <v>312366</v>
      </c>
      <c r="J154" s="85">
        <f t="shared" si="72"/>
        <v>1.7857257191883878E-2</v>
      </c>
      <c r="K154" s="74">
        <v>42</v>
      </c>
      <c r="L154" s="74">
        <v>974</v>
      </c>
      <c r="M154" s="78">
        <f t="shared" si="4"/>
        <v>1016</v>
      </c>
      <c r="N154" s="76">
        <f t="shared" si="5"/>
        <v>4.1338582677165357E-2</v>
      </c>
      <c r="O154" s="80">
        <f t="shared" ref="O154:P154" si="166">S154-S153</f>
        <v>7380</v>
      </c>
      <c r="P154" s="80">
        <f t="shared" si="166"/>
        <v>105</v>
      </c>
      <c r="Q154" s="80">
        <f t="shared" si="7"/>
        <v>7275</v>
      </c>
      <c r="R154" s="76">
        <f t="shared" si="8"/>
        <v>1.4227642276422764E-2</v>
      </c>
      <c r="S154" s="78">
        <f t="shared" si="9"/>
        <v>400972</v>
      </c>
      <c r="T154" s="74">
        <f t="shared" si="10"/>
        <v>9814</v>
      </c>
      <c r="U154" s="74">
        <f t="shared" si="11"/>
        <v>391158</v>
      </c>
      <c r="V154" s="76">
        <f t="shared" si="12"/>
        <v>2.4475524475524476E-2</v>
      </c>
    </row>
    <row r="155" spans="1:22" x14ac:dyDescent="0.25">
      <c r="A155" s="74">
        <f t="shared" si="60"/>
        <v>153</v>
      </c>
      <c r="B155" s="75">
        <v>44349</v>
      </c>
      <c r="C155" s="74">
        <v>4207</v>
      </c>
      <c r="D155" s="74">
        <v>84136</v>
      </c>
      <c r="E155" s="74">
        <f t="shared" si="0"/>
        <v>88343</v>
      </c>
      <c r="F155" s="76">
        <f t="shared" si="1"/>
        <v>4.7621203717329044E-2</v>
      </c>
      <c r="G155" s="74">
        <v>5649</v>
      </c>
      <c r="H155" s="74">
        <v>311181</v>
      </c>
      <c r="I155" s="74">
        <f t="shared" si="71"/>
        <v>316830</v>
      </c>
      <c r="J155" s="85">
        <f t="shared" si="72"/>
        <v>1.7829750970552029E-2</v>
      </c>
      <c r="K155" s="74">
        <v>42</v>
      </c>
      <c r="L155" s="74">
        <v>974</v>
      </c>
      <c r="M155" s="78">
        <f t="shared" si="4"/>
        <v>1016</v>
      </c>
      <c r="N155" s="76">
        <f t="shared" si="5"/>
        <v>4.1338582677165357E-2</v>
      </c>
      <c r="O155" s="80">
        <f t="shared" ref="O155:P155" si="167">S155-S154</f>
        <v>5217</v>
      </c>
      <c r="P155" s="80">
        <f t="shared" si="167"/>
        <v>84</v>
      </c>
      <c r="Q155" s="80">
        <f t="shared" si="7"/>
        <v>5133</v>
      </c>
      <c r="R155" s="76">
        <f t="shared" si="8"/>
        <v>1.6101207590569294E-2</v>
      </c>
      <c r="S155" s="78">
        <f t="shared" si="9"/>
        <v>406189</v>
      </c>
      <c r="T155" s="74">
        <f t="shared" si="10"/>
        <v>9898</v>
      </c>
      <c r="U155" s="74">
        <f t="shared" si="11"/>
        <v>396291</v>
      </c>
      <c r="V155" s="76">
        <f t="shared" si="12"/>
        <v>2.436796663622107E-2</v>
      </c>
    </row>
    <row r="156" spans="1:22" x14ac:dyDescent="0.25">
      <c r="A156" s="74">
        <f t="shared" si="60"/>
        <v>154</v>
      </c>
      <c r="B156" s="75">
        <v>44350</v>
      </c>
      <c r="C156" s="74">
        <v>4209</v>
      </c>
      <c r="D156" s="74">
        <v>84259</v>
      </c>
      <c r="E156" s="74">
        <f t="shared" si="0"/>
        <v>88468</v>
      </c>
      <c r="F156" s="76">
        <f t="shared" si="1"/>
        <v>4.7576524845141743E-2</v>
      </c>
      <c r="G156" s="74">
        <v>5803</v>
      </c>
      <c r="H156" s="74">
        <v>318546</v>
      </c>
      <c r="I156" s="74">
        <f t="shared" si="71"/>
        <v>324349</v>
      </c>
      <c r="J156" s="85">
        <f t="shared" si="72"/>
        <v>1.7891222109517834E-2</v>
      </c>
      <c r="K156" s="74">
        <v>42</v>
      </c>
      <c r="L156" s="74">
        <v>974</v>
      </c>
      <c r="M156" s="78">
        <f t="shared" si="4"/>
        <v>1016</v>
      </c>
      <c r="N156" s="76">
        <f t="shared" si="5"/>
        <v>4.1338582677165357E-2</v>
      </c>
      <c r="O156" s="80">
        <f t="shared" ref="O156:P156" si="168">S156-S155</f>
        <v>7644</v>
      </c>
      <c r="P156" s="80">
        <f t="shared" si="168"/>
        <v>156</v>
      </c>
      <c r="Q156" s="80">
        <f t="shared" si="7"/>
        <v>7488</v>
      </c>
      <c r="R156" s="76">
        <f t="shared" si="8"/>
        <v>2.0408163265306121E-2</v>
      </c>
      <c r="S156" s="78">
        <f t="shared" si="9"/>
        <v>413833</v>
      </c>
      <c r="T156" s="74">
        <f t="shared" si="10"/>
        <v>10054</v>
      </c>
      <c r="U156" s="74">
        <f t="shared" si="11"/>
        <v>403779</v>
      </c>
      <c r="V156" s="76">
        <f t="shared" si="12"/>
        <v>2.4294824240696126E-2</v>
      </c>
    </row>
    <row r="157" spans="1:22" x14ac:dyDescent="0.25">
      <c r="A157" s="74">
        <f t="shared" si="60"/>
        <v>155</v>
      </c>
      <c r="B157" s="75">
        <v>44351</v>
      </c>
      <c r="C157" s="74">
        <v>4230</v>
      </c>
      <c r="D157" s="74">
        <v>85145</v>
      </c>
      <c r="E157" s="74">
        <f t="shared" si="0"/>
        <v>89375</v>
      </c>
      <c r="F157" s="76">
        <f t="shared" si="1"/>
        <v>4.7328671328671329E-2</v>
      </c>
      <c r="G157" s="74">
        <v>5926</v>
      </c>
      <c r="H157" s="74">
        <v>324090</v>
      </c>
      <c r="I157" s="74">
        <f t="shared" si="71"/>
        <v>330016</v>
      </c>
      <c r="J157" s="85">
        <f t="shared" si="72"/>
        <v>1.7956705129448268E-2</v>
      </c>
      <c r="K157" s="74">
        <v>42</v>
      </c>
      <c r="L157" s="74">
        <v>974</v>
      </c>
      <c r="M157" s="78">
        <f t="shared" si="4"/>
        <v>1016</v>
      </c>
      <c r="N157" s="76">
        <f t="shared" si="5"/>
        <v>4.1338582677165357E-2</v>
      </c>
      <c r="O157" s="80">
        <f t="shared" ref="O157:P157" si="169">S157-S156</f>
        <v>6574</v>
      </c>
      <c r="P157" s="80">
        <f t="shared" si="169"/>
        <v>144</v>
      </c>
      <c r="Q157" s="80">
        <f t="shared" si="7"/>
        <v>6430</v>
      </c>
      <c r="R157" s="76">
        <f t="shared" si="8"/>
        <v>2.1904472163066627E-2</v>
      </c>
      <c r="S157" s="78">
        <f t="shared" si="9"/>
        <v>420407</v>
      </c>
      <c r="T157" s="74">
        <f t="shared" si="10"/>
        <v>10198</v>
      </c>
      <c r="U157" s="74">
        <f t="shared" si="11"/>
        <v>410209</v>
      </c>
      <c r="V157" s="76">
        <f t="shared" si="12"/>
        <v>2.4257445760893611E-2</v>
      </c>
    </row>
    <row r="158" spans="1:22" x14ac:dyDescent="0.25">
      <c r="A158" s="74">
        <f t="shared" si="60"/>
        <v>156</v>
      </c>
      <c r="B158" s="75">
        <v>44352</v>
      </c>
      <c r="C158" s="74">
        <v>4250</v>
      </c>
      <c r="D158" s="74">
        <v>85851</v>
      </c>
      <c r="E158" s="74">
        <f t="shared" si="0"/>
        <v>90101</v>
      </c>
      <c r="F158" s="76">
        <f t="shared" si="1"/>
        <v>4.7169287799247513E-2</v>
      </c>
      <c r="G158" s="74">
        <v>6076</v>
      </c>
      <c r="H158" s="74">
        <v>329732</v>
      </c>
      <c r="I158" s="74">
        <f t="shared" si="71"/>
        <v>335808</v>
      </c>
      <c r="J158" s="85">
        <f t="shared" si="72"/>
        <v>1.809367257480465E-2</v>
      </c>
      <c r="K158" s="74">
        <v>42</v>
      </c>
      <c r="L158" s="74">
        <v>974</v>
      </c>
      <c r="M158" s="78">
        <f t="shared" si="4"/>
        <v>1016</v>
      </c>
      <c r="N158" s="76">
        <f t="shared" si="5"/>
        <v>4.1338582677165357E-2</v>
      </c>
      <c r="O158" s="80">
        <f t="shared" ref="O158:P158" si="170">S158-S157</f>
        <v>6518</v>
      </c>
      <c r="P158" s="80">
        <f t="shared" si="170"/>
        <v>170</v>
      </c>
      <c r="Q158" s="80">
        <f t="shared" si="7"/>
        <v>6348</v>
      </c>
      <c r="R158" s="76">
        <f t="shared" si="8"/>
        <v>2.6081620128873887E-2</v>
      </c>
      <c r="S158" s="78">
        <f t="shared" si="9"/>
        <v>426925</v>
      </c>
      <c r="T158" s="74">
        <f t="shared" si="10"/>
        <v>10368</v>
      </c>
      <c r="U158" s="74">
        <f t="shared" si="11"/>
        <v>416557</v>
      </c>
      <c r="V158" s="76">
        <f t="shared" si="12"/>
        <v>2.4285296012180126E-2</v>
      </c>
    </row>
    <row r="159" spans="1:22" x14ac:dyDescent="0.25">
      <c r="A159" s="74">
        <f t="shared" si="60"/>
        <v>157</v>
      </c>
      <c r="B159" s="75">
        <v>44353</v>
      </c>
      <c r="C159" s="74">
        <v>4269</v>
      </c>
      <c r="D159" s="74">
        <v>86322</v>
      </c>
      <c r="E159" s="74">
        <f t="shared" si="0"/>
        <v>90591</v>
      </c>
      <c r="F159" s="76">
        <f t="shared" si="1"/>
        <v>4.7123886478789283E-2</v>
      </c>
      <c r="G159" s="74">
        <v>6208</v>
      </c>
      <c r="H159" s="74">
        <v>333896</v>
      </c>
      <c r="I159" s="74">
        <f t="shared" si="71"/>
        <v>340104</v>
      </c>
      <c r="J159" s="85">
        <f t="shared" si="72"/>
        <v>1.8253240185355069E-2</v>
      </c>
      <c r="K159" s="74">
        <v>42</v>
      </c>
      <c r="L159" s="74">
        <v>974</v>
      </c>
      <c r="M159" s="78">
        <f t="shared" si="4"/>
        <v>1016</v>
      </c>
      <c r="N159" s="76">
        <f t="shared" si="5"/>
        <v>4.1338582677165357E-2</v>
      </c>
      <c r="O159" s="80">
        <f t="shared" ref="O159:P159" si="171">S159-S158</f>
        <v>4786</v>
      </c>
      <c r="P159" s="80">
        <f t="shared" si="171"/>
        <v>151</v>
      </c>
      <c r="Q159" s="80">
        <f t="shared" si="7"/>
        <v>4635</v>
      </c>
      <c r="R159" s="76">
        <f t="shared" si="8"/>
        <v>3.155035520267447E-2</v>
      </c>
      <c r="S159" s="78">
        <f t="shared" si="9"/>
        <v>431711</v>
      </c>
      <c r="T159" s="74">
        <f t="shared" si="10"/>
        <v>10519</v>
      </c>
      <c r="U159" s="74">
        <f t="shared" si="11"/>
        <v>421192</v>
      </c>
      <c r="V159" s="76">
        <f t="shared" si="12"/>
        <v>2.4365837330992263E-2</v>
      </c>
    </row>
    <row r="160" spans="1:22" x14ac:dyDescent="0.25">
      <c r="A160" s="74">
        <f t="shared" si="60"/>
        <v>158</v>
      </c>
      <c r="B160" s="75">
        <v>44354</v>
      </c>
      <c r="C160" s="74">
        <v>4277</v>
      </c>
      <c r="D160" s="74">
        <v>86660</v>
      </c>
      <c r="E160" s="74">
        <f t="shared" si="0"/>
        <v>90937</v>
      </c>
      <c r="F160" s="76">
        <f t="shared" si="1"/>
        <v>4.7032561003771844E-2</v>
      </c>
      <c r="G160" s="74">
        <v>6303</v>
      </c>
      <c r="H160" s="74">
        <v>336755</v>
      </c>
      <c r="I160" s="74">
        <f t="shared" si="71"/>
        <v>343058</v>
      </c>
      <c r="J160" s="85">
        <f t="shared" si="72"/>
        <v>1.8372986492080058E-2</v>
      </c>
      <c r="K160" s="74">
        <v>42</v>
      </c>
      <c r="L160" s="74">
        <v>974</v>
      </c>
      <c r="M160" s="78">
        <f t="shared" si="4"/>
        <v>1016</v>
      </c>
      <c r="N160" s="76">
        <f t="shared" si="5"/>
        <v>4.1338582677165357E-2</v>
      </c>
      <c r="O160" s="80">
        <f t="shared" ref="O160:P160" si="172">S160-S159</f>
        <v>3300</v>
      </c>
      <c r="P160" s="80">
        <f t="shared" si="172"/>
        <v>103</v>
      </c>
      <c r="Q160" s="80">
        <f t="shared" si="7"/>
        <v>3197</v>
      </c>
      <c r="R160" s="76">
        <f t="shared" si="8"/>
        <v>3.1212121212121212E-2</v>
      </c>
      <c r="S160" s="78">
        <f t="shared" si="9"/>
        <v>435011</v>
      </c>
      <c r="T160" s="74">
        <f t="shared" si="10"/>
        <v>10622</v>
      </c>
      <c r="U160" s="74">
        <f t="shared" si="11"/>
        <v>424389</v>
      </c>
      <c r="V160" s="76">
        <f t="shared" si="12"/>
        <v>2.4417773343662574E-2</v>
      </c>
    </row>
    <row r="161" spans="1:22" x14ac:dyDescent="0.25">
      <c r="A161" s="74">
        <f t="shared" si="60"/>
        <v>159</v>
      </c>
      <c r="B161" s="75">
        <v>44355</v>
      </c>
      <c r="C161" s="74">
        <v>4280</v>
      </c>
      <c r="D161" s="74">
        <v>87024</v>
      </c>
      <c r="E161" s="74">
        <f t="shared" si="0"/>
        <v>91304</v>
      </c>
      <c r="F161" s="76">
        <f t="shared" si="1"/>
        <v>4.6876369052834488E-2</v>
      </c>
      <c r="G161" s="74">
        <v>6533</v>
      </c>
      <c r="H161" s="74">
        <v>343835</v>
      </c>
      <c r="I161" s="74">
        <f t="shared" si="71"/>
        <v>350368</v>
      </c>
      <c r="J161" s="85">
        <f t="shared" si="72"/>
        <v>1.8646109233719975E-2</v>
      </c>
      <c r="K161" s="74">
        <v>42</v>
      </c>
      <c r="L161" s="74">
        <v>974</v>
      </c>
      <c r="M161" s="78">
        <f t="shared" si="4"/>
        <v>1016</v>
      </c>
      <c r="N161" s="76">
        <f t="shared" si="5"/>
        <v>4.1338582677165357E-2</v>
      </c>
      <c r="O161" s="80">
        <f t="shared" ref="O161:P161" si="173">S161-S160</f>
        <v>7677</v>
      </c>
      <c r="P161" s="80">
        <f t="shared" si="173"/>
        <v>233</v>
      </c>
      <c r="Q161" s="80">
        <f t="shared" si="7"/>
        <v>7444</v>
      </c>
      <c r="R161" s="76">
        <f t="shared" si="8"/>
        <v>3.0350397290608309E-2</v>
      </c>
      <c r="S161" s="78">
        <f t="shared" si="9"/>
        <v>442688</v>
      </c>
      <c r="T161" s="74">
        <f t="shared" si="10"/>
        <v>10855</v>
      </c>
      <c r="U161" s="74">
        <f t="shared" si="11"/>
        <v>431833</v>
      </c>
      <c r="V161" s="76">
        <f t="shared" si="12"/>
        <v>2.4520655631053927E-2</v>
      </c>
    </row>
    <row r="162" spans="1:22" x14ac:dyDescent="0.25">
      <c r="A162" s="74">
        <f t="shared" si="60"/>
        <v>160</v>
      </c>
      <c r="B162" s="75">
        <v>44356</v>
      </c>
      <c r="C162" s="74">
        <v>4284</v>
      </c>
      <c r="D162" s="74">
        <v>87350</v>
      </c>
      <c r="E162" s="74">
        <f t="shared" si="0"/>
        <v>91634</v>
      </c>
      <c r="F162" s="76">
        <f t="shared" si="1"/>
        <v>4.6751205884278758E-2</v>
      </c>
      <c r="G162" s="74">
        <v>6766</v>
      </c>
      <c r="H162" s="74">
        <v>349404</v>
      </c>
      <c r="I162" s="74">
        <f t="shared" si="71"/>
        <v>356170</v>
      </c>
      <c r="J162" s="85">
        <f t="shared" si="72"/>
        <v>1.8996546592919113E-2</v>
      </c>
      <c r="K162" s="74">
        <v>42</v>
      </c>
      <c r="L162" s="74">
        <v>974</v>
      </c>
      <c r="M162" s="78">
        <f t="shared" si="4"/>
        <v>1016</v>
      </c>
      <c r="N162" s="76">
        <f t="shared" si="5"/>
        <v>4.1338582677165357E-2</v>
      </c>
      <c r="O162" s="80">
        <f t="shared" ref="O162:P162" si="174">S162-S161</f>
        <v>6132</v>
      </c>
      <c r="P162" s="80">
        <f t="shared" si="174"/>
        <v>237</v>
      </c>
      <c r="Q162" s="80">
        <f t="shared" si="7"/>
        <v>5895</v>
      </c>
      <c r="R162" s="76">
        <f t="shared" si="8"/>
        <v>3.8649706457925634E-2</v>
      </c>
      <c r="S162" s="78">
        <f t="shared" si="9"/>
        <v>448820</v>
      </c>
      <c r="T162" s="74">
        <f t="shared" si="10"/>
        <v>11092</v>
      </c>
      <c r="U162" s="74">
        <f t="shared" si="11"/>
        <v>437728</v>
      </c>
      <c r="V162" s="76">
        <f t="shared" si="12"/>
        <v>2.4713693685664631E-2</v>
      </c>
    </row>
    <row r="163" spans="1:22" x14ac:dyDescent="0.25">
      <c r="A163" s="74">
        <f t="shared" si="60"/>
        <v>161</v>
      </c>
      <c r="B163" s="75">
        <v>44357</v>
      </c>
      <c r="C163" s="74">
        <v>4288</v>
      </c>
      <c r="D163" s="74">
        <v>87673</v>
      </c>
      <c r="E163" s="74">
        <f t="shared" si="0"/>
        <v>91961</v>
      </c>
      <c r="F163" s="76">
        <f t="shared" si="1"/>
        <v>4.6628462065440787E-2</v>
      </c>
      <c r="G163" s="74">
        <v>6992</v>
      </c>
      <c r="H163" s="74">
        <v>354247</v>
      </c>
      <c r="I163" s="74">
        <f t="shared" si="71"/>
        <v>361239</v>
      </c>
      <c r="J163" s="85">
        <f t="shared" si="72"/>
        <v>1.9355606675912622E-2</v>
      </c>
      <c r="K163" s="74">
        <v>42</v>
      </c>
      <c r="L163" s="74">
        <v>974</v>
      </c>
      <c r="M163" s="78">
        <f t="shared" si="4"/>
        <v>1016</v>
      </c>
      <c r="N163" s="76">
        <f t="shared" si="5"/>
        <v>4.1338582677165357E-2</v>
      </c>
      <c r="O163" s="80">
        <f t="shared" ref="O163:P163" si="175">S163-S162</f>
        <v>5396</v>
      </c>
      <c r="P163" s="80">
        <f t="shared" si="175"/>
        <v>230</v>
      </c>
      <c r="Q163" s="80">
        <f t="shared" si="7"/>
        <v>5166</v>
      </c>
      <c r="R163" s="76">
        <f t="shared" si="8"/>
        <v>4.2624166048925133E-2</v>
      </c>
      <c r="S163" s="78">
        <f t="shared" si="9"/>
        <v>454216</v>
      </c>
      <c r="T163" s="74">
        <f t="shared" si="10"/>
        <v>11322</v>
      </c>
      <c r="U163" s="74">
        <f t="shared" si="11"/>
        <v>442894</v>
      </c>
      <c r="V163" s="76">
        <f t="shared" si="12"/>
        <v>2.4926466703066384E-2</v>
      </c>
    </row>
    <row r="164" spans="1:22" x14ac:dyDescent="0.25">
      <c r="A164" s="74">
        <f t="shared" si="60"/>
        <v>162</v>
      </c>
      <c r="B164" s="75">
        <v>44358</v>
      </c>
      <c r="C164" s="74">
        <v>4303</v>
      </c>
      <c r="D164" s="74">
        <v>88271</v>
      </c>
      <c r="E164" s="74">
        <f t="shared" si="0"/>
        <v>92574</v>
      </c>
      <c r="F164" s="76">
        <f t="shared" si="1"/>
        <v>4.6481733532093242E-2</v>
      </c>
      <c r="G164" s="74">
        <v>7193</v>
      </c>
      <c r="H164" s="74">
        <v>359659</v>
      </c>
      <c r="I164" s="74">
        <f t="shared" si="71"/>
        <v>366852</v>
      </c>
      <c r="J164" s="85">
        <f t="shared" si="72"/>
        <v>1.9607362096976437E-2</v>
      </c>
      <c r="K164" s="74">
        <v>42</v>
      </c>
      <c r="L164" s="74">
        <v>974</v>
      </c>
      <c r="M164" s="78">
        <f t="shared" si="4"/>
        <v>1016</v>
      </c>
      <c r="N164" s="76">
        <f t="shared" si="5"/>
        <v>4.1338582677165357E-2</v>
      </c>
      <c r="O164" s="80">
        <f t="shared" ref="O164:P164" si="176">S164-S163</f>
        <v>6226</v>
      </c>
      <c r="P164" s="80">
        <f t="shared" si="176"/>
        <v>216</v>
      </c>
      <c r="Q164" s="80">
        <f t="shared" si="7"/>
        <v>6010</v>
      </c>
      <c r="R164" s="76">
        <f t="shared" si="8"/>
        <v>3.4693221972373914E-2</v>
      </c>
      <c r="S164" s="78">
        <f t="shared" si="9"/>
        <v>460442</v>
      </c>
      <c r="T164" s="74">
        <f t="shared" si="10"/>
        <v>11538</v>
      </c>
      <c r="U164" s="74">
        <f t="shared" si="11"/>
        <v>448904</v>
      </c>
      <c r="V164" s="76">
        <f t="shared" si="12"/>
        <v>2.5058530716137971E-2</v>
      </c>
    </row>
    <row r="165" spans="1:22" x14ac:dyDescent="0.25">
      <c r="A165" s="74">
        <f t="shared" si="60"/>
        <v>163</v>
      </c>
      <c r="B165" s="75">
        <v>44359</v>
      </c>
      <c r="C165" s="74">
        <v>4325</v>
      </c>
      <c r="D165" s="74">
        <v>88905</v>
      </c>
      <c r="E165" s="74">
        <f t="shared" si="0"/>
        <v>93230</v>
      </c>
      <c r="F165" s="76">
        <f t="shared" si="1"/>
        <v>4.6390646787514749E-2</v>
      </c>
      <c r="G165" s="74">
        <v>7481</v>
      </c>
      <c r="H165" s="74">
        <v>364204</v>
      </c>
      <c r="I165" s="74">
        <f t="shared" si="71"/>
        <v>371685</v>
      </c>
      <c r="J165" s="85">
        <f t="shared" si="72"/>
        <v>2.012725829667595E-2</v>
      </c>
      <c r="K165" s="74">
        <v>42</v>
      </c>
      <c r="L165" s="74">
        <v>974</v>
      </c>
      <c r="M165" s="78">
        <f t="shared" si="4"/>
        <v>1016</v>
      </c>
      <c r="N165" s="76">
        <f t="shared" si="5"/>
        <v>4.1338582677165357E-2</v>
      </c>
      <c r="O165" s="80">
        <f t="shared" ref="O165:P165" si="177">S165-S164</f>
        <v>5489</v>
      </c>
      <c r="P165" s="80">
        <f t="shared" si="177"/>
        <v>310</v>
      </c>
      <c r="Q165" s="80">
        <f t="shared" si="7"/>
        <v>5179</v>
      </c>
      <c r="R165" s="76">
        <f t="shared" si="8"/>
        <v>5.6476589542721806E-2</v>
      </c>
      <c r="S165" s="78">
        <f t="shared" si="9"/>
        <v>465931</v>
      </c>
      <c r="T165" s="74">
        <f t="shared" si="10"/>
        <v>11848</v>
      </c>
      <c r="U165" s="74">
        <f t="shared" si="11"/>
        <v>454083</v>
      </c>
      <c r="V165" s="76">
        <f t="shared" si="12"/>
        <v>2.542865789140452E-2</v>
      </c>
    </row>
    <row r="166" spans="1:22" x14ac:dyDescent="0.25">
      <c r="A166" s="74">
        <f t="shared" si="60"/>
        <v>164</v>
      </c>
      <c r="B166" s="75">
        <v>44360</v>
      </c>
      <c r="C166" s="74">
        <v>4342</v>
      </c>
      <c r="D166" s="74">
        <v>89305</v>
      </c>
      <c r="E166" s="74">
        <f t="shared" si="0"/>
        <v>93647</v>
      </c>
      <c r="F166" s="76">
        <f t="shared" si="1"/>
        <v>4.6365607013572244E-2</v>
      </c>
      <c r="G166" s="74">
        <v>7713</v>
      </c>
      <c r="H166" s="74">
        <v>367162</v>
      </c>
      <c r="I166" s="74">
        <f t="shared" si="71"/>
        <v>374875</v>
      </c>
      <c r="J166" s="85">
        <f t="shared" si="72"/>
        <v>2.0574858286095364E-2</v>
      </c>
      <c r="K166" s="74">
        <v>42</v>
      </c>
      <c r="L166" s="74">
        <v>974</v>
      </c>
      <c r="M166" s="78">
        <f t="shared" si="4"/>
        <v>1016</v>
      </c>
      <c r="N166" s="76">
        <f t="shared" si="5"/>
        <v>4.1338582677165357E-2</v>
      </c>
      <c r="O166" s="80">
        <f t="shared" ref="O166:P166" si="178">S166-S165</f>
        <v>3607</v>
      </c>
      <c r="P166" s="80">
        <f t="shared" si="178"/>
        <v>249</v>
      </c>
      <c r="Q166" s="80">
        <f t="shared" si="7"/>
        <v>3358</v>
      </c>
      <c r="R166" s="76">
        <f t="shared" si="8"/>
        <v>6.9032436928195176E-2</v>
      </c>
      <c r="S166" s="78">
        <f t="shared" si="9"/>
        <v>469538</v>
      </c>
      <c r="T166" s="74">
        <f t="shared" si="10"/>
        <v>12097</v>
      </c>
      <c r="U166" s="74">
        <f t="shared" si="11"/>
        <v>457441</v>
      </c>
      <c r="V166" s="76">
        <f t="shared" si="12"/>
        <v>2.5763622965553373E-2</v>
      </c>
    </row>
    <row r="167" spans="1:22" x14ac:dyDescent="0.25">
      <c r="A167" s="74">
        <f t="shared" si="60"/>
        <v>165</v>
      </c>
      <c r="B167" s="75">
        <v>44361</v>
      </c>
      <c r="C167" s="74">
        <v>4347</v>
      </c>
      <c r="D167" s="74">
        <v>89526</v>
      </c>
      <c r="E167" s="74">
        <f t="shared" si="0"/>
        <v>93873</v>
      </c>
      <c r="F167" s="76">
        <f t="shared" si="1"/>
        <v>4.6307244894698153E-2</v>
      </c>
      <c r="G167" s="74">
        <v>7909</v>
      </c>
      <c r="H167" s="74">
        <v>369718</v>
      </c>
      <c r="I167" s="74">
        <f t="shared" si="71"/>
        <v>377627</v>
      </c>
      <c r="J167" s="85">
        <f t="shared" si="72"/>
        <v>2.0943947334274297E-2</v>
      </c>
      <c r="K167" s="74">
        <v>42</v>
      </c>
      <c r="L167" s="74">
        <v>974</v>
      </c>
      <c r="M167" s="78">
        <f t="shared" si="4"/>
        <v>1016</v>
      </c>
      <c r="N167" s="76">
        <f t="shared" si="5"/>
        <v>4.1338582677165357E-2</v>
      </c>
      <c r="O167" s="80">
        <f t="shared" ref="O167:P167" si="179">S167-S166</f>
        <v>2978</v>
      </c>
      <c r="P167" s="80">
        <f t="shared" si="179"/>
        <v>201</v>
      </c>
      <c r="Q167" s="80">
        <f t="shared" si="7"/>
        <v>2777</v>
      </c>
      <c r="R167" s="76">
        <f t="shared" si="8"/>
        <v>6.749496306245803E-2</v>
      </c>
      <c r="S167" s="78">
        <f t="shared" si="9"/>
        <v>472516</v>
      </c>
      <c r="T167" s="74">
        <f t="shared" si="10"/>
        <v>12298</v>
      </c>
      <c r="U167" s="74">
        <f t="shared" si="11"/>
        <v>460218</v>
      </c>
      <c r="V167" s="76">
        <f t="shared" si="12"/>
        <v>2.6026631902411772E-2</v>
      </c>
    </row>
    <row r="168" spans="1:22" x14ac:dyDescent="0.25">
      <c r="A168" s="74">
        <f t="shared" si="60"/>
        <v>166</v>
      </c>
      <c r="B168" s="75">
        <v>44362</v>
      </c>
      <c r="C168" s="74">
        <v>4349</v>
      </c>
      <c r="D168" s="74">
        <v>89609</v>
      </c>
      <c r="E168" s="74">
        <f t="shared" si="0"/>
        <v>93958</v>
      </c>
      <c r="F168" s="76">
        <f t="shared" si="1"/>
        <v>4.6286638710913389E-2</v>
      </c>
      <c r="G168" s="74">
        <v>8335</v>
      </c>
      <c r="H168" s="74">
        <v>374839</v>
      </c>
      <c r="I168" s="74">
        <f t="shared" si="71"/>
        <v>383174</v>
      </c>
      <c r="J168" s="85">
        <f t="shared" si="72"/>
        <v>2.1752519742988825E-2</v>
      </c>
      <c r="K168" s="74">
        <v>42</v>
      </c>
      <c r="L168" s="74">
        <v>974</v>
      </c>
      <c r="M168" s="78">
        <f t="shared" si="4"/>
        <v>1016</v>
      </c>
      <c r="N168" s="76">
        <f t="shared" si="5"/>
        <v>4.1338582677165357E-2</v>
      </c>
      <c r="O168" s="80">
        <f t="shared" ref="O168:P168" si="180">S168-S167</f>
        <v>5632</v>
      </c>
      <c r="P168" s="80">
        <f t="shared" si="180"/>
        <v>428</v>
      </c>
      <c r="Q168" s="80">
        <f t="shared" si="7"/>
        <v>5204</v>
      </c>
      <c r="R168" s="76">
        <f t="shared" si="8"/>
        <v>7.5994318181818177E-2</v>
      </c>
      <c r="S168" s="78">
        <f t="shared" si="9"/>
        <v>478148</v>
      </c>
      <c r="T168" s="74">
        <f t="shared" si="10"/>
        <v>12726</v>
      </c>
      <c r="U168" s="74">
        <f t="shared" si="11"/>
        <v>465422</v>
      </c>
      <c r="V168" s="76">
        <f t="shared" si="12"/>
        <v>2.6615190275814184E-2</v>
      </c>
    </row>
    <row r="169" spans="1:22" x14ac:dyDescent="0.25">
      <c r="A169" s="74">
        <f t="shared" si="60"/>
        <v>167</v>
      </c>
      <c r="B169" s="75">
        <v>44363</v>
      </c>
      <c r="C169" s="74">
        <v>4354</v>
      </c>
      <c r="D169" s="74">
        <v>89796</v>
      </c>
      <c r="E169" s="74">
        <f t="shared" si="0"/>
        <v>94150</v>
      </c>
      <c r="F169" s="76">
        <f t="shared" si="1"/>
        <v>4.6245353159851302E-2</v>
      </c>
      <c r="G169" s="74">
        <v>8527</v>
      </c>
      <c r="H169" s="74">
        <v>377050</v>
      </c>
      <c r="I169" s="74">
        <f t="shared" si="71"/>
        <v>385577</v>
      </c>
      <c r="J169" s="85">
        <f t="shared" si="72"/>
        <v>2.2114908306252706E-2</v>
      </c>
      <c r="K169" s="74">
        <v>42</v>
      </c>
      <c r="L169" s="74">
        <v>974</v>
      </c>
      <c r="M169" s="78">
        <f t="shared" si="4"/>
        <v>1016</v>
      </c>
      <c r="N169" s="76">
        <f t="shared" si="5"/>
        <v>4.1338582677165357E-2</v>
      </c>
      <c r="O169" s="80">
        <f t="shared" ref="O169:P169" si="181">S169-S168</f>
        <v>2595</v>
      </c>
      <c r="P169" s="80">
        <f t="shared" si="181"/>
        <v>197</v>
      </c>
      <c r="Q169" s="80">
        <f t="shared" si="7"/>
        <v>2398</v>
      </c>
      <c r="R169" s="76">
        <f t="shared" si="8"/>
        <v>7.5915221579961459E-2</v>
      </c>
      <c r="S169" s="78">
        <f t="shared" si="9"/>
        <v>480743</v>
      </c>
      <c r="T169" s="74">
        <f t="shared" si="10"/>
        <v>12923</v>
      </c>
      <c r="U169" s="74">
        <f t="shared" si="11"/>
        <v>467820</v>
      </c>
      <c r="V169" s="76">
        <f t="shared" si="12"/>
        <v>2.68813066440905E-2</v>
      </c>
    </row>
    <row r="170" spans="1:22" x14ac:dyDescent="0.25">
      <c r="A170" s="74">
        <f t="shared" si="60"/>
        <v>168</v>
      </c>
      <c r="B170" s="75">
        <v>44364</v>
      </c>
      <c r="C170" s="74">
        <v>4376</v>
      </c>
      <c r="D170" s="74">
        <v>90196</v>
      </c>
      <c r="E170" s="74">
        <f t="shared" si="0"/>
        <v>94572</v>
      </c>
      <c r="F170" s="76">
        <f t="shared" si="1"/>
        <v>4.6271623736412471E-2</v>
      </c>
      <c r="G170" s="74">
        <v>8875</v>
      </c>
      <c r="H170" s="74">
        <v>381192</v>
      </c>
      <c r="I170" s="74">
        <f t="shared" si="71"/>
        <v>390067</v>
      </c>
      <c r="J170" s="85">
        <f t="shared" si="72"/>
        <v>2.2752501493333195E-2</v>
      </c>
      <c r="K170" s="74">
        <v>42</v>
      </c>
      <c r="L170" s="74">
        <v>974</v>
      </c>
      <c r="M170" s="78">
        <f t="shared" si="4"/>
        <v>1016</v>
      </c>
      <c r="N170" s="76">
        <f t="shared" si="5"/>
        <v>4.1338582677165357E-2</v>
      </c>
      <c r="O170" s="80">
        <f t="shared" ref="O170:P170" si="182">S170-S169</f>
        <v>4912</v>
      </c>
      <c r="P170" s="80">
        <f t="shared" si="182"/>
        <v>370</v>
      </c>
      <c r="Q170" s="80">
        <f t="shared" si="7"/>
        <v>4542</v>
      </c>
      <c r="R170" s="76">
        <f t="shared" si="8"/>
        <v>7.5325732899022807E-2</v>
      </c>
      <c r="S170" s="78">
        <f t="shared" si="9"/>
        <v>485655</v>
      </c>
      <c r="T170" s="74">
        <f t="shared" si="10"/>
        <v>13293</v>
      </c>
      <c r="U170" s="74">
        <f t="shared" si="11"/>
        <v>472362</v>
      </c>
      <c r="V170" s="76">
        <f t="shared" si="12"/>
        <v>2.7371282082960125E-2</v>
      </c>
    </row>
    <row r="171" spans="1:22" x14ac:dyDescent="0.25">
      <c r="A171" s="74">
        <f t="shared" si="60"/>
        <v>169</v>
      </c>
      <c r="B171" s="75">
        <v>44365</v>
      </c>
      <c r="C171" s="74">
        <v>4402</v>
      </c>
      <c r="D171" s="74">
        <v>90504</v>
      </c>
      <c r="E171" s="74">
        <f t="shared" si="0"/>
        <v>94906</v>
      </c>
      <c r="F171" s="76">
        <f t="shared" si="1"/>
        <v>4.6382736602533031E-2</v>
      </c>
      <c r="G171" s="74">
        <v>9304</v>
      </c>
      <c r="H171" s="74">
        <v>384983</v>
      </c>
      <c r="I171" s="74">
        <f t="shared" si="71"/>
        <v>394287</v>
      </c>
      <c r="J171" s="85">
        <f t="shared" si="72"/>
        <v>2.3597024502456331E-2</v>
      </c>
      <c r="K171" s="74">
        <v>42</v>
      </c>
      <c r="L171" s="74">
        <v>974</v>
      </c>
      <c r="M171" s="78">
        <f t="shared" si="4"/>
        <v>1016</v>
      </c>
      <c r="N171" s="76">
        <f t="shared" si="5"/>
        <v>4.1338582677165357E-2</v>
      </c>
      <c r="O171" s="80">
        <f t="shared" ref="O171:P171" si="183">S171-S170</f>
        <v>4554</v>
      </c>
      <c r="P171" s="80">
        <f t="shared" si="183"/>
        <v>455</v>
      </c>
      <c r="Q171" s="80">
        <f t="shared" si="7"/>
        <v>4099</v>
      </c>
      <c r="R171" s="76">
        <f t="shared" si="8"/>
        <v>9.9912165129556432E-2</v>
      </c>
      <c r="S171" s="78">
        <f t="shared" si="9"/>
        <v>490209</v>
      </c>
      <c r="T171" s="74">
        <f t="shared" si="10"/>
        <v>13748</v>
      </c>
      <c r="U171" s="74">
        <f t="shared" si="11"/>
        <v>476461</v>
      </c>
      <c r="V171" s="76">
        <f t="shared" si="12"/>
        <v>2.8045180729035984E-2</v>
      </c>
    </row>
    <row r="172" spans="1:22" x14ac:dyDescent="0.25">
      <c r="A172" s="74">
        <f t="shared" si="60"/>
        <v>170</v>
      </c>
      <c r="B172" s="75">
        <v>44366</v>
      </c>
      <c r="C172" s="74">
        <v>4437</v>
      </c>
      <c r="D172" s="74">
        <v>91096</v>
      </c>
      <c r="E172" s="74">
        <f t="shared" si="0"/>
        <v>95533</v>
      </c>
      <c r="F172" s="76">
        <f t="shared" si="1"/>
        <v>4.6444684035882887E-2</v>
      </c>
      <c r="G172" s="74">
        <v>9703</v>
      </c>
      <c r="H172" s="74">
        <v>388765</v>
      </c>
      <c r="I172" s="74">
        <f t="shared" si="71"/>
        <v>398468</v>
      </c>
      <c r="J172" s="85">
        <f t="shared" si="72"/>
        <v>2.4350763423913589E-2</v>
      </c>
      <c r="K172" s="74">
        <v>42</v>
      </c>
      <c r="L172" s="74">
        <v>974</v>
      </c>
      <c r="M172" s="78">
        <f t="shared" si="4"/>
        <v>1016</v>
      </c>
      <c r="N172" s="76">
        <f t="shared" si="5"/>
        <v>4.1338582677165357E-2</v>
      </c>
      <c r="O172" s="80">
        <f t="shared" ref="O172:P172" si="184">S172-S171</f>
        <v>4808</v>
      </c>
      <c r="P172" s="80">
        <f t="shared" si="184"/>
        <v>434</v>
      </c>
      <c r="Q172" s="80">
        <f t="shared" si="7"/>
        <v>4374</v>
      </c>
      <c r="R172" s="76">
        <f t="shared" si="8"/>
        <v>9.0266222961730452E-2</v>
      </c>
      <c r="S172" s="78">
        <f t="shared" si="9"/>
        <v>495017</v>
      </c>
      <c r="T172" s="74">
        <f t="shared" si="10"/>
        <v>14182</v>
      </c>
      <c r="U172" s="74">
        <f t="shared" si="11"/>
        <v>480835</v>
      </c>
      <c r="V172" s="76">
        <f t="shared" si="12"/>
        <v>2.8649521127557236E-2</v>
      </c>
    </row>
    <row r="173" spans="1:22" x14ac:dyDescent="0.25">
      <c r="A173" s="74">
        <f t="shared" si="60"/>
        <v>171</v>
      </c>
      <c r="B173" s="75">
        <v>44367</v>
      </c>
      <c r="C173" s="74">
        <v>4472</v>
      </c>
      <c r="D173" s="74">
        <v>91728</v>
      </c>
      <c r="E173" s="74">
        <f t="shared" si="0"/>
        <v>96200</v>
      </c>
      <c r="F173" s="76">
        <f t="shared" si="1"/>
        <v>4.6486486486486484E-2</v>
      </c>
      <c r="G173" s="74">
        <v>10202</v>
      </c>
      <c r="H173" s="74">
        <v>392234</v>
      </c>
      <c r="I173" s="74">
        <f t="shared" si="71"/>
        <v>402436</v>
      </c>
      <c r="J173" s="85">
        <f t="shared" si="72"/>
        <v>2.5350614756135138E-2</v>
      </c>
      <c r="K173" s="74">
        <v>42</v>
      </c>
      <c r="L173" s="74">
        <v>974</v>
      </c>
      <c r="M173" s="78">
        <f t="shared" si="4"/>
        <v>1016</v>
      </c>
      <c r="N173" s="76">
        <f t="shared" si="5"/>
        <v>4.1338582677165357E-2</v>
      </c>
      <c r="O173" s="80">
        <f t="shared" ref="O173:P173" si="185">S173-S172</f>
        <v>4635</v>
      </c>
      <c r="P173" s="80">
        <f t="shared" si="185"/>
        <v>534</v>
      </c>
      <c r="Q173" s="80">
        <f t="shared" si="7"/>
        <v>4101</v>
      </c>
      <c r="R173" s="76">
        <f t="shared" si="8"/>
        <v>0.11521035598705502</v>
      </c>
      <c r="S173" s="78">
        <f t="shared" si="9"/>
        <v>499652</v>
      </c>
      <c r="T173" s="74">
        <f t="shared" si="10"/>
        <v>14716</v>
      </c>
      <c r="U173" s="74">
        <f t="shared" si="11"/>
        <v>484936</v>
      </c>
      <c r="V173" s="76">
        <f t="shared" si="12"/>
        <v>2.9452498939261725E-2</v>
      </c>
    </row>
    <row r="174" spans="1:22" x14ac:dyDescent="0.25">
      <c r="A174" s="74">
        <f t="shared" si="60"/>
        <v>172</v>
      </c>
      <c r="B174" s="75">
        <v>44368</v>
      </c>
      <c r="C174" s="74">
        <v>4508</v>
      </c>
      <c r="D174" s="74">
        <v>91987</v>
      </c>
      <c r="E174" s="74">
        <f t="shared" si="0"/>
        <v>96495</v>
      </c>
      <c r="F174" s="76">
        <f t="shared" si="1"/>
        <v>4.6717446499818641E-2</v>
      </c>
      <c r="G174" s="74">
        <v>10480</v>
      </c>
      <c r="H174" s="74">
        <v>394512</v>
      </c>
      <c r="I174" s="74">
        <f t="shared" si="71"/>
        <v>404992</v>
      </c>
      <c r="J174" s="85">
        <f t="shared" si="72"/>
        <v>2.5877054361567637E-2</v>
      </c>
      <c r="K174" s="74">
        <v>42</v>
      </c>
      <c r="L174" s="74">
        <v>974</v>
      </c>
      <c r="M174" s="78">
        <f t="shared" si="4"/>
        <v>1016</v>
      </c>
      <c r="N174" s="76">
        <f t="shared" si="5"/>
        <v>4.1338582677165357E-2</v>
      </c>
      <c r="O174" s="80">
        <f t="shared" ref="O174:P174" si="186">S174-S173</f>
        <v>2851</v>
      </c>
      <c r="P174" s="80">
        <f t="shared" si="186"/>
        <v>314</v>
      </c>
      <c r="Q174" s="80">
        <f t="shared" si="7"/>
        <v>2537</v>
      </c>
      <c r="R174" s="76">
        <f t="shared" si="8"/>
        <v>0.11013679410733077</v>
      </c>
      <c r="S174" s="78">
        <f t="shared" si="9"/>
        <v>502503</v>
      </c>
      <c r="T174" s="74">
        <f t="shared" si="10"/>
        <v>15030</v>
      </c>
      <c r="U174" s="74">
        <f t="shared" si="11"/>
        <v>487473</v>
      </c>
      <c r="V174" s="76">
        <f t="shared" si="12"/>
        <v>2.991026919242273E-2</v>
      </c>
    </row>
    <row r="175" spans="1:22" x14ac:dyDescent="0.25">
      <c r="A175" s="74">
        <f t="shared" si="60"/>
        <v>173</v>
      </c>
      <c r="B175" s="75">
        <v>44369</v>
      </c>
      <c r="C175" s="74">
        <v>4547</v>
      </c>
      <c r="D175" s="74">
        <v>92169</v>
      </c>
      <c r="E175" s="74">
        <f t="shared" si="0"/>
        <v>96716</v>
      </c>
      <c r="F175" s="76">
        <f t="shared" si="1"/>
        <v>4.7013937714545678E-2</v>
      </c>
      <c r="G175" s="74">
        <v>11038</v>
      </c>
      <c r="H175" s="74">
        <v>398173</v>
      </c>
      <c r="I175" s="74">
        <f t="shared" si="71"/>
        <v>409211</v>
      </c>
      <c r="J175" s="85">
        <f t="shared" si="72"/>
        <v>2.6973859451481022E-2</v>
      </c>
      <c r="K175" s="74">
        <v>42</v>
      </c>
      <c r="L175" s="74">
        <v>974</v>
      </c>
      <c r="M175" s="78">
        <f t="shared" si="4"/>
        <v>1016</v>
      </c>
      <c r="N175" s="76">
        <f t="shared" si="5"/>
        <v>4.1338582677165357E-2</v>
      </c>
      <c r="O175" s="80">
        <f t="shared" ref="O175:P175" si="187">S175-S174</f>
        <v>4440</v>
      </c>
      <c r="P175" s="80">
        <f t="shared" si="187"/>
        <v>597</v>
      </c>
      <c r="Q175" s="80">
        <f t="shared" si="7"/>
        <v>3843</v>
      </c>
      <c r="R175" s="76">
        <f t="shared" si="8"/>
        <v>0.13445945945945945</v>
      </c>
      <c r="S175" s="78">
        <f t="shared" si="9"/>
        <v>506943</v>
      </c>
      <c r="T175" s="74">
        <f t="shared" si="10"/>
        <v>15627</v>
      </c>
      <c r="U175" s="74">
        <f t="shared" si="11"/>
        <v>491316</v>
      </c>
      <c r="V175" s="76">
        <f t="shared" si="12"/>
        <v>3.0825950846544877E-2</v>
      </c>
    </row>
    <row r="176" spans="1:22" x14ac:dyDescent="0.25">
      <c r="A176" s="74">
        <f t="shared" si="60"/>
        <v>174</v>
      </c>
      <c r="B176" s="75">
        <v>44370</v>
      </c>
      <c r="C176" s="74">
        <v>4568</v>
      </c>
      <c r="D176" s="74">
        <v>92431</v>
      </c>
      <c r="E176" s="74">
        <f t="shared" si="0"/>
        <v>96999</v>
      </c>
      <c r="F176" s="76">
        <f t="shared" si="1"/>
        <v>4.7093269002773226E-2</v>
      </c>
      <c r="G176" s="74">
        <v>11742</v>
      </c>
      <c r="H176" s="74">
        <v>401322</v>
      </c>
      <c r="I176" s="74">
        <f t="shared" si="71"/>
        <v>413064</v>
      </c>
      <c r="J176" s="85">
        <f t="shared" si="72"/>
        <v>2.8426587647434779E-2</v>
      </c>
      <c r="K176" s="74">
        <v>42</v>
      </c>
      <c r="L176" s="74">
        <v>974</v>
      </c>
      <c r="M176" s="78">
        <f t="shared" si="4"/>
        <v>1016</v>
      </c>
      <c r="N176" s="76">
        <f t="shared" si="5"/>
        <v>4.1338582677165357E-2</v>
      </c>
      <c r="O176" s="80">
        <f t="shared" ref="O176:P176" si="188">S176-S175</f>
        <v>4136</v>
      </c>
      <c r="P176" s="80">
        <f t="shared" si="188"/>
        <v>725</v>
      </c>
      <c r="Q176" s="80">
        <f t="shared" si="7"/>
        <v>3411</v>
      </c>
      <c r="R176" s="76">
        <f t="shared" si="8"/>
        <v>0.17529013539651839</v>
      </c>
      <c r="S176" s="78">
        <f t="shared" si="9"/>
        <v>511079</v>
      </c>
      <c r="T176" s="74">
        <f t="shared" si="10"/>
        <v>16352</v>
      </c>
      <c r="U176" s="74">
        <f t="shared" si="11"/>
        <v>494727</v>
      </c>
      <c r="V176" s="76">
        <f t="shared" si="12"/>
        <v>3.1995053602280665E-2</v>
      </c>
    </row>
    <row r="177" spans="1:22" x14ac:dyDescent="0.25">
      <c r="A177" s="74">
        <f t="shared" si="60"/>
        <v>175</v>
      </c>
      <c r="B177" s="75">
        <v>44371</v>
      </c>
      <c r="C177" s="74">
        <v>4629</v>
      </c>
      <c r="D177" s="74">
        <v>92831</v>
      </c>
      <c r="E177" s="74">
        <f t="shared" si="0"/>
        <v>97460</v>
      </c>
      <c r="F177" s="76">
        <f t="shared" si="1"/>
        <v>4.7496408783090499E-2</v>
      </c>
      <c r="G177" s="74">
        <v>12457</v>
      </c>
      <c r="H177" s="74">
        <v>405199</v>
      </c>
      <c r="I177" s="74">
        <f t="shared" si="71"/>
        <v>417656</v>
      </c>
      <c r="J177" s="85">
        <f t="shared" si="72"/>
        <v>2.9825981190261842E-2</v>
      </c>
      <c r="K177" s="74">
        <v>42</v>
      </c>
      <c r="L177" s="74">
        <v>974</v>
      </c>
      <c r="M177" s="78">
        <f t="shared" si="4"/>
        <v>1016</v>
      </c>
      <c r="N177" s="76">
        <f t="shared" si="5"/>
        <v>4.1338582677165357E-2</v>
      </c>
      <c r="O177" s="80">
        <f t="shared" ref="O177:P177" si="189">S177-S176</f>
        <v>5053</v>
      </c>
      <c r="P177" s="80">
        <f t="shared" si="189"/>
        <v>776</v>
      </c>
      <c r="Q177" s="80">
        <f t="shared" si="7"/>
        <v>4277</v>
      </c>
      <c r="R177" s="76">
        <f t="shared" si="8"/>
        <v>0.15357213536512962</v>
      </c>
      <c r="S177" s="78">
        <f t="shared" si="9"/>
        <v>516132</v>
      </c>
      <c r="T177" s="74">
        <f t="shared" si="10"/>
        <v>17128</v>
      </c>
      <c r="U177" s="74">
        <f t="shared" si="11"/>
        <v>499004</v>
      </c>
      <c r="V177" s="76">
        <f t="shared" si="12"/>
        <v>3.3185309184472191E-2</v>
      </c>
    </row>
    <row r="178" spans="1:22" x14ac:dyDescent="0.25">
      <c r="A178" s="74">
        <f t="shared" si="60"/>
        <v>176</v>
      </c>
      <c r="B178" s="75">
        <v>44372</v>
      </c>
      <c r="C178" s="74">
        <v>4708</v>
      </c>
      <c r="D178" s="74">
        <v>93453</v>
      </c>
      <c r="E178" s="74">
        <f t="shared" si="0"/>
        <v>98161</v>
      </c>
      <c r="F178" s="76">
        <f t="shared" si="1"/>
        <v>4.7962021576797305E-2</v>
      </c>
      <c r="G178" s="74">
        <v>13117</v>
      </c>
      <c r="H178" s="74">
        <v>408235</v>
      </c>
      <c r="I178" s="74">
        <f t="shared" si="71"/>
        <v>421352</v>
      </c>
      <c r="J178" s="85">
        <f t="shared" si="72"/>
        <v>3.1130741043118342E-2</v>
      </c>
      <c r="K178" s="74">
        <v>42</v>
      </c>
      <c r="L178" s="74">
        <v>974</v>
      </c>
      <c r="M178" s="78">
        <f t="shared" si="4"/>
        <v>1016</v>
      </c>
      <c r="N178" s="76">
        <f t="shared" si="5"/>
        <v>4.1338582677165357E-2</v>
      </c>
      <c r="O178" s="80">
        <f t="shared" ref="O178:P178" si="190">S178-S177</f>
        <v>4397</v>
      </c>
      <c r="P178" s="80">
        <f t="shared" si="190"/>
        <v>739</v>
      </c>
      <c r="Q178" s="80">
        <f t="shared" si="7"/>
        <v>3658</v>
      </c>
      <c r="R178" s="76">
        <f t="shared" si="8"/>
        <v>0.16806913804866955</v>
      </c>
      <c r="S178" s="78">
        <f t="shared" si="9"/>
        <v>520529</v>
      </c>
      <c r="T178" s="74">
        <f t="shared" si="10"/>
        <v>17867</v>
      </c>
      <c r="U178" s="74">
        <f t="shared" si="11"/>
        <v>502662</v>
      </c>
      <c r="V178" s="76">
        <f t="shared" si="12"/>
        <v>3.4324696606721238E-2</v>
      </c>
    </row>
    <row r="179" spans="1:22" x14ac:dyDescent="0.25">
      <c r="A179" s="74">
        <f t="shared" si="60"/>
        <v>177</v>
      </c>
      <c r="B179" s="75">
        <v>44373</v>
      </c>
      <c r="C179" s="74">
        <v>4767</v>
      </c>
      <c r="D179" s="74">
        <v>93890</v>
      </c>
      <c r="E179" s="74">
        <f t="shared" si="0"/>
        <v>98657</v>
      </c>
      <c r="F179" s="76">
        <f t="shared" si="1"/>
        <v>4.8318923137739847E-2</v>
      </c>
      <c r="G179" s="74">
        <v>13775</v>
      </c>
      <c r="H179" s="74">
        <v>411174</v>
      </c>
      <c r="I179" s="74">
        <f t="shared" si="71"/>
        <v>424949</v>
      </c>
      <c r="J179" s="85">
        <f t="shared" si="72"/>
        <v>3.2415654584432484E-2</v>
      </c>
      <c r="K179" s="74">
        <v>42</v>
      </c>
      <c r="L179" s="74">
        <v>974</v>
      </c>
      <c r="M179" s="78">
        <f t="shared" si="4"/>
        <v>1016</v>
      </c>
      <c r="N179" s="76">
        <f t="shared" si="5"/>
        <v>4.1338582677165357E-2</v>
      </c>
      <c r="O179" s="80">
        <f t="shared" ref="O179:P179" si="191">S179-S178</f>
        <v>4093</v>
      </c>
      <c r="P179" s="80">
        <f t="shared" si="191"/>
        <v>717</v>
      </c>
      <c r="Q179" s="80">
        <f t="shared" si="7"/>
        <v>3376</v>
      </c>
      <c r="R179" s="76">
        <f t="shared" si="8"/>
        <v>0.17517713168824822</v>
      </c>
      <c r="S179" s="78">
        <f t="shared" si="9"/>
        <v>524622</v>
      </c>
      <c r="T179" s="74">
        <f t="shared" si="10"/>
        <v>18584</v>
      </c>
      <c r="U179" s="74">
        <f t="shared" si="11"/>
        <v>506038</v>
      </c>
      <c r="V179" s="76">
        <f t="shared" si="12"/>
        <v>3.5423600230261025E-2</v>
      </c>
    </row>
    <row r="180" spans="1:22" x14ac:dyDescent="0.25">
      <c r="A180" s="74">
        <f t="shared" si="60"/>
        <v>178</v>
      </c>
      <c r="B180" s="75">
        <v>44374</v>
      </c>
      <c r="C180" s="74">
        <v>4839</v>
      </c>
      <c r="D180" s="74">
        <v>94292</v>
      </c>
      <c r="E180" s="74">
        <f t="shared" si="0"/>
        <v>99131</v>
      </c>
      <c r="F180" s="76">
        <f t="shared" si="1"/>
        <v>4.8814195357658047E-2</v>
      </c>
      <c r="G180" s="74">
        <v>14431</v>
      </c>
      <c r="H180" s="74">
        <v>413745</v>
      </c>
      <c r="I180" s="74">
        <f t="shared" si="71"/>
        <v>428176</v>
      </c>
      <c r="J180" s="85">
        <f t="shared" si="72"/>
        <v>3.3703430365083518E-2</v>
      </c>
      <c r="K180" s="74">
        <v>42</v>
      </c>
      <c r="L180" s="74">
        <v>974</v>
      </c>
      <c r="M180" s="78">
        <f t="shared" si="4"/>
        <v>1016</v>
      </c>
      <c r="N180" s="76">
        <f t="shared" si="5"/>
        <v>4.1338582677165357E-2</v>
      </c>
      <c r="O180" s="80">
        <f t="shared" ref="O180:P180" si="192">S180-S179</f>
        <v>3701</v>
      </c>
      <c r="P180" s="80">
        <f t="shared" si="192"/>
        <v>728</v>
      </c>
      <c r="Q180" s="80">
        <f t="shared" si="7"/>
        <v>2973</v>
      </c>
      <c r="R180" s="76">
        <f t="shared" si="8"/>
        <v>0.19670359362334505</v>
      </c>
      <c r="S180" s="78">
        <f t="shared" si="9"/>
        <v>528323</v>
      </c>
      <c r="T180" s="74">
        <f t="shared" si="10"/>
        <v>19312</v>
      </c>
      <c r="U180" s="74">
        <f t="shared" si="11"/>
        <v>509011</v>
      </c>
      <c r="V180" s="76">
        <f t="shared" si="12"/>
        <v>3.6553396312483083E-2</v>
      </c>
    </row>
    <row r="181" spans="1:22" x14ac:dyDescent="0.25">
      <c r="A181" s="74">
        <f t="shared" si="60"/>
        <v>179</v>
      </c>
      <c r="B181" s="75">
        <v>44375</v>
      </c>
      <c r="C181" s="74">
        <v>4906</v>
      </c>
      <c r="D181" s="74">
        <v>94505</v>
      </c>
      <c r="E181" s="74">
        <f t="shared" si="0"/>
        <v>99411</v>
      </c>
      <c r="F181" s="76">
        <f t="shared" si="1"/>
        <v>4.9350675478568772E-2</v>
      </c>
      <c r="G181" s="74">
        <v>15071</v>
      </c>
      <c r="H181" s="74">
        <v>415866</v>
      </c>
      <c r="I181" s="74">
        <f t="shared" si="71"/>
        <v>430937</v>
      </c>
      <c r="J181" s="85">
        <f t="shared" si="72"/>
        <v>3.4972629409867333E-2</v>
      </c>
      <c r="K181" s="74">
        <v>42</v>
      </c>
      <c r="L181" s="74">
        <v>974</v>
      </c>
      <c r="M181" s="78">
        <f t="shared" si="4"/>
        <v>1016</v>
      </c>
      <c r="N181" s="76">
        <f t="shared" si="5"/>
        <v>4.1338582677165357E-2</v>
      </c>
      <c r="O181" s="80">
        <f t="shared" ref="O181:P181" si="193">S181-S180</f>
        <v>3041</v>
      </c>
      <c r="P181" s="80">
        <f t="shared" si="193"/>
        <v>707</v>
      </c>
      <c r="Q181" s="80">
        <f t="shared" si="7"/>
        <v>2334</v>
      </c>
      <c r="R181" s="76">
        <f t="shared" si="8"/>
        <v>0.23248931272607695</v>
      </c>
      <c r="S181" s="78">
        <f t="shared" si="9"/>
        <v>531364</v>
      </c>
      <c r="T181" s="74">
        <f t="shared" si="10"/>
        <v>20019</v>
      </c>
      <c r="U181" s="74">
        <f t="shared" si="11"/>
        <v>511345</v>
      </c>
      <c r="V181" s="76">
        <f t="shared" si="12"/>
        <v>3.7674738973660242E-2</v>
      </c>
    </row>
    <row r="182" spans="1:22" x14ac:dyDescent="0.25">
      <c r="A182" s="78"/>
      <c r="B182" s="78"/>
      <c r="C182" s="78"/>
      <c r="D182" s="78"/>
      <c r="E182" s="78"/>
      <c r="F182" s="76"/>
      <c r="G182" s="78"/>
      <c r="H182" s="78"/>
      <c r="I182" s="78"/>
      <c r="J182" s="77"/>
      <c r="K182" s="78"/>
      <c r="L182" s="78"/>
      <c r="M182" s="78"/>
      <c r="N182" s="76"/>
      <c r="O182" s="78"/>
      <c r="P182" s="80"/>
      <c r="Q182" s="80"/>
      <c r="R182" s="78"/>
      <c r="S182" s="78"/>
      <c r="T182" s="78"/>
      <c r="U182" s="78"/>
      <c r="V182" s="78"/>
    </row>
    <row r="183" spans="1:22" x14ac:dyDescent="0.25">
      <c r="A183" s="78"/>
      <c r="B183" s="78"/>
      <c r="C183" s="78"/>
      <c r="D183" s="78"/>
      <c r="E183" s="78"/>
      <c r="F183" s="76"/>
      <c r="G183" s="78"/>
      <c r="H183" s="78"/>
      <c r="I183" s="78"/>
      <c r="J183" s="77"/>
      <c r="K183" s="78"/>
      <c r="L183" s="78"/>
      <c r="M183" s="78"/>
      <c r="N183" s="76"/>
      <c r="O183" s="78"/>
      <c r="P183" s="80"/>
      <c r="Q183" s="80"/>
      <c r="R183" s="78"/>
      <c r="S183" s="78"/>
      <c r="T183" s="78"/>
      <c r="U183" s="78"/>
      <c r="V183" s="78"/>
    </row>
    <row r="184" spans="1:22" x14ac:dyDescent="0.25">
      <c r="A184" s="78"/>
      <c r="B184" s="78"/>
      <c r="C184" s="78"/>
      <c r="D184" s="78"/>
      <c r="E184" s="78"/>
      <c r="F184" s="76"/>
      <c r="G184" s="78"/>
      <c r="H184" s="78"/>
      <c r="I184" s="78"/>
      <c r="J184" s="77"/>
      <c r="K184" s="78"/>
      <c r="L184" s="78"/>
      <c r="M184" s="78"/>
      <c r="N184" s="76"/>
      <c r="O184" s="78"/>
      <c r="P184" s="80"/>
      <c r="Q184" s="80"/>
      <c r="R184" s="78"/>
      <c r="S184" s="78"/>
      <c r="T184" s="78"/>
      <c r="U184" s="78"/>
      <c r="V184" s="78"/>
    </row>
    <row r="185" spans="1:22" x14ac:dyDescent="0.25">
      <c r="A185" s="78"/>
      <c r="B185" s="78"/>
      <c r="C185" s="78"/>
      <c r="D185" s="78"/>
      <c r="E185" s="78"/>
      <c r="F185" s="76"/>
      <c r="G185" s="78"/>
      <c r="H185" s="78"/>
      <c r="I185" s="78"/>
      <c r="J185" s="77"/>
      <c r="K185" s="78"/>
      <c r="L185" s="78"/>
      <c r="M185" s="78"/>
      <c r="N185" s="76"/>
      <c r="O185" s="78"/>
      <c r="P185" s="80"/>
      <c r="Q185" s="80"/>
      <c r="R185" s="78"/>
      <c r="S185" s="78"/>
      <c r="T185" s="78"/>
      <c r="U185" s="78"/>
      <c r="V185" s="78"/>
    </row>
    <row r="186" spans="1:22" x14ac:dyDescent="0.25">
      <c r="A186" s="78"/>
      <c r="B186" s="78"/>
      <c r="C186" s="78"/>
      <c r="D186" s="78"/>
      <c r="E186" s="78"/>
      <c r="F186" s="76"/>
      <c r="G186" s="78"/>
      <c r="H186" s="78"/>
      <c r="I186" s="78"/>
      <c r="J186" s="77"/>
      <c r="K186" s="78"/>
      <c r="L186" s="78"/>
      <c r="M186" s="78"/>
      <c r="N186" s="76"/>
      <c r="O186" s="78"/>
      <c r="P186" s="80"/>
      <c r="Q186" s="80"/>
      <c r="R186" s="78"/>
      <c r="S186" s="78"/>
      <c r="T186" s="78"/>
      <c r="U186" s="78"/>
      <c r="V186" s="78"/>
    </row>
    <row r="187" spans="1:22" x14ac:dyDescent="0.25">
      <c r="A187" s="78"/>
      <c r="B187" s="78"/>
      <c r="C187" s="78"/>
      <c r="D187" s="78"/>
      <c r="E187" s="78"/>
      <c r="F187" s="76"/>
      <c r="G187" s="78"/>
      <c r="H187" s="78"/>
      <c r="I187" s="78"/>
      <c r="J187" s="77"/>
      <c r="K187" s="78"/>
      <c r="L187" s="78"/>
      <c r="M187" s="78"/>
      <c r="N187" s="76"/>
      <c r="O187" s="78"/>
      <c r="P187" s="80"/>
      <c r="Q187" s="80"/>
      <c r="R187" s="78"/>
      <c r="S187" s="78"/>
      <c r="T187" s="78"/>
      <c r="U187" s="78"/>
      <c r="V187" s="78"/>
    </row>
    <row r="188" spans="1:22" x14ac:dyDescent="0.25">
      <c r="A188" s="78"/>
      <c r="B188" s="78"/>
      <c r="C188" s="78"/>
      <c r="D188" s="78"/>
      <c r="E188" s="78"/>
      <c r="F188" s="76"/>
      <c r="G188" s="78"/>
      <c r="H188" s="78"/>
      <c r="I188" s="78"/>
      <c r="J188" s="77"/>
      <c r="K188" s="78"/>
      <c r="L188" s="78"/>
      <c r="M188" s="78"/>
      <c r="N188" s="76"/>
      <c r="O188" s="78"/>
      <c r="P188" s="80"/>
      <c r="Q188" s="80"/>
      <c r="R188" s="78"/>
      <c r="S188" s="78"/>
      <c r="T188" s="78"/>
      <c r="U188" s="78"/>
      <c r="V188" s="78"/>
    </row>
    <row r="189" spans="1:22" x14ac:dyDescent="0.25">
      <c r="A189" s="78"/>
      <c r="B189" s="78"/>
      <c r="C189" s="78"/>
      <c r="D189" s="78"/>
      <c r="E189" s="78"/>
      <c r="F189" s="76"/>
      <c r="G189" s="78"/>
      <c r="H189" s="78"/>
      <c r="I189" s="78"/>
      <c r="J189" s="77"/>
      <c r="K189" s="78"/>
      <c r="L189" s="78"/>
      <c r="M189" s="78"/>
      <c r="N189" s="76"/>
      <c r="O189" s="78"/>
      <c r="P189" s="80"/>
      <c r="Q189" s="80"/>
      <c r="R189" s="78"/>
      <c r="S189" s="78"/>
      <c r="T189" s="78"/>
      <c r="U189" s="78"/>
      <c r="V189" s="78"/>
    </row>
    <row r="190" spans="1:22" x14ac:dyDescent="0.25">
      <c r="A190" s="78"/>
      <c r="B190" s="78"/>
      <c r="C190" s="78"/>
      <c r="D190" s="78"/>
      <c r="E190" s="78"/>
      <c r="F190" s="76"/>
      <c r="G190" s="78"/>
      <c r="H190" s="78"/>
      <c r="I190" s="78"/>
      <c r="J190" s="77"/>
      <c r="K190" s="78"/>
      <c r="L190" s="78"/>
      <c r="M190" s="78"/>
      <c r="N190" s="76"/>
      <c r="O190" s="78"/>
      <c r="P190" s="80"/>
      <c r="Q190" s="80"/>
      <c r="R190" s="78"/>
      <c r="S190" s="78"/>
      <c r="T190" s="78"/>
      <c r="U190" s="78"/>
      <c r="V190" s="78"/>
    </row>
    <row r="191" spans="1:22" x14ac:dyDescent="0.25">
      <c r="A191" s="78"/>
      <c r="B191" s="78"/>
      <c r="C191" s="78"/>
      <c r="D191" s="78"/>
      <c r="E191" s="78"/>
      <c r="F191" s="76"/>
      <c r="G191" s="78"/>
      <c r="H191" s="78"/>
      <c r="I191" s="78"/>
      <c r="J191" s="77"/>
      <c r="K191" s="78"/>
      <c r="L191" s="78"/>
      <c r="M191" s="78"/>
      <c r="N191" s="76"/>
      <c r="O191" s="78"/>
      <c r="P191" s="80"/>
      <c r="Q191" s="80"/>
      <c r="R191" s="78"/>
      <c r="S191" s="78"/>
      <c r="T191" s="78"/>
      <c r="U191" s="78"/>
      <c r="V191" s="78"/>
    </row>
    <row r="192" spans="1:22" x14ac:dyDescent="0.25">
      <c r="A192" s="78"/>
      <c r="B192" s="78"/>
      <c r="C192" s="78"/>
      <c r="D192" s="78"/>
      <c r="E192" s="78"/>
      <c r="F192" s="76"/>
      <c r="G192" s="78"/>
      <c r="H192" s="78"/>
      <c r="I192" s="78"/>
      <c r="J192" s="77"/>
      <c r="K192" s="78"/>
      <c r="L192" s="78"/>
      <c r="M192" s="78"/>
      <c r="N192" s="76"/>
      <c r="O192" s="78"/>
      <c r="P192" s="80"/>
      <c r="Q192" s="80"/>
      <c r="R192" s="78"/>
      <c r="S192" s="78"/>
      <c r="T192" s="78"/>
      <c r="U192" s="78"/>
      <c r="V192" s="78"/>
    </row>
    <row r="193" spans="1:22" x14ac:dyDescent="0.25">
      <c r="A193" s="78"/>
      <c r="B193" s="78"/>
      <c r="C193" s="78"/>
      <c r="D193" s="78"/>
      <c r="E193" s="78"/>
      <c r="F193" s="76"/>
      <c r="G193" s="78"/>
      <c r="H193" s="78"/>
      <c r="I193" s="78"/>
      <c r="J193" s="77"/>
      <c r="K193" s="78"/>
      <c r="L193" s="78"/>
      <c r="M193" s="78"/>
      <c r="N193" s="76"/>
      <c r="O193" s="78"/>
      <c r="P193" s="80"/>
      <c r="Q193" s="80"/>
      <c r="R193" s="78"/>
      <c r="S193" s="78"/>
      <c r="T193" s="78"/>
      <c r="U193" s="78"/>
      <c r="V193" s="78"/>
    </row>
    <row r="194" spans="1:22" x14ac:dyDescent="0.25">
      <c r="A194" s="78"/>
      <c r="B194" s="78"/>
      <c r="C194" s="78"/>
      <c r="D194" s="78"/>
      <c r="E194" s="78"/>
      <c r="F194" s="76"/>
      <c r="G194" s="78"/>
      <c r="H194" s="78"/>
      <c r="I194" s="78"/>
      <c r="J194" s="77"/>
      <c r="K194" s="78"/>
      <c r="L194" s="78"/>
      <c r="M194" s="78"/>
      <c r="N194" s="76"/>
      <c r="O194" s="78"/>
      <c r="P194" s="80"/>
      <c r="Q194" s="80"/>
      <c r="R194" s="78"/>
      <c r="S194" s="78"/>
      <c r="T194" s="78"/>
      <c r="U194" s="78"/>
      <c r="V194" s="78"/>
    </row>
    <row r="195" spans="1:22" x14ac:dyDescent="0.25">
      <c r="A195" s="78"/>
      <c r="B195" s="78"/>
      <c r="C195" s="78"/>
      <c r="D195" s="78"/>
      <c r="E195" s="78"/>
      <c r="F195" s="76"/>
      <c r="G195" s="78"/>
      <c r="H195" s="78"/>
      <c r="I195" s="78"/>
      <c r="J195" s="77"/>
      <c r="K195" s="78"/>
      <c r="L195" s="78"/>
      <c r="M195" s="78"/>
      <c r="N195" s="76"/>
      <c r="O195" s="78"/>
      <c r="P195" s="80"/>
      <c r="Q195" s="80"/>
      <c r="R195" s="78"/>
      <c r="S195" s="78"/>
      <c r="T195" s="78"/>
      <c r="U195" s="78"/>
      <c r="V195" s="78"/>
    </row>
    <row r="196" spans="1:22" x14ac:dyDescent="0.25">
      <c r="A196" s="78"/>
      <c r="B196" s="78"/>
      <c r="C196" s="78"/>
      <c r="D196" s="78"/>
      <c r="E196" s="78"/>
      <c r="F196" s="76"/>
      <c r="G196" s="78"/>
      <c r="H196" s="78"/>
      <c r="I196" s="78"/>
      <c r="J196" s="77"/>
      <c r="K196" s="78"/>
      <c r="L196" s="78"/>
      <c r="M196" s="78"/>
      <c r="N196" s="76"/>
      <c r="O196" s="78"/>
      <c r="P196" s="80"/>
      <c r="Q196" s="80"/>
      <c r="R196" s="78"/>
      <c r="S196" s="78"/>
      <c r="T196" s="78"/>
      <c r="U196" s="78"/>
      <c r="V196" s="78"/>
    </row>
    <row r="197" spans="1:22" x14ac:dyDescent="0.25">
      <c r="A197" s="78"/>
      <c r="B197" s="78"/>
      <c r="C197" s="78"/>
      <c r="D197" s="78"/>
      <c r="E197" s="78"/>
      <c r="F197" s="76"/>
      <c r="G197" s="78"/>
      <c r="H197" s="78"/>
      <c r="I197" s="78"/>
      <c r="J197" s="77"/>
      <c r="K197" s="78"/>
      <c r="L197" s="78"/>
      <c r="M197" s="78"/>
      <c r="N197" s="76"/>
      <c r="O197" s="78"/>
      <c r="P197" s="80"/>
      <c r="Q197" s="80"/>
      <c r="R197" s="78"/>
      <c r="S197" s="78"/>
      <c r="T197" s="78"/>
      <c r="U197" s="78"/>
      <c r="V197" s="78"/>
    </row>
    <row r="198" spans="1:22" x14ac:dyDescent="0.25">
      <c r="A198" s="78"/>
      <c r="B198" s="78"/>
      <c r="C198" s="78"/>
      <c r="D198" s="78"/>
      <c r="E198" s="78"/>
      <c r="F198" s="76"/>
      <c r="G198" s="78"/>
      <c r="H198" s="78"/>
      <c r="I198" s="78"/>
      <c r="J198" s="77"/>
      <c r="K198" s="78"/>
      <c r="L198" s="78"/>
      <c r="M198" s="78"/>
      <c r="N198" s="76"/>
      <c r="O198" s="78"/>
      <c r="P198" s="80"/>
      <c r="Q198" s="80"/>
      <c r="R198" s="78"/>
      <c r="S198" s="78"/>
      <c r="T198" s="78"/>
      <c r="U198" s="78"/>
      <c r="V198" s="78"/>
    </row>
    <row r="199" spans="1:22" x14ac:dyDescent="0.25">
      <c r="A199" s="78"/>
      <c r="B199" s="78"/>
      <c r="C199" s="78"/>
      <c r="D199" s="78"/>
      <c r="E199" s="78"/>
      <c r="F199" s="76"/>
      <c r="G199" s="78"/>
      <c r="H199" s="78"/>
      <c r="I199" s="78"/>
      <c r="J199" s="77"/>
      <c r="K199" s="78"/>
      <c r="L199" s="78"/>
      <c r="M199" s="78"/>
      <c r="N199" s="76"/>
      <c r="O199" s="78"/>
      <c r="P199" s="80"/>
      <c r="Q199" s="80"/>
      <c r="R199" s="78"/>
      <c r="S199" s="78"/>
      <c r="T199" s="78"/>
      <c r="U199" s="78"/>
      <c r="V199" s="78"/>
    </row>
    <row r="200" spans="1:22" x14ac:dyDescent="0.25">
      <c r="A200" s="78"/>
      <c r="B200" s="78"/>
      <c r="C200" s="78"/>
      <c r="D200" s="78"/>
      <c r="E200" s="78"/>
      <c r="F200" s="76"/>
      <c r="G200" s="78"/>
      <c r="H200" s="78"/>
      <c r="I200" s="78"/>
      <c r="J200" s="77"/>
      <c r="K200" s="78"/>
      <c r="L200" s="78"/>
      <c r="M200" s="78"/>
      <c r="N200" s="76"/>
      <c r="O200" s="78"/>
      <c r="P200" s="80"/>
      <c r="Q200" s="80"/>
      <c r="R200" s="78"/>
      <c r="S200" s="78"/>
      <c r="T200" s="78"/>
      <c r="U200" s="78"/>
      <c r="V200" s="78"/>
    </row>
    <row r="201" spans="1:22" x14ac:dyDescent="0.25">
      <c r="A201" s="78"/>
      <c r="B201" s="78"/>
      <c r="C201" s="78"/>
      <c r="D201" s="78"/>
      <c r="E201" s="78"/>
      <c r="F201" s="76"/>
      <c r="G201" s="78"/>
      <c r="H201" s="78"/>
      <c r="I201" s="78"/>
      <c r="J201" s="77"/>
      <c r="K201" s="78"/>
      <c r="L201" s="78"/>
      <c r="M201" s="78"/>
      <c r="N201" s="76"/>
      <c r="O201" s="78"/>
      <c r="P201" s="80"/>
      <c r="Q201" s="80"/>
      <c r="R201" s="78"/>
      <c r="S201" s="78"/>
      <c r="T201" s="78"/>
      <c r="U201" s="78"/>
      <c r="V201" s="78"/>
    </row>
    <row r="202" spans="1:22" x14ac:dyDescent="0.25">
      <c r="A202" s="78"/>
      <c r="B202" s="78"/>
      <c r="C202" s="78"/>
      <c r="D202" s="78"/>
      <c r="E202" s="78"/>
      <c r="F202" s="76"/>
      <c r="G202" s="78"/>
      <c r="H202" s="78"/>
      <c r="I202" s="78"/>
      <c r="J202" s="77"/>
      <c r="K202" s="78"/>
      <c r="L202" s="78"/>
      <c r="M202" s="78"/>
      <c r="N202" s="76"/>
      <c r="O202" s="78"/>
      <c r="P202" s="80"/>
      <c r="Q202" s="80"/>
      <c r="R202" s="78"/>
      <c r="S202" s="78"/>
      <c r="T202" s="78"/>
      <c r="U202" s="78"/>
      <c r="V202" s="78"/>
    </row>
    <row r="203" spans="1:22" x14ac:dyDescent="0.25">
      <c r="A203" s="78"/>
      <c r="B203" s="78"/>
      <c r="C203" s="78"/>
      <c r="D203" s="78"/>
      <c r="E203" s="78"/>
      <c r="F203" s="76"/>
      <c r="G203" s="78"/>
      <c r="H203" s="78"/>
      <c r="I203" s="78"/>
      <c r="J203" s="77"/>
      <c r="K203" s="78"/>
      <c r="L203" s="78"/>
      <c r="M203" s="78"/>
      <c r="N203" s="76"/>
      <c r="O203" s="78"/>
      <c r="P203" s="80"/>
      <c r="Q203" s="80"/>
      <c r="R203" s="78"/>
      <c r="S203" s="78"/>
      <c r="T203" s="78"/>
      <c r="U203" s="78"/>
      <c r="V203" s="78"/>
    </row>
    <row r="204" spans="1:22" x14ac:dyDescent="0.25">
      <c r="A204" s="78"/>
      <c r="B204" s="78"/>
      <c r="C204" s="78"/>
      <c r="D204" s="78"/>
      <c r="E204" s="78"/>
      <c r="F204" s="76"/>
      <c r="G204" s="78"/>
      <c r="H204" s="78"/>
      <c r="I204" s="78"/>
      <c r="J204" s="77"/>
      <c r="K204" s="78"/>
      <c r="L204" s="78"/>
      <c r="M204" s="78"/>
      <c r="N204" s="76"/>
      <c r="O204" s="78"/>
      <c r="P204" s="80"/>
      <c r="Q204" s="80"/>
      <c r="R204" s="78"/>
      <c r="S204" s="78"/>
      <c r="T204" s="78"/>
      <c r="U204" s="78"/>
      <c r="V204" s="78"/>
    </row>
    <row r="205" spans="1:22" x14ac:dyDescent="0.25">
      <c r="A205" s="78"/>
      <c r="B205" s="78"/>
      <c r="C205" s="78"/>
      <c r="D205" s="78"/>
      <c r="E205" s="78"/>
      <c r="F205" s="76"/>
      <c r="G205" s="78"/>
      <c r="H205" s="78"/>
      <c r="I205" s="78"/>
      <c r="J205" s="77"/>
      <c r="K205" s="78"/>
      <c r="L205" s="78"/>
      <c r="M205" s="78"/>
      <c r="N205" s="76"/>
      <c r="O205" s="78"/>
      <c r="P205" s="80"/>
      <c r="Q205" s="80"/>
      <c r="R205" s="78"/>
      <c r="S205" s="78"/>
      <c r="T205" s="78"/>
      <c r="U205" s="78"/>
      <c r="V205" s="78"/>
    </row>
    <row r="206" spans="1:22" x14ac:dyDescent="0.25">
      <c r="A206" s="78"/>
      <c r="B206" s="78"/>
      <c r="C206" s="78"/>
      <c r="D206" s="78"/>
      <c r="E206" s="78"/>
      <c r="F206" s="76"/>
      <c r="G206" s="78"/>
      <c r="H206" s="78"/>
      <c r="I206" s="78"/>
      <c r="J206" s="77"/>
      <c r="K206" s="78"/>
      <c r="L206" s="78"/>
      <c r="M206" s="78"/>
      <c r="N206" s="76"/>
      <c r="O206" s="78"/>
      <c r="P206" s="80"/>
      <c r="Q206" s="80"/>
      <c r="R206" s="78"/>
      <c r="S206" s="78"/>
      <c r="T206" s="78"/>
      <c r="U206" s="78"/>
      <c r="V206" s="78"/>
    </row>
    <row r="207" spans="1:22" x14ac:dyDescent="0.25">
      <c r="A207" s="78"/>
      <c r="B207" s="78"/>
      <c r="C207" s="78"/>
      <c r="D207" s="78"/>
      <c r="E207" s="78"/>
      <c r="F207" s="76"/>
      <c r="G207" s="78"/>
      <c r="H207" s="78"/>
      <c r="I207" s="78"/>
      <c r="J207" s="77"/>
      <c r="K207" s="78"/>
      <c r="L207" s="78"/>
      <c r="M207" s="78"/>
      <c r="N207" s="76"/>
      <c r="O207" s="78"/>
      <c r="P207" s="80"/>
      <c r="Q207" s="80"/>
      <c r="R207" s="78"/>
      <c r="S207" s="78"/>
      <c r="T207" s="78"/>
      <c r="U207" s="78"/>
      <c r="V207" s="78"/>
    </row>
    <row r="208" spans="1:22" x14ac:dyDescent="0.25">
      <c r="A208" s="78"/>
      <c r="B208" s="78"/>
      <c r="C208" s="78"/>
      <c r="D208" s="78"/>
      <c r="E208" s="78"/>
      <c r="F208" s="76"/>
      <c r="G208" s="78"/>
      <c r="H208" s="78"/>
      <c r="I208" s="78"/>
      <c r="J208" s="77"/>
      <c r="K208" s="78"/>
      <c r="L208" s="78"/>
      <c r="M208" s="78"/>
      <c r="N208" s="76"/>
      <c r="O208" s="78"/>
      <c r="P208" s="80"/>
      <c r="Q208" s="80"/>
      <c r="R208" s="78"/>
      <c r="S208" s="78"/>
      <c r="T208" s="78"/>
      <c r="U208" s="78"/>
      <c r="V208" s="78"/>
    </row>
    <row r="209" spans="1:22" x14ac:dyDescent="0.25">
      <c r="A209" s="78"/>
      <c r="B209" s="78"/>
      <c r="C209" s="78"/>
      <c r="D209" s="78"/>
      <c r="E209" s="78"/>
      <c r="F209" s="76"/>
      <c r="G209" s="78"/>
      <c r="H209" s="78"/>
      <c r="I209" s="78"/>
      <c r="J209" s="77"/>
      <c r="K209" s="78"/>
      <c r="L209" s="78"/>
      <c r="M209" s="78"/>
      <c r="N209" s="76"/>
      <c r="O209" s="78"/>
      <c r="P209" s="80"/>
      <c r="Q209" s="80"/>
      <c r="R209" s="78"/>
      <c r="S209" s="78"/>
      <c r="T209" s="78"/>
      <c r="U209" s="78"/>
      <c r="V209" s="78"/>
    </row>
    <row r="210" spans="1:22" x14ac:dyDescent="0.25">
      <c r="A210" s="78"/>
      <c r="B210" s="78"/>
      <c r="C210" s="78"/>
      <c r="D210" s="78"/>
      <c r="E210" s="78"/>
      <c r="F210" s="76"/>
      <c r="G210" s="78"/>
      <c r="H210" s="78"/>
      <c r="I210" s="78"/>
      <c r="J210" s="77"/>
      <c r="K210" s="78"/>
      <c r="L210" s="78"/>
      <c r="M210" s="78"/>
      <c r="N210" s="76"/>
      <c r="O210" s="78"/>
      <c r="P210" s="80"/>
      <c r="Q210" s="80"/>
      <c r="R210" s="78"/>
      <c r="S210" s="78"/>
      <c r="T210" s="78"/>
      <c r="U210" s="78"/>
      <c r="V210" s="78"/>
    </row>
    <row r="211" spans="1:22" x14ac:dyDescent="0.25">
      <c r="A211" s="78"/>
      <c r="B211" s="78"/>
      <c r="C211" s="78"/>
      <c r="D211" s="78"/>
      <c r="E211" s="78"/>
      <c r="F211" s="76"/>
      <c r="G211" s="78"/>
      <c r="H211" s="78"/>
      <c r="I211" s="78"/>
      <c r="J211" s="77"/>
      <c r="K211" s="78"/>
      <c r="L211" s="78"/>
      <c r="M211" s="78"/>
      <c r="N211" s="76"/>
      <c r="O211" s="78"/>
      <c r="P211" s="80"/>
      <c r="Q211" s="80"/>
      <c r="R211" s="78"/>
      <c r="S211" s="78"/>
      <c r="T211" s="78"/>
      <c r="U211" s="78"/>
      <c r="V211" s="78"/>
    </row>
    <row r="212" spans="1:22" x14ac:dyDescent="0.25">
      <c r="A212" s="78"/>
      <c r="B212" s="78"/>
      <c r="C212" s="78"/>
      <c r="D212" s="78"/>
      <c r="E212" s="78"/>
      <c r="F212" s="76"/>
      <c r="G212" s="78"/>
      <c r="H212" s="78"/>
      <c r="I212" s="78"/>
      <c r="J212" s="77"/>
      <c r="K212" s="78"/>
      <c r="L212" s="78"/>
      <c r="M212" s="78"/>
      <c r="N212" s="76"/>
      <c r="O212" s="78"/>
      <c r="P212" s="80"/>
      <c r="Q212" s="80"/>
      <c r="R212" s="78"/>
      <c r="S212" s="78"/>
      <c r="T212" s="78"/>
      <c r="U212" s="78"/>
      <c r="V212" s="78"/>
    </row>
    <row r="213" spans="1:22" x14ac:dyDescent="0.25">
      <c r="A213" s="78"/>
      <c r="B213" s="78"/>
      <c r="C213" s="78"/>
      <c r="D213" s="78"/>
      <c r="E213" s="78"/>
      <c r="F213" s="76"/>
      <c r="G213" s="78"/>
      <c r="H213" s="78"/>
      <c r="I213" s="78"/>
      <c r="J213" s="77"/>
      <c r="K213" s="78"/>
      <c r="L213" s="78"/>
      <c r="M213" s="78"/>
      <c r="N213" s="76"/>
      <c r="O213" s="78"/>
      <c r="P213" s="80"/>
      <c r="Q213" s="80"/>
      <c r="R213" s="78"/>
      <c r="S213" s="78"/>
      <c r="T213" s="78"/>
      <c r="U213" s="78"/>
      <c r="V213" s="78"/>
    </row>
    <row r="214" spans="1:22" x14ac:dyDescent="0.25">
      <c r="A214" s="78"/>
      <c r="B214" s="78"/>
      <c r="C214" s="78"/>
      <c r="D214" s="78"/>
      <c r="E214" s="78"/>
      <c r="F214" s="76"/>
      <c r="G214" s="78"/>
      <c r="H214" s="78"/>
      <c r="I214" s="78"/>
      <c r="J214" s="77"/>
      <c r="K214" s="78"/>
      <c r="L214" s="78"/>
      <c r="M214" s="78"/>
      <c r="N214" s="76"/>
      <c r="O214" s="78"/>
      <c r="P214" s="80"/>
      <c r="Q214" s="80"/>
      <c r="R214" s="78"/>
      <c r="S214" s="78"/>
      <c r="T214" s="78"/>
      <c r="U214" s="78"/>
      <c r="V214" s="78"/>
    </row>
    <row r="215" spans="1:22" x14ac:dyDescent="0.25">
      <c r="A215" s="78"/>
      <c r="B215" s="78"/>
      <c r="C215" s="78"/>
      <c r="D215" s="78"/>
      <c r="E215" s="78"/>
      <c r="F215" s="76"/>
      <c r="G215" s="78"/>
      <c r="H215" s="78"/>
      <c r="I215" s="78"/>
      <c r="J215" s="77"/>
      <c r="K215" s="78"/>
      <c r="L215" s="78"/>
      <c r="M215" s="78"/>
      <c r="N215" s="76"/>
      <c r="O215" s="78"/>
      <c r="P215" s="80"/>
      <c r="Q215" s="80"/>
      <c r="R215" s="78"/>
      <c r="S215" s="78"/>
      <c r="T215" s="78"/>
      <c r="U215" s="78"/>
      <c r="V215" s="78"/>
    </row>
    <row r="216" spans="1:22" x14ac:dyDescent="0.25">
      <c r="A216" s="78"/>
      <c r="B216" s="78"/>
      <c r="C216" s="78"/>
      <c r="D216" s="78"/>
      <c r="E216" s="78"/>
      <c r="F216" s="76"/>
      <c r="G216" s="78"/>
      <c r="H216" s="78"/>
      <c r="I216" s="78"/>
      <c r="J216" s="77"/>
      <c r="K216" s="78"/>
      <c r="L216" s="78"/>
      <c r="M216" s="78"/>
      <c r="N216" s="76"/>
      <c r="O216" s="78"/>
      <c r="P216" s="80"/>
      <c r="Q216" s="80"/>
      <c r="R216" s="78"/>
      <c r="S216" s="78"/>
      <c r="T216" s="78"/>
      <c r="U216" s="78"/>
      <c r="V216" s="78"/>
    </row>
    <row r="217" spans="1:22" x14ac:dyDescent="0.25">
      <c r="A217" s="78"/>
      <c r="B217" s="78"/>
      <c r="C217" s="78"/>
      <c r="D217" s="78"/>
      <c r="E217" s="78"/>
      <c r="F217" s="76"/>
      <c r="G217" s="78"/>
      <c r="H217" s="78"/>
      <c r="I217" s="78"/>
      <c r="J217" s="77"/>
      <c r="K217" s="78"/>
      <c r="L217" s="78"/>
      <c r="M217" s="78"/>
      <c r="N217" s="76"/>
      <c r="O217" s="78"/>
      <c r="P217" s="80"/>
      <c r="Q217" s="80"/>
      <c r="R217" s="78"/>
      <c r="S217" s="78"/>
      <c r="T217" s="78"/>
      <c r="U217" s="78"/>
      <c r="V217" s="78"/>
    </row>
    <row r="218" spans="1:22" x14ac:dyDescent="0.25">
      <c r="A218" s="78"/>
      <c r="B218" s="78"/>
      <c r="C218" s="78"/>
      <c r="D218" s="78"/>
      <c r="E218" s="78"/>
      <c r="F218" s="76"/>
      <c r="G218" s="78"/>
      <c r="H218" s="78"/>
      <c r="I218" s="78"/>
      <c r="J218" s="77"/>
      <c r="K218" s="78"/>
      <c r="L218" s="78"/>
      <c r="M218" s="78"/>
      <c r="N218" s="76"/>
      <c r="O218" s="78"/>
      <c r="P218" s="80"/>
      <c r="Q218" s="80"/>
      <c r="R218" s="78"/>
      <c r="S218" s="78"/>
      <c r="T218" s="78"/>
      <c r="U218" s="78"/>
      <c r="V218" s="78"/>
    </row>
    <row r="219" spans="1:22" x14ac:dyDescent="0.25">
      <c r="A219" s="78"/>
      <c r="B219" s="78"/>
      <c r="C219" s="78"/>
      <c r="D219" s="78"/>
      <c r="E219" s="78"/>
      <c r="F219" s="76"/>
      <c r="G219" s="78"/>
      <c r="H219" s="78"/>
      <c r="I219" s="78"/>
      <c r="J219" s="77"/>
      <c r="K219" s="78"/>
      <c r="L219" s="78"/>
      <c r="M219" s="78"/>
      <c r="N219" s="76"/>
      <c r="O219" s="78"/>
      <c r="P219" s="80"/>
      <c r="Q219" s="80"/>
      <c r="R219" s="78"/>
      <c r="S219" s="78"/>
      <c r="T219" s="78"/>
      <c r="U219" s="78"/>
      <c r="V219" s="78"/>
    </row>
    <row r="220" spans="1:22" x14ac:dyDescent="0.25">
      <c r="A220" s="78"/>
      <c r="B220" s="78"/>
      <c r="C220" s="78"/>
      <c r="D220" s="78"/>
      <c r="E220" s="78"/>
      <c r="F220" s="76"/>
      <c r="G220" s="78"/>
      <c r="H220" s="78"/>
      <c r="I220" s="78"/>
      <c r="J220" s="77"/>
      <c r="K220" s="78"/>
      <c r="L220" s="78"/>
      <c r="M220" s="78"/>
      <c r="N220" s="76"/>
      <c r="O220" s="78"/>
      <c r="P220" s="80"/>
      <c r="Q220" s="80"/>
      <c r="R220" s="78"/>
      <c r="S220" s="78"/>
      <c r="T220" s="78"/>
      <c r="U220" s="78"/>
      <c r="V220" s="78"/>
    </row>
    <row r="221" spans="1:22" x14ac:dyDescent="0.25">
      <c r="A221" s="78"/>
      <c r="B221" s="78"/>
      <c r="C221" s="78"/>
      <c r="D221" s="78"/>
      <c r="E221" s="78"/>
      <c r="F221" s="76"/>
      <c r="G221" s="78"/>
      <c r="H221" s="78"/>
      <c r="I221" s="78"/>
      <c r="J221" s="77"/>
      <c r="K221" s="78"/>
      <c r="L221" s="78"/>
      <c r="M221" s="78"/>
      <c r="N221" s="76"/>
      <c r="O221" s="78"/>
      <c r="P221" s="80"/>
      <c r="Q221" s="80"/>
      <c r="R221" s="78"/>
      <c r="S221" s="78"/>
      <c r="T221" s="78"/>
      <c r="U221" s="78"/>
      <c r="V221" s="78"/>
    </row>
    <row r="222" spans="1:22" x14ac:dyDescent="0.25">
      <c r="A222" s="78"/>
      <c r="B222" s="78"/>
      <c r="C222" s="78"/>
      <c r="D222" s="78"/>
      <c r="E222" s="78"/>
      <c r="F222" s="76"/>
      <c r="G222" s="78"/>
      <c r="H222" s="78"/>
      <c r="I222" s="78"/>
      <c r="J222" s="77"/>
      <c r="K222" s="78"/>
      <c r="L222" s="78"/>
      <c r="M222" s="78"/>
      <c r="N222" s="76"/>
      <c r="O222" s="78"/>
      <c r="P222" s="80"/>
      <c r="Q222" s="80"/>
      <c r="R222" s="78"/>
      <c r="S222" s="78"/>
      <c r="T222" s="78"/>
      <c r="U222" s="78"/>
      <c r="V222" s="78"/>
    </row>
    <row r="223" spans="1:22" x14ac:dyDescent="0.25">
      <c r="A223" s="78"/>
      <c r="B223" s="78"/>
      <c r="C223" s="78"/>
      <c r="D223" s="78"/>
      <c r="E223" s="78"/>
      <c r="F223" s="76"/>
      <c r="G223" s="78"/>
      <c r="H223" s="78"/>
      <c r="I223" s="78"/>
      <c r="J223" s="77"/>
      <c r="K223" s="78"/>
      <c r="L223" s="78"/>
      <c r="M223" s="78"/>
      <c r="N223" s="76"/>
      <c r="O223" s="78"/>
      <c r="P223" s="80"/>
      <c r="Q223" s="80"/>
      <c r="R223" s="78"/>
      <c r="S223" s="78"/>
      <c r="T223" s="78"/>
      <c r="U223" s="78"/>
      <c r="V223" s="78"/>
    </row>
    <row r="224" spans="1:22" x14ac:dyDescent="0.25">
      <c r="A224" s="78"/>
      <c r="B224" s="78"/>
      <c r="C224" s="78"/>
      <c r="D224" s="78"/>
      <c r="E224" s="78"/>
      <c r="F224" s="76"/>
      <c r="G224" s="78"/>
      <c r="H224" s="78"/>
      <c r="I224" s="78"/>
      <c r="J224" s="77"/>
      <c r="K224" s="78"/>
      <c r="L224" s="78"/>
      <c r="M224" s="78"/>
      <c r="N224" s="76"/>
      <c r="O224" s="78"/>
      <c r="P224" s="80"/>
      <c r="Q224" s="80"/>
      <c r="R224" s="78"/>
      <c r="S224" s="78"/>
      <c r="T224" s="78"/>
      <c r="U224" s="78"/>
      <c r="V224" s="78"/>
    </row>
    <row r="225" spans="1:22" x14ac:dyDescent="0.25">
      <c r="A225" s="78"/>
      <c r="B225" s="78"/>
      <c r="C225" s="78"/>
      <c r="D225" s="78"/>
      <c r="E225" s="78"/>
      <c r="F225" s="76"/>
      <c r="G225" s="78"/>
      <c r="H225" s="78"/>
      <c r="I225" s="78"/>
      <c r="J225" s="77"/>
      <c r="K225" s="78"/>
      <c r="L225" s="78"/>
      <c r="M225" s="78"/>
      <c r="N225" s="76"/>
      <c r="O225" s="78"/>
      <c r="P225" s="80"/>
      <c r="Q225" s="80"/>
      <c r="R225" s="78"/>
      <c r="S225" s="78"/>
      <c r="T225" s="78"/>
      <c r="U225" s="78"/>
      <c r="V225" s="78"/>
    </row>
    <row r="226" spans="1:22" x14ac:dyDescent="0.25">
      <c r="A226" s="78"/>
      <c r="B226" s="78"/>
      <c r="C226" s="78"/>
      <c r="D226" s="78"/>
      <c r="E226" s="78"/>
      <c r="F226" s="76"/>
      <c r="G226" s="78"/>
      <c r="H226" s="78"/>
      <c r="I226" s="78"/>
      <c r="J226" s="77"/>
      <c r="K226" s="78"/>
      <c r="L226" s="78"/>
      <c r="M226" s="78"/>
      <c r="N226" s="76"/>
      <c r="O226" s="78"/>
      <c r="P226" s="80"/>
      <c r="Q226" s="80"/>
      <c r="R226" s="78"/>
      <c r="S226" s="78"/>
      <c r="T226" s="78"/>
      <c r="U226" s="78"/>
      <c r="V226" s="78"/>
    </row>
    <row r="227" spans="1:22" x14ac:dyDescent="0.25">
      <c r="A227" s="78"/>
      <c r="B227" s="78"/>
      <c r="C227" s="78"/>
      <c r="D227" s="78"/>
      <c r="E227" s="78"/>
      <c r="F227" s="76"/>
      <c r="G227" s="78"/>
      <c r="H227" s="78"/>
      <c r="I227" s="78"/>
      <c r="J227" s="77"/>
      <c r="K227" s="78"/>
      <c r="L227" s="78"/>
      <c r="M227" s="78"/>
      <c r="N227" s="76"/>
      <c r="O227" s="78"/>
      <c r="P227" s="80"/>
      <c r="Q227" s="80"/>
      <c r="R227" s="78"/>
      <c r="S227" s="78"/>
      <c r="T227" s="78"/>
      <c r="U227" s="78"/>
      <c r="V227" s="78"/>
    </row>
    <row r="228" spans="1:22" x14ac:dyDescent="0.25">
      <c r="A228" s="78"/>
      <c r="B228" s="78"/>
      <c r="C228" s="78"/>
      <c r="D228" s="78"/>
      <c r="E228" s="78"/>
      <c r="F228" s="76"/>
      <c r="G228" s="78"/>
      <c r="H228" s="78"/>
      <c r="I228" s="78"/>
      <c r="J228" s="77"/>
      <c r="K228" s="78"/>
      <c r="L228" s="78"/>
      <c r="M228" s="78"/>
      <c r="N228" s="76"/>
      <c r="O228" s="78"/>
      <c r="P228" s="80"/>
      <c r="Q228" s="80"/>
      <c r="R228" s="78"/>
      <c r="S228" s="78"/>
      <c r="T228" s="78"/>
      <c r="U228" s="78"/>
      <c r="V228" s="78"/>
    </row>
    <row r="229" spans="1:22" x14ac:dyDescent="0.25">
      <c r="A229" s="78"/>
      <c r="B229" s="78"/>
      <c r="C229" s="78"/>
      <c r="D229" s="78"/>
      <c r="E229" s="78"/>
      <c r="F229" s="76"/>
      <c r="G229" s="78"/>
      <c r="H229" s="78"/>
      <c r="I229" s="78"/>
      <c r="J229" s="77"/>
      <c r="K229" s="78"/>
      <c r="L229" s="78"/>
      <c r="M229" s="78"/>
      <c r="N229" s="76"/>
      <c r="O229" s="78"/>
      <c r="P229" s="80"/>
      <c r="Q229" s="80"/>
      <c r="R229" s="78"/>
      <c r="S229" s="78"/>
      <c r="T229" s="78"/>
      <c r="U229" s="78"/>
      <c r="V229" s="78"/>
    </row>
    <row r="230" spans="1:22" x14ac:dyDescent="0.25">
      <c r="A230" s="78"/>
      <c r="B230" s="78"/>
      <c r="C230" s="78"/>
      <c r="D230" s="78"/>
      <c r="E230" s="78"/>
      <c r="F230" s="76"/>
      <c r="G230" s="78"/>
      <c r="H230" s="78"/>
      <c r="I230" s="78"/>
      <c r="J230" s="77"/>
      <c r="K230" s="78"/>
      <c r="L230" s="78"/>
      <c r="M230" s="78"/>
      <c r="N230" s="76"/>
      <c r="O230" s="78"/>
      <c r="P230" s="80"/>
      <c r="Q230" s="80"/>
      <c r="R230" s="78"/>
      <c r="S230" s="78"/>
      <c r="T230" s="78"/>
      <c r="U230" s="78"/>
      <c r="V230" s="78"/>
    </row>
    <row r="231" spans="1:22" x14ac:dyDescent="0.25">
      <c r="A231" s="78"/>
      <c r="B231" s="78"/>
      <c r="C231" s="78"/>
      <c r="D231" s="78"/>
      <c r="E231" s="78"/>
      <c r="F231" s="76"/>
      <c r="G231" s="78"/>
      <c r="H231" s="78"/>
      <c r="I231" s="78"/>
      <c r="J231" s="77"/>
      <c r="K231" s="78"/>
      <c r="L231" s="78"/>
      <c r="M231" s="78"/>
      <c r="N231" s="76"/>
      <c r="O231" s="78"/>
      <c r="P231" s="80"/>
      <c r="Q231" s="80"/>
      <c r="R231" s="78"/>
      <c r="S231" s="78"/>
      <c r="T231" s="78"/>
      <c r="U231" s="78"/>
      <c r="V231" s="78"/>
    </row>
    <row r="232" spans="1:22" x14ac:dyDescent="0.25">
      <c r="A232" s="78"/>
      <c r="B232" s="78"/>
      <c r="C232" s="78"/>
      <c r="D232" s="78"/>
      <c r="E232" s="78"/>
      <c r="F232" s="76"/>
      <c r="G232" s="78"/>
      <c r="H232" s="78"/>
      <c r="I232" s="78"/>
      <c r="J232" s="77"/>
      <c r="K232" s="78"/>
      <c r="L232" s="78"/>
      <c r="M232" s="78"/>
      <c r="N232" s="76"/>
      <c r="O232" s="78"/>
      <c r="P232" s="80"/>
      <c r="Q232" s="80"/>
      <c r="R232" s="78"/>
      <c r="S232" s="78"/>
      <c r="T232" s="78"/>
      <c r="U232" s="78"/>
      <c r="V232" s="78"/>
    </row>
    <row r="233" spans="1:22" x14ac:dyDescent="0.25">
      <c r="A233" s="78"/>
      <c r="B233" s="78"/>
      <c r="C233" s="78"/>
      <c r="D233" s="78"/>
      <c r="E233" s="78"/>
      <c r="F233" s="76"/>
      <c r="G233" s="78"/>
      <c r="H233" s="78"/>
      <c r="I233" s="78"/>
      <c r="J233" s="77"/>
      <c r="K233" s="78"/>
      <c r="L233" s="78"/>
      <c r="M233" s="78"/>
      <c r="N233" s="76"/>
      <c r="O233" s="78"/>
      <c r="P233" s="80"/>
      <c r="Q233" s="80"/>
      <c r="R233" s="78"/>
      <c r="S233" s="78"/>
      <c r="T233" s="78"/>
      <c r="U233" s="78"/>
      <c r="V233" s="78"/>
    </row>
    <row r="234" spans="1:22" x14ac:dyDescent="0.25">
      <c r="A234" s="78"/>
      <c r="B234" s="78"/>
      <c r="C234" s="78"/>
      <c r="D234" s="78"/>
      <c r="E234" s="78"/>
      <c r="F234" s="76"/>
      <c r="G234" s="78"/>
      <c r="H234" s="78"/>
      <c r="I234" s="78"/>
      <c r="J234" s="77"/>
      <c r="K234" s="78"/>
      <c r="L234" s="78"/>
      <c r="M234" s="78"/>
      <c r="N234" s="76"/>
      <c r="O234" s="78"/>
      <c r="P234" s="80"/>
      <c r="Q234" s="80"/>
      <c r="R234" s="78"/>
      <c r="S234" s="78"/>
      <c r="T234" s="78"/>
      <c r="U234" s="78"/>
      <c r="V234" s="78"/>
    </row>
    <row r="235" spans="1:22" x14ac:dyDescent="0.25">
      <c r="A235" s="78"/>
      <c r="B235" s="78"/>
      <c r="C235" s="78"/>
      <c r="D235" s="78"/>
      <c r="E235" s="78"/>
      <c r="F235" s="76"/>
      <c r="G235" s="78"/>
      <c r="H235" s="78"/>
      <c r="I235" s="78"/>
      <c r="J235" s="77"/>
      <c r="K235" s="78"/>
      <c r="L235" s="78"/>
      <c r="M235" s="78"/>
      <c r="N235" s="76"/>
      <c r="O235" s="78"/>
      <c r="P235" s="80"/>
      <c r="Q235" s="80"/>
      <c r="R235" s="78"/>
      <c r="S235" s="78"/>
      <c r="T235" s="78"/>
      <c r="U235" s="78"/>
      <c r="V235" s="78"/>
    </row>
    <row r="236" spans="1:22" x14ac:dyDescent="0.25">
      <c r="A236" s="78"/>
      <c r="B236" s="78"/>
      <c r="C236" s="78"/>
      <c r="D236" s="78"/>
      <c r="E236" s="78"/>
      <c r="F236" s="76"/>
      <c r="G236" s="78"/>
      <c r="H236" s="78"/>
      <c r="I236" s="78"/>
      <c r="J236" s="77"/>
      <c r="K236" s="78"/>
      <c r="L236" s="78"/>
      <c r="M236" s="78"/>
      <c r="N236" s="76"/>
      <c r="O236" s="78"/>
      <c r="P236" s="80"/>
      <c r="Q236" s="80"/>
      <c r="R236" s="78"/>
      <c r="S236" s="78"/>
      <c r="T236" s="78"/>
      <c r="U236" s="78"/>
      <c r="V236" s="78"/>
    </row>
    <row r="237" spans="1:22" x14ac:dyDescent="0.25">
      <c r="A237" s="78"/>
      <c r="B237" s="78"/>
      <c r="C237" s="78"/>
      <c r="D237" s="78"/>
      <c r="E237" s="78"/>
      <c r="F237" s="76"/>
      <c r="G237" s="78"/>
      <c r="H237" s="78"/>
      <c r="I237" s="78"/>
      <c r="J237" s="77"/>
      <c r="K237" s="78"/>
      <c r="L237" s="78"/>
      <c r="M237" s="78"/>
      <c r="N237" s="76"/>
      <c r="O237" s="78"/>
      <c r="P237" s="80"/>
      <c r="Q237" s="80"/>
      <c r="R237" s="78"/>
      <c r="S237" s="78"/>
      <c r="T237" s="78"/>
      <c r="U237" s="78"/>
      <c r="V237" s="78"/>
    </row>
    <row r="238" spans="1:22" x14ac:dyDescent="0.25">
      <c r="A238" s="78"/>
      <c r="B238" s="78"/>
      <c r="C238" s="78"/>
      <c r="D238" s="78"/>
      <c r="E238" s="78"/>
      <c r="F238" s="76"/>
      <c r="G238" s="78"/>
      <c r="H238" s="78"/>
      <c r="I238" s="78"/>
      <c r="J238" s="77"/>
      <c r="K238" s="78"/>
      <c r="L238" s="78"/>
      <c r="M238" s="78"/>
      <c r="N238" s="76"/>
      <c r="O238" s="78"/>
      <c r="P238" s="80"/>
      <c r="Q238" s="80"/>
      <c r="R238" s="78"/>
      <c r="S238" s="78"/>
      <c r="T238" s="78"/>
      <c r="U238" s="78"/>
      <c r="V238" s="78"/>
    </row>
    <row r="239" spans="1:22" x14ac:dyDescent="0.25">
      <c r="A239" s="78"/>
      <c r="B239" s="78"/>
      <c r="C239" s="78"/>
      <c r="D239" s="78"/>
      <c r="E239" s="78"/>
      <c r="F239" s="76"/>
      <c r="G239" s="78"/>
      <c r="H239" s="78"/>
      <c r="I239" s="78"/>
      <c r="J239" s="77"/>
      <c r="K239" s="78"/>
      <c r="L239" s="78"/>
      <c r="M239" s="78"/>
      <c r="N239" s="76"/>
      <c r="O239" s="78"/>
      <c r="P239" s="80"/>
      <c r="Q239" s="80"/>
      <c r="R239" s="78"/>
      <c r="S239" s="78"/>
      <c r="T239" s="78"/>
      <c r="U239" s="78"/>
      <c r="V239" s="78"/>
    </row>
    <row r="240" spans="1:22" x14ac:dyDescent="0.25">
      <c r="A240" s="78"/>
      <c r="B240" s="78"/>
      <c r="C240" s="78"/>
      <c r="D240" s="78"/>
      <c r="E240" s="78"/>
      <c r="F240" s="76"/>
      <c r="G240" s="78"/>
      <c r="H240" s="78"/>
      <c r="I240" s="78"/>
      <c r="J240" s="77"/>
      <c r="K240" s="78"/>
      <c r="L240" s="78"/>
      <c r="M240" s="78"/>
      <c r="N240" s="76"/>
      <c r="O240" s="78"/>
      <c r="P240" s="80"/>
      <c r="Q240" s="80"/>
      <c r="R240" s="78"/>
      <c r="S240" s="78"/>
      <c r="T240" s="78"/>
      <c r="U240" s="78"/>
      <c r="V240" s="78"/>
    </row>
    <row r="241" spans="1:22" x14ac:dyDescent="0.25">
      <c r="A241" s="78"/>
      <c r="B241" s="78"/>
      <c r="C241" s="78"/>
      <c r="D241" s="78"/>
      <c r="E241" s="78"/>
      <c r="F241" s="76"/>
      <c r="G241" s="78"/>
      <c r="H241" s="78"/>
      <c r="I241" s="78"/>
      <c r="J241" s="77"/>
      <c r="K241" s="78"/>
      <c r="L241" s="78"/>
      <c r="M241" s="78"/>
      <c r="N241" s="76"/>
      <c r="O241" s="78"/>
      <c r="P241" s="80"/>
      <c r="Q241" s="80"/>
      <c r="R241" s="78"/>
      <c r="S241" s="78"/>
      <c r="T241" s="78"/>
      <c r="U241" s="78"/>
      <c r="V241" s="78"/>
    </row>
    <row r="242" spans="1:22" x14ac:dyDescent="0.25">
      <c r="A242" s="78"/>
      <c r="B242" s="78"/>
      <c r="C242" s="78"/>
      <c r="D242" s="78"/>
      <c r="E242" s="78"/>
      <c r="F242" s="76"/>
      <c r="G242" s="78"/>
      <c r="H242" s="78"/>
      <c r="I242" s="78"/>
      <c r="J242" s="77"/>
      <c r="K242" s="78"/>
      <c r="L242" s="78"/>
      <c r="M242" s="78"/>
      <c r="N242" s="76"/>
      <c r="O242" s="78"/>
      <c r="P242" s="80"/>
      <c r="Q242" s="80"/>
      <c r="R242" s="78"/>
      <c r="S242" s="78"/>
      <c r="T242" s="78"/>
      <c r="U242" s="78"/>
      <c r="V242" s="78"/>
    </row>
    <row r="243" spans="1:22" x14ac:dyDescent="0.25">
      <c r="A243" s="78"/>
      <c r="B243" s="78"/>
      <c r="C243" s="78"/>
      <c r="D243" s="78"/>
      <c r="E243" s="78"/>
      <c r="F243" s="76"/>
      <c r="G243" s="78"/>
      <c r="H243" s="78"/>
      <c r="I243" s="78"/>
      <c r="J243" s="77"/>
      <c r="K243" s="78"/>
      <c r="L243" s="78"/>
      <c r="M243" s="78"/>
      <c r="N243" s="76"/>
      <c r="O243" s="78"/>
      <c r="P243" s="80"/>
      <c r="Q243" s="80"/>
      <c r="R243" s="78"/>
      <c r="S243" s="78"/>
      <c r="T243" s="78"/>
      <c r="U243" s="78"/>
      <c r="V243" s="78"/>
    </row>
    <row r="244" spans="1:22" x14ac:dyDescent="0.25">
      <c r="A244" s="78"/>
      <c r="B244" s="78"/>
      <c r="C244" s="78"/>
      <c r="D244" s="78"/>
      <c r="E244" s="78"/>
      <c r="F244" s="76"/>
      <c r="G244" s="78"/>
      <c r="H244" s="78"/>
      <c r="I244" s="78"/>
      <c r="J244" s="77"/>
      <c r="K244" s="78"/>
      <c r="L244" s="78"/>
      <c r="M244" s="78"/>
      <c r="N244" s="76"/>
      <c r="O244" s="78"/>
      <c r="P244" s="80"/>
      <c r="Q244" s="80"/>
      <c r="R244" s="78"/>
      <c r="S244" s="78"/>
      <c r="T244" s="78"/>
      <c r="U244" s="78"/>
      <c r="V244" s="78"/>
    </row>
    <row r="245" spans="1:22" x14ac:dyDescent="0.25">
      <c r="A245" s="78"/>
      <c r="B245" s="78"/>
      <c r="C245" s="78"/>
      <c r="D245" s="78"/>
      <c r="E245" s="78"/>
      <c r="F245" s="76"/>
      <c r="G245" s="78"/>
      <c r="H245" s="78"/>
      <c r="I245" s="78"/>
      <c r="J245" s="77"/>
      <c r="K245" s="78"/>
      <c r="L245" s="78"/>
      <c r="M245" s="78"/>
      <c r="N245" s="76"/>
      <c r="O245" s="78"/>
      <c r="P245" s="80"/>
      <c r="Q245" s="80"/>
      <c r="R245" s="78"/>
      <c r="S245" s="78"/>
      <c r="T245" s="78"/>
      <c r="U245" s="78"/>
      <c r="V245" s="78"/>
    </row>
    <row r="246" spans="1:22" x14ac:dyDescent="0.25">
      <c r="A246" s="78"/>
      <c r="B246" s="78"/>
      <c r="C246" s="78"/>
      <c r="D246" s="78"/>
      <c r="E246" s="78"/>
      <c r="F246" s="76"/>
      <c r="G246" s="78"/>
      <c r="H246" s="78"/>
      <c r="I246" s="78"/>
      <c r="J246" s="77"/>
      <c r="K246" s="78"/>
      <c r="L246" s="78"/>
      <c r="M246" s="78"/>
      <c r="N246" s="76"/>
      <c r="O246" s="78"/>
      <c r="P246" s="80"/>
      <c r="Q246" s="80"/>
      <c r="R246" s="78"/>
      <c r="S246" s="78"/>
      <c r="T246" s="78"/>
      <c r="U246" s="78"/>
      <c r="V246" s="78"/>
    </row>
    <row r="247" spans="1:22" x14ac:dyDescent="0.25">
      <c r="A247" s="78"/>
      <c r="B247" s="78"/>
      <c r="C247" s="78"/>
      <c r="D247" s="78"/>
      <c r="E247" s="78"/>
      <c r="F247" s="76"/>
      <c r="G247" s="78"/>
      <c r="H247" s="78"/>
      <c r="I247" s="78"/>
      <c r="J247" s="77"/>
      <c r="K247" s="78"/>
      <c r="L247" s="78"/>
      <c r="M247" s="78"/>
      <c r="N247" s="76"/>
      <c r="O247" s="78"/>
      <c r="P247" s="80"/>
      <c r="Q247" s="80"/>
      <c r="R247" s="78"/>
      <c r="S247" s="78"/>
      <c r="T247" s="78"/>
      <c r="U247" s="78"/>
      <c r="V247" s="78"/>
    </row>
    <row r="248" spans="1:22" x14ac:dyDescent="0.25">
      <c r="A248" s="78"/>
      <c r="B248" s="78"/>
      <c r="C248" s="78"/>
      <c r="D248" s="78"/>
      <c r="E248" s="78"/>
      <c r="F248" s="76"/>
      <c r="G248" s="78"/>
      <c r="H248" s="78"/>
      <c r="I248" s="78"/>
      <c r="J248" s="77"/>
      <c r="K248" s="78"/>
      <c r="L248" s="78"/>
      <c r="M248" s="78"/>
      <c r="N248" s="76"/>
      <c r="O248" s="78"/>
      <c r="P248" s="80"/>
      <c r="Q248" s="80"/>
      <c r="R248" s="78"/>
      <c r="S248" s="78"/>
      <c r="T248" s="78"/>
      <c r="U248" s="78"/>
      <c r="V248" s="78"/>
    </row>
    <row r="249" spans="1:22" x14ac:dyDescent="0.25">
      <c r="A249" s="78"/>
      <c r="B249" s="78"/>
      <c r="C249" s="78"/>
      <c r="D249" s="78"/>
      <c r="E249" s="78"/>
      <c r="F249" s="76"/>
      <c r="G249" s="78"/>
      <c r="H249" s="78"/>
      <c r="I249" s="78"/>
      <c r="J249" s="77"/>
      <c r="K249" s="78"/>
      <c r="L249" s="78"/>
      <c r="M249" s="78"/>
      <c r="N249" s="76"/>
      <c r="O249" s="78"/>
      <c r="P249" s="80"/>
      <c r="Q249" s="80"/>
      <c r="R249" s="78"/>
      <c r="S249" s="78"/>
      <c r="T249" s="78"/>
      <c r="U249" s="78"/>
      <c r="V249" s="78"/>
    </row>
    <row r="250" spans="1:22" x14ac:dyDescent="0.25">
      <c r="A250" s="78"/>
      <c r="B250" s="78"/>
      <c r="C250" s="78"/>
      <c r="D250" s="78"/>
      <c r="E250" s="78"/>
      <c r="F250" s="76"/>
      <c r="G250" s="78"/>
      <c r="H250" s="78"/>
      <c r="I250" s="78"/>
      <c r="J250" s="77"/>
      <c r="K250" s="78"/>
      <c r="L250" s="78"/>
      <c r="M250" s="78"/>
      <c r="N250" s="76"/>
      <c r="O250" s="78"/>
      <c r="P250" s="80"/>
      <c r="Q250" s="80"/>
      <c r="R250" s="78"/>
      <c r="S250" s="78"/>
      <c r="T250" s="78"/>
      <c r="U250" s="78"/>
      <c r="V250" s="78"/>
    </row>
    <row r="251" spans="1:22" x14ac:dyDescent="0.25">
      <c r="A251" s="78"/>
      <c r="B251" s="78"/>
      <c r="C251" s="78"/>
      <c r="D251" s="78"/>
      <c r="E251" s="78"/>
      <c r="F251" s="76"/>
      <c r="G251" s="78"/>
      <c r="H251" s="78"/>
      <c r="I251" s="78"/>
      <c r="J251" s="77"/>
      <c r="K251" s="78"/>
      <c r="L251" s="78"/>
      <c r="M251" s="78"/>
      <c r="N251" s="76"/>
      <c r="O251" s="78"/>
      <c r="P251" s="80"/>
      <c r="Q251" s="80"/>
      <c r="R251" s="78"/>
      <c r="S251" s="78"/>
      <c r="T251" s="78"/>
      <c r="U251" s="78"/>
      <c r="V251" s="78"/>
    </row>
    <row r="252" spans="1:22" x14ac:dyDescent="0.25">
      <c r="A252" s="78"/>
      <c r="B252" s="78"/>
      <c r="C252" s="78"/>
      <c r="D252" s="78"/>
      <c r="E252" s="78"/>
      <c r="F252" s="76"/>
      <c r="G252" s="78"/>
      <c r="H252" s="78"/>
      <c r="I252" s="78"/>
      <c r="J252" s="77"/>
      <c r="K252" s="78"/>
      <c r="L252" s="78"/>
      <c r="M252" s="78"/>
      <c r="N252" s="76"/>
      <c r="O252" s="78"/>
      <c r="P252" s="80"/>
      <c r="Q252" s="80"/>
      <c r="R252" s="78"/>
      <c r="S252" s="78"/>
      <c r="T252" s="78"/>
      <c r="U252" s="78"/>
      <c r="V252" s="78"/>
    </row>
    <row r="253" spans="1:22" x14ac:dyDescent="0.25">
      <c r="A253" s="78"/>
      <c r="B253" s="78"/>
      <c r="C253" s="78"/>
      <c r="D253" s="78"/>
      <c r="E253" s="78"/>
      <c r="F253" s="76"/>
      <c r="G253" s="78"/>
      <c r="H253" s="78"/>
      <c r="I253" s="78"/>
      <c r="J253" s="77"/>
      <c r="K253" s="78"/>
      <c r="L253" s="78"/>
      <c r="M253" s="78"/>
      <c r="N253" s="76"/>
      <c r="O253" s="78"/>
      <c r="P253" s="80"/>
      <c r="Q253" s="80"/>
      <c r="R253" s="78"/>
      <c r="S253" s="78"/>
      <c r="T253" s="78"/>
      <c r="U253" s="78"/>
      <c r="V253" s="78"/>
    </row>
    <row r="254" spans="1:22" x14ac:dyDescent="0.25">
      <c r="A254" s="78"/>
      <c r="B254" s="78"/>
      <c r="C254" s="78"/>
      <c r="D254" s="78"/>
      <c r="E254" s="78"/>
      <c r="F254" s="76"/>
      <c r="G254" s="78"/>
      <c r="H254" s="78"/>
      <c r="I254" s="78"/>
      <c r="J254" s="77"/>
      <c r="K254" s="78"/>
      <c r="L254" s="78"/>
      <c r="M254" s="78"/>
      <c r="N254" s="76"/>
      <c r="O254" s="78"/>
      <c r="P254" s="80"/>
      <c r="Q254" s="80"/>
      <c r="R254" s="78"/>
      <c r="S254" s="78"/>
      <c r="T254" s="78"/>
      <c r="U254" s="78"/>
      <c r="V254" s="78"/>
    </row>
    <row r="255" spans="1:22" x14ac:dyDescent="0.25">
      <c r="A255" s="78"/>
      <c r="B255" s="78"/>
      <c r="C255" s="78"/>
      <c r="D255" s="78"/>
      <c r="E255" s="78"/>
      <c r="F255" s="76"/>
      <c r="G255" s="78"/>
      <c r="H255" s="78"/>
      <c r="I255" s="78"/>
      <c r="J255" s="77"/>
      <c r="K255" s="78"/>
      <c r="L255" s="78"/>
      <c r="M255" s="78"/>
      <c r="N255" s="76"/>
      <c r="O255" s="78"/>
      <c r="P255" s="80"/>
      <c r="Q255" s="80"/>
      <c r="R255" s="78"/>
      <c r="S255" s="78"/>
      <c r="T255" s="78"/>
      <c r="U255" s="78"/>
      <c r="V255" s="78"/>
    </row>
    <row r="256" spans="1:22" x14ac:dyDescent="0.25">
      <c r="A256" s="78"/>
      <c r="B256" s="78"/>
      <c r="C256" s="78"/>
      <c r="D256" s="78"/>
      <c r="E256" s="78"/>
      <c r="F256" s="76"/>
      <c r="G256" s="78"/>
      <c r="H256" s="78"/>
      <c r="I256" s="78"/>
      <c r="J256" s="77"/>
      <c r="K256" s="78"/>
      <c r="L256" s="78"/>
      <c r="M256" s="78"/>
      <c r="N256" s="76"/>
      <c r="O256" s="78"/>
      <c r="P256" s="80"/>
      <c r="Q256" s="80"/>
      <c r="R256" s="78"/>
      <c r="S256" s="78"/>
      <c r="T256" s="78"/>
      <c r="U256" s="78"/>
      <c r="V256" s="78"/>
    </row>
    <row r="257" spans="1:22" x14ac:dyDescent="0.25">
      <c r="A257" s="78"/>
      <c r="B257" s="78"/>
      <c r="C257" s="78"/>
      <c r="D257" s="78"/>
      <c r="E257" s="78"/>
      <c r="F257" s="76"/>
      <c r="G257" s="78"/>
      <c r="H257" s="78"/>
      <c r="I257" s="78"/>
      <c r="J257" s="77"/>
      <c r="K257" s="78"/>
      <c r="L257" s="78"/>
      <c r="M257" s="78"/>
      <c r="N257" s="76"/>
      <c r="O257" s="78"/>
      <c r="P257" s="80"/>
      <c r="Q257" s="80"/>
      <c r="R257" s="78"/>
      <c r="S257" s="78"/>
      <c r="T257" s="78"/>
      <c r="U257" s="78"/>
      <c r="V257" s="78"/>
    </row>
    <row r="258" spans="1:22" x14ac:dyDescent="0.25">
      <c r="A258" s="78"/>
      <c r="B258" s="78"/>
      <c r="C258" s="78"/>
      <c r="D258" s="78"/>
      <c r="E258" s="78"/>
      <c r="F258" s="76"/>
      <c r="G258" s="78"/>
      <c r="H258" s="78"/>
      <c r="I258" s="78"/>
      <c r="J258" s="77"/>
      <c r="K258" s="78"/>
      <c r="L258" s="78"/>
      <c r="M258" s="78"/>
      <c r="N258" s="76"/>
      <c r="O258" s="78"/>
      <c r="P258" s="80"/>
      <c r="Q258" s="80"/>
      <c r="R258" s="78"/>
      <c r="S258" s="78"/>
      <c r="T258" s="78"/>
      <c r="U258" s="78"/>
      <c r="V258" s="78"/>
    </row>
    <row r="259" spans="1:22" x14ac:dyDescent="0.25">
      <c r="A259" s="78"/>
      <c r="B259" s="78"/>
      <c r="C259" s="78"/>
      <c r="D259" s="78"/>
      <c r="E259" s="78"/>
      <c r="F259" s="76"/>
      <c r="G259" s="78"/>
      <c r="H259" s="78"/>
      <c r="I259" s="78"/>
      <c r="J259" s="77"/>
      <c r="K259" s="78"/>
      <c r="L259" s="78"/>
      <c r="M259" s="78"/>
      <c r="N259" s="76"/>
      <c r="O259" s="78"/>
      <c r="P259" s="80"/>
      <c r="Q259" s="80"/>
      <c r="R259" s="78"/>
      <c r="S259" s="78"/>
      <c r="T259" s="78"/>
      <c r="U259" s="78"/>
      <c r="V259" s="78"/>
    </row>
    <row r="260" spans="1:22" x14ac:dyDescent="0.25">
      <c r="A260" s="78"/>
      <c r="B260" s="78"/>
      <c r="C260" s="78"/>
      <c r="D260" s="78"/>
      <c r="E260" s="78"/>
      <c r="F260" s="76"/>
      <c r="G260" s="78"/>
      <c r="H260" s="78"/>
      <c r="I260" s="78"/>
      <c r="J260" s="77"/>
      <c r="K260" s="78"/>
      <c r="L260" s="78"/>
      <c r="M260" s="78"/>
      <c r="N260" s="76"/>
      <c r="O260" s="78"/>
      <c r="P260" s="80"/>
      <c r="Q260" s="80"/>
      <c r="R260" s="78"/>
      <c r="S260" s="78"/>
      <c r="T260" s="78"/>
      <c r="U260" s="78"/>
      <c r="V260" s="78"/>
    </row>
    <row r="261" spans="1:22" x14ac:dyDescent="0.25">
      <c r="A261" s="78"/>
      <c r="B261" s="78"/>
      <c r="C261" s="78"/>
      <c r="D261" s="78"/>
      <c r="E261" s="78"/>
      <c r="F261" s="76"/>
      <c r="G261" s="78"/>
      <c r="H261" s="78"/>
      <c r="I261" s="78"/>
      <c r="J261" s="77"/>
      <c r="K261" s="78"/>
      <c r="L261" s="78"/>
      <c r="M261" s="78"/>
      <c r="N261" s="76"/>
      <c r="O261" s="78"/>
      <c r="P261" s="80"/>
      <c r="Q261" s="80"/>
      <c r="R261" s="78"/>
      <c r="S261" s="78"/>
      <c r="T261" s="78"/>
      <c r="U261" s="78"/>
      <c r="V261" s="78"/>
    </row>
    <row r="262" spans="1:22" x14ac:dyDescent="0.25">
      <c r="A262" s="78"/>
      <c r="B262" s="78"/>
      <c r="C262" s="78"/>
      <c r="D262" s="78"/>
      <c r="E262" s="78"/>
      <c r="F262" s="76"/>
      <c r="G262" s="78"/>
      <c r="H262" s="78"/>
      <c r="I262" s="78"/>
      <c r="J262" s="77"/>
      <c r="K262" s="78"/>
      <c r="L262" s="78"/>
      <c r="M262" s="78"/>
      <c r="N262" s="76"/>
      <c r="O262" s="78"/>
      <c r="P262" s="80"/>
      <c r="Q262" s="80"/>
      <c r="R262" s="78"/>
      <c r="S262" s="78"/>
      <c r="T262" s="78"/>
      <c r="U262" s="78"/>
      <c r="V262" s="78"/>
    </row>
    <row r="263" spans="1:22" x14ac:dyDescent="0.25">
      <c r="A263" s="78"/>
      <c r="B263" s="78"/>
      <c r="C263" s="78"/>
      <c r="D263" s="78"/>
      <c r="E263" s="78"/>
      <c r="F263" s="76"/>
      <c r="G263" s="78"/>
      <c r="H263" s="78"/>
      <c r="I263" s="78"/>
      <c r="J263" s="77"/>
      <c r="K263" s="78"/>
      <c r="L263" s="78"/>
      <c r="M263" s="78"/>
      <c r="N263" s="76"/>
      <c r="O263" s="78"/>
      <c r="P263" s="80"/>
      <c r="Q263" s="80"/>
      <c r="R263" s="78"/>
      <c r="S263" s="78"/>
      <c r="T263" s="78"/>
      <c r="U263" s="78"/>
      <c r="V263" s="78"/>
    </row>
    <row r="264" spans="1:22" x14ac:dyDescent="0.25">
      <c r="A264" s="78"/>
      <c r="B264" s="78"/>
      <c r="C264" s="78"/>
      <c r="D264" s="78"/>
      <c r="E264" s="78"/>
      <c r="F264" s="76"/>
      <c r="G264" s="78"/>
      <c r="H264" s="78"/>
      <c r="I264" s="78"/>
      <c r="J264" s="77"/>
      <c r="K264" s="78"/>
      <c r="L264" s="78"/>
      <c r="M264" s="78"/>
      <c r="N264" s="76"/>
      <c r="O264" s="78"/>
      <c r="P264" s="80"/>
      <c r="Q264" s="80"/>
      <c r="R264" s="78"/>
      <c r="S264" s="78"/>
      <c r="T264" s="78"/>
      <c r="U264" s="78"/>
      <c r="V264" s="78"/>
    </row>
    <row r="265" spans="1:22" x14ac:dyDescent="0.25">
      <c r="A265" s="78"/>
      <c r="B265" s="78"/>
      <c r="C265" s="78"/>
      <c r="D265" s="78"/>
      <c r="E265" s="78"/>
      <c r="F265" s="76"/>
      <c r="G265" s="78"/>
      <c r="H265" s="78"/>
      <c r="I265" s="78"/>
      <c r="J265" s="77"/>
      <c r="K265" s="78"/>
      <c r="L265" s="78"/>
      <c r="M265" s="78"/>
      <c r="N265" s="76"/>
      <c r="O265" s="78"/>
      <c r="P265" s="80"/>
      <c r="Q265" s="80"/>
      <c r="R265" s="78"/>
      <c r="S265" s="78"/>
      <c r="T265" s="78"/>
      <c r="U265" s="78"/>
      <c r="V265" s="78"/>
    </row>
    <row r="266" spans="1:22" x14ac:dyDescent="0.25">
      <c r="A266" s="78"/>
      <c r="B266" s="78"/>
      <c r="C266" s="78"/>
      <c r="D266" s="78"/>
      <c r="E266" s="78"/>
      <c r="F266" s="76"/>
      <c r="G266" s="78"/>
      <c r="H266" s="78"/>
      <c r="I266" s="78"/>
      <c r="J266" s="77"/>
      <c r="K266" s="78"/>
      <c r="L266" s="78"/>
      <c r="M266" s="78"/>
      <c r="N266" s="76"/>
      <c r="O266" s="78"/>
      <c r="P266" s="80"/>
      <c r="Q266" s="80"/>
      <c r="R266" s="78"/>
      <c r="S266" s="78"/>
      <c r="T266" s="78"/>
      <c r="U266" s="78"/>
      <c r="V266" s="78"/>
    </row>
    <row r="267" spans="1:22" x14ac:dyDescent="0.25">
      <c r="A267" s="78"/>
      <c r="B267" s="78"/>
      <c r="C267" s="78"/>
      <c r="D267" s="78"/>
      <c r="E267" s="78"/>
      <c r="F267" s="76"/>
      <c r="G267" s="78"/>
      <c r="H267" s="78"/>
      <c r="I267" s="78"/>
      <c r="J267" s="77"/>
      <c r="K267" s="78"/>
      <c r="L267" s="78"/>
      <c r="M267" s="78"/>
      <c r="N267" s="76"/>
      <c r="O267" s="78"/>
      <c r="P267" s="80"/>
      <c r="Q267" s="80"/>
      <c r="R267" s="78"/>
      <c r="S267" s="78"/>
      <c r="T267" s="78"/>
      <c r="U267" s="78"/>
      <c r="V267" s="78"/>
    </row>
    <row r="268" spans="1:22" x14ac:dyDescent="0.25">
      <c r="A268" s="78"/>
      <c r="B268" s="78"/>
      <c r="C268" s="78"/>
      <c r="D268" s="78"/>
      <c r="E268" s="78"/>
      <c r="F268" s="76"/>
      <c r="G268" s="78"/>
      <c r="H268" s="78"/>
      <c r="I268" s="78"/>
      <c r="J268" s="77"/>
      <c r="K268" s="78"/>
      <c r="L268" s="78"/>
      <c r="M268" s="78"/>
      <c r="N268" s="76"/>
      <c r="O268" s="78"/>
      <c r="P268" s="80"/>
      <c r="Q268" s="80"/>
      <c r="R268" s="78"/>
      <c r="S268" s="78"/>
      <c r="T268" s="78"/>
      <c r="U268" s="78"/>
      <c r="V268" s="78"/>
    </row>
    <row r="269" spans="1:22" x14ac:dyDescent="0.25">
      <c r="A269" s="78"/>
      <c r="B269" s="78"/>
      <c r="C269" s="78"/>
      <c r="D269" s="78"/>
      <c r="E269" s="78"/>
      <c r="F269" s="76"/>
      <c r="G269" s="78"/>
      <c r="H269" s="78"/>
      <c r="I269" s="78"/>
      <c r="J269" s="77"/>
      <c r="K269" s="78"/>
      <c r="L269" s="78"/>
      <c r="M269" s="78"/>
      <c r="N269" s="76"/>
      <c r="O269" s="78"/>
      <c r="P269" s="80"/>
      <c r="Q269" s="80"/>
      <c r="R269" s="78"/>
      <c r="S269" s="78"/>
      <c r="T269" s="78"/>
      <c r="U269" s="78"/>
      <c r="V269" s="78"/>
    </row>
    <row r="270" spans="1:22" x14ac:dyDescent="0.25">
      <c r="A270" s="78"/>
      <c r="B270" s="78"/>
      <c r="C270" s="78"/>
      <c r="D270" s="78"/>
      <c r="E270" s="78"/>
      <c r="F270" s="76"/>
      <c r="G270" s="78"/>
      <c r="H270" s="78"/>
      <c r="I270" s="78"/>
      <c r="J270" s="77"/>
      <c r="K270" s="78"/>
      <c r="L270" s="78"/>
      <c r="M270" s="78"/>
      <c r="N270" s="76"/>
      <c r="O270" s="78"/>
      <c r="P270" s="80"/>
      <c r="Q270" s="80"/>
      <c r="R270" s="78"/>
      <c r="S270" s="78"/>
      <c r="T270" s="78"/>
      <c r="U270" s="78"/>
      <c r="V270" s="78"/>
    </row>
    <row r="271" spans="1:22" x14ac:dyDescent="0.25">
      <c r="A271" s="78"/>
      <c r="B271" s="78"/>
      <c r="C271" s="78"/>
      <c r="D271" s="78"/>
      <c r="E271" s="78"/>
      <c r="F271" s="76"/>
      <c r="G271" s="78"/>
      <c r="H271" s="78"/>
      <c r="I271" s="78"/>
      <c r="J271" s="77"/>
      <c r="K271" s="78"/>
      <c r="L271" s="78"/>
      <c r="M271" s="78"/>
      <c r="N271" s="76"/>
      <c r="O271" s="78"/>
      <c r="P271" s="80"/>
      <c r="Q271" s="80"/>
      <c r="R271" s="78"/>
      <c r="S271" s="78"/>
      <c r="T271" s="78"/>
      <c r="U271" s="78"/>
      <c r="V271" s="78"/>
    </row>
    <row r="272" spans="1:22" x14ac:dyDescent="0.25">
      <c r="A272" s="78"/>
      <c r="B272" s="78"/>
      <c r="C272" s="78"/>
      <c r="D272" s="78"/>
      <c r="E272" s="78"/>
      <c r="F272" s="76"/>
      <c r="G272" s="78"/>
      <c r="H272" s="78"/>
      <c r="I272" s="78"/>
      <c r="J272" s="77"/>
      <c r="K272" s="78"/>
      <c r="L272" s="78"/>
      <c r="M272" s="78"/>
      <c r="N272" s="76"/>
      <c r="O272" s="78"/>
      <c r="P272" s="80"/>
      <c r="Q272" s="80"/>
      <c r="R272" s="78"/>
      <c r="S272" s="78"/>
      <c r="T272" s="78"/>
      <c r="U272" s="78"/>
      <c r="V272" s="78"/>
    </row>
    <row r="273" spans="1:22" x14ac:dyDescent="0.25">
      <c r="A273" s="78"/>
      <c r="B273" s="78"/>
      <c r="C273" s="78"/>
      <c r="D273" s="78"/>
      <c r="E273" s="78"/>
      <c r="F273" s="76"/>
      <c r="G273" s="78"/>
      <c r="H273" s="78"/>
      <c r="I273" s="78"/>
      <c r="J273" s="77"/>
      <c r="K273" s="78"/>
      <c r="L273" s="78"/>
      <c r="M273" s="78"/>
      <c r="N273" s="76"/>
      <c r="O273" s="78"/>
      <c r="P273" s="80"/>
      <c r="Q273" s="80"/>
      <c r="R273" s="78"/>
      <c r="S273" s="78"/>
      <c r="T273" s="78"/>
      <c r="U273" s="78"/>
      <c r="V273" s="78"/>
    </row>
    <row r="274" spans="1:22" x14ac:dyDescent="0.25">
      <c r="A274" s="78"/>
      <c r="B274" s="78"/>
      <c r="C274" s="78"/>
      <c r="D274" s="78"/>
      <c r="E274" s="78"/>
      <c r="F274" s="76"/>
      <c r="G274" s="78"/>
      <c r="H274" s="78"/>
      <c r="I274" s="78"/>
      <c r="J274" s="77"/>
      <c r="K274" s="78"/>
      <c r="L274" s="78"/>
      <c r="M274" s="78"/>
      <c r="N274" s="76"/>
      <c r="O274" s="78"/>
      <c r="P274" s="80"/>
      <c r="Q274" s="80"/>
      <c r="R274" s="78"/>
      <c r="S274" s="78"/>
      <c r="T274" s="78"/>
      <c r="U274" s="78"/>
      <c r="V274" s="78"/>
    </row>
    <row r="275" spans="1:22" x14ac:dyDescent="0.25">
      <c r="A275" s="78"/>
      <c r="B275" s="78"/>
      <c r="C275" s="78"/>
      <c r="D275" s="78"/>
      <c r="E275" s="78"/>
      <c r="F275" s="76"/>
      <c r="G275" s="78"/>
      <c r="H275" s="78"/>
      <c r="I275" s="78"/>
      <c r="J275" s="77"/>
      <c r="K275" s="78"/>
      <c r="L275" s="78"/>
      <c r="M275" s="78"/>
      <c r="N275" s="76"/>
      <c r="O275" s="78"/>
      <c r="P275" s="80"/>
      <c r="Q275" s="80"/>
      <c r="R275" s="78"/>
      <c r="S275" s="78"/>
      <c r="T275" s="78"/>
      <c r="U275" s="78"/>
      <c r="V275" s="78"/>
    </row>
    <row r="276" spans="1:22" x14ac:dyDescent="0.25">
      <c r="A276" s="78"/>
      <c r="B276" s="78"/>
      <c r="C276" s="78"/>
      <c r="D276" s="78"/>
      <c r="E276" s="78"/>
      <c r="F276" s="76"/>
      <c r="G276" s="78"/>
      <c r="H276" s="78"/>
      <c r="I276" s="78"/>
      <c r="J276" s="77"/>
      <c r="K276" s="78"/>
      <c r="L276" s="78"/>
      <c r="M276" s="78"/>
      <c r="N276" s="76"/>
      <c r="O276" s="78"/>
      <c r="P276" s="80"/>
      <c r="Q276" s="80"/>
      <c r="R276" s="78"/>
      <c r="S276" s="78"/>
      <c r="T276" s="78"/>
      <c r="U276" s="78"/>
      <c r="V276" s="78"/>
    </row>
    <row r="277" spans="1:22" x14ac:dyDescent="0.25">
      <c r="A277" s="78"/>
      <c r="B277" s="78"/>
      <c r="C277" s="78"/>
      <c r="D277" s="78"/>
      <c r="E277" s="78"/>
      <c r="F277" s="76"/>
      <c r="G277" s="78"/>
      <c r="H277" s="78"/>
      <c r="I277" s="78"/>
      <c r="J277" s="77"/>
      <c r="K277" s="78"/>
      <c r="L277" s="78"/>
      <c r="M277" s="78"/>
      <c r="N277" s="76"/>
      <c r="O277" s="78"/>
      <c r="P277" s="80"/>
      <c r="Q277" s="80"/>
      <c r="R277" s="78"/>
      <c r="S277" s="78"/>
      <c r="T277" s="78"/>
      <c r="U277" s="78"/>
      <c r="V277" s="78"/>
    </row>
    <row r="278" spans="1:22" x14ac:dyDescent="0.25">
      <c r="A278" s="78"/>
      <c r="B278" s="78"/>
      <c r="C278" s="78"/>
      <c r="D278" s="78"/>
      <c r="E278" s="78"/>
      <c r="F278" s="76"/>
      <c r="G278" s="78"/>
      <c r="H278" s="78"/>
      <c r="I278" s="78"/>
      <c r="J278" s="77"/>
      <c r="K278" s="78"/>
      <c r="L278" s="78"/>
      <c r="M278" s="78"/>
      <c r="N278" s="76"/>
      <c r="O278" s="78"/>
      <c r="P278" s="80"/>
      <c r="Q278" s="80"/>
      <c r="R278" s="78"/>
      <c r="S278" s="78"/>
      <c r="T278" s="78"/>
      <c r="U278" s="78"/>
      <c r="V278" s="78"/>
    </row>
    <row r="279" spans="1:22" x14ac:dyDescent="0.25">
      <c r="A279" s="78"/>
      <c r="B279" s="78"/>
      <c r="C279" s="78"/>
      <c r="D279" s="78"/>
      <c r="E279" s="78"/>
      <c r="F279" s="76"/>
      <c r="G279" s="78"/>
      <c r="H279" s="78"/>
      <c r="I279" s="78"/>
      <c r="J279" s="77"/>
      <c r="K279" s="78"/>
      <c r="L279" s="78"/>
      <c r="M279" s="78"/>
      <c r="N279" s="76"/>
      <c r="O279" s="78"/>
      <c r="P279" s="80"/>
      <c r="Q279" s="80"/>
      <c r="R279" s="78"/>
      <c r="S279" s="78"/>
      <c r="T279" s="78"/>
      <c r="U279" s="78"/>
      <c r="V279" s="78"/>
    </row>
    <row r="280" spans="1:22" x14ac:dyDescent="0.25">
      <c r="A280" s="78"/>
      <c r="B280" s="78"/>
      <c r="C280" s="78"/>
      <c r="D280" s="78"/>
      <c r="E280" s="78"/>
      <c r="F280" s="76"/>
      <c r="G280" s="78"/>
      <c r="H280" s="78"/>
      <c r="I280" s="78"/>
      <c r="J280" s="77"/>
      <c r="K280" s="78"/>
      <c r="L280" s="78"/>
      <c r="M280" s="78"/>
      <c r="N280" s="76"/>
      <c r="O280" s="78"/>
      <c r="P280" s="80"/>
      <c r="Q280" s="80"/>
      <c r="R280" s="78"/>
      <c r="S280" s="78"/>
      <c r="T280" s="78"/>
      <c r="U280" s="78"/>
      <c r="V280" s="78"/>
    </row>
    <row r="281" spans="1:22" x14ac:dyDescent="0.25">
      <c r="A281" s="78"/>
      <c r="B281" s="78"/>
      <c r="C281" s="78"/>
      <c r="D281" s="78"/>
      <c r="E281" s="78"/>
      <c r="F281" s="76"/>
      <c r="G281" s="78"/>
      <c r="H281" s="78"/>
      <c r="I281" s="78"/>
      <c r="J281" s="77"/>
      <c r="K281" s="78"/>
      <c r="L281" s="78"/>
      <c r="M281" s="78"/>
      <c r="N281" s="76"/>
      <c r="O281" s="78"/>
      <c r="P281" s="80"/>
      <c r="Q281" s="80"/>
      <c r="R281" s="78"/>
      <c r="S281" s="78"/>
      <c r="T281" s="78"/>
      <c r="U281" s="78"/>
      <c r="V281" s="78"/>
    </row>
    <row r="282" spans="1:22" x14ac:dyDescent="0.25">
      <c r="A282" s="78"/>
      <c r="B282" s="78"/>
      <c r="C282" s="78"/>
      <c r="D282" s="78"/>
      <c r="E282" s="78"/>
      <c r="F282" s="76"/>
      <c r="G282" s="78"/>
      <c r="H282" s="78"/>
      <c r="I282" s="78"/>
      <c r="J282" s="77"/>
      <c r="K282" s="78"/>
      <c r="L282" s="78"/>
      <c r="M282" s="78"/>
      <c r="N282" s="76"/>
      <c r="O282" s="78"/>
      <c r="P282" s="80"/>
      <c r="Q282" s="80"/>
      <c r="R282" s="78"/>
      <c r="S282" s="78"/>
      <c r="T282" s="78"/>
      <c r="U282" s="78"/>
      <c r="V282" s="78"/>
    </row>
    <row r="283" spans="1:22" x14ac:dyDescent="0.25">
      <c r="A283" s="78"/>
      <c r="B283" s="78"/>
      <c r="C283" s="78"/>
      <c r="D283" s="78"/>
      <c r="E283" s="78"/>
      <c r="F283" s="76"/>
      <c r="G283" s="78"/>
      <c r="H283" s="78"/>
      <c r="I283" s="78"/>
      <c r="J283" s="77"/>
      <c r="K283" s="78"/>
      <c r="L283" s="78"/>
      <c r="M283" s="78"/>
      <c r="N283" s="76"/>
      <c r="O283" s="78"/>
      <c r="P283" s="80"/>
      <c r="Q283" s="80"/>
      <c r="R283" s="78"/>
      <c r="S283" s="78"/>
      <c r="T283" s="78"/>
      <c r="U283" s="78"/>
      <c r="V283" s="78"/>
    </row>
    <row r="284" spans="1:22" x14ac:dyDescent="0.25">
      <c r="A284" s="78"/>
      <c r="B284" s="78"/>
      <c r="C284" s="78"/>
      <c r="D284" s="78"/>
      <c r="E284" s="78"/>
      <c r="F284" s="76"/>
      <c r="G284" s="78"/>
      <c r="H284" s="78"/>
      <c r="I284" s="78"/>
      <c r="J284" s="77"/>
      <c r="K284" s="78"/>
      <c r="L284" s="78"/>
      <c r="M284" s="78"/>
      <c r="N284" s="76"/>
      <c r="O284" s="78"/>
      <c r="P284" s="80"/>
      <c r="Q284" s="80"/>
      <c r="R284" s="78"/>
      <c r="S284" s="78"/>
      <c r="T284" s="78"/>
      <c r="U284" s="78"/>
      <c r="V284" s="78"/>
    </row>
    <row r="285" spans="1:22" x14ac:dyDescent="0.25">
      <c r="A285" s="78"/>
      <c r="B285" s="78"/>
      <c r="C285" s="78"/>
      <c r="D285" s="78"/>
      <c r="E285" s="78"/>
      <c r="F285" s="76"/>
      <c r="G285" s="78"/>
      <c r="H285" s="78"/>
      <c r="I285" s="78"/>
      <c r="J285" s="77"/>
      <c r="K285" s="78"/>
      <c r="L285" s="78"/>
      <c r="M285" s="78"/>
      <c r="N285" s="76"/>
      <c r="O285" s="78"/>
      <c r="P285" s="80"/>
      <c r="Q285" s="80"/>
      <c r="R285" s="78"/>
      <c r="S285" s="78"/>
      <c r="T285" s="78"/>
      <c r="U285" s="78"/>
      <c r="V285" s="78"/>
    </row>
    <row r="286" spans="1:22" x14ac:dyDescent="0.25">
      <c r="A286" s="78"/>
      <c r="B286" s="78"/>
      <c r="C286" s="78"/>
      <c r="D286" s="78"/>
      <c r="E286" s="78"/>
      <c r="F286" s="76"/>
      <c r="G286" s="78"/>
      <c r="H286" s="78"/>
      <c r="I286" s="78"/>
      <c r="J286" s="77"/>
      <c r="K286" s="78"/>
      <c r="L286" s="78"/>
      <c r="M286" s="78"/>
      <c r="N286" s="76"/>
      <c r="O286" s="78"/>
      <c r="P286" s="80"/>
      <c r="Q286" s="80"/>
      <c r="R286" s="78"/>
      <c r="S286" s="78"/>
      <c r="T286" s="78"/>
      <c r="U286" s="78"/>
      <c r="V286" s="78"/>
    </row>
    <row r="287" spans="1:22" x14ac:dyDescent="0.25">
      <c r="A287" s="78"/>
      <c r="B287" s="78"/>
      <c r="C287" s="78"/>
      <c r="D287" s="78"/>
      <c r="E287" s="78"/>
      <c r="F287" s="76"/>
      <c r="G287" s="78"/>
      <c r="H287" s="78"/>
      <c r="I287" s="78"/>
      <c r="J287" s="77"/>
      <c r="K287" s="78"/>
      <c r="L287" s="78"/>
      <c r="M287" s="78"/>
      <c r="N287" s="76"/>
      <c r="O287" s="78"/>
      <c r="P287" s="80"/>
      <c r="Q287" s="80"/>
      <c r="R287" s="78"/>
      <c r="S287" s="78"/>
      <c r="T287" s="78"/>
      <c r="U287" s="78"/>
      <c r="V287" s="78"/>
    </row>
    <row r="288" spans="1:22" x14ac:dyDescent="0.25">
      <c r="A288" s="78"/>
      <c r="B288" s="78"/>
      <c r="C288" s="78"/>
      <c r="D288" s="78"/>
      <c r="E288" s="78"/>
      <c r="F288" s="76"/>
      <c r="G288" s="78"/>
      <c r="H288" s="78"/>
      <c r="I288" s="78"/>
      <c r="J288" s="77"/>
      <c r="K288" s="78"/>
      <c r="L288" s="78"/>
      <c r="M288" s="78"/>
      <c r="N288" s="76"/>
      <c r="O288" s="78"/>
      <c r="P288" s="80"/>
      <c r="Q288" s="80"/>
      <c r="R288" s="78"/>
      <c r="S288" s="78"/>
      <c r="T288" s="78"/>
      <c r="U288" s="78"/>
      <c r="V288" s="78"/>
    </row>
    <row r="289" spans="1:22" x14ac:dyDescent="0.25">
      <c r="A289" s="78"/>
      <c r="B289" s="78"/>
      <c r="C289" s="78"/>
      <c r="D289" s="78"/>
      <c r="E289" s="78"/>
      <c r="F289" s="76"/>
      <c r="G289" s="78"/>
      <c r="H289" s="78"/>
      <c r="I289" s="78"/>
      <c r="J289" s="77"/>
      <c r="K289" s="78"/>
      <c r="L289" s="78"/>
      <c r="M289" s="78"/>
      <c r="N289" s="76"/>
      <c r="O289" s="78"/>
      <c r="P289" s="80"/>
      <c r="Q289" s="80"/>
      <c r="R289" s="78"/>
      <c r="S289" s="78"/>
      <c r="T289" s="78"/>
      <c r="U289" s="78"/>
      <c r="V289" s="78"/>
    </row>
    <row r="290" spans="1:22" x14ac:dyDescent="0.25">
      <c r="A290" s="78"/>
      <c r="B290" s="78"/>
      <c r="C290" s="78"/>
      <c r="D290" s="78"/>
      <c r="E290" s="78"/>
      <c r="F290" s="76"/>
      <c r="G290" s="78"/>
      <c r="H290" s="78"/>
      <c r="I290" s="78"/>
      <c r="J290" s="77"/>
      <c r="K290" s="78"/>
      <c r="L290" s="78"/>
      <c r="M290" s="78"/>
      <c r="N290" s="76"/>
      <c r="O290" s="78"/>
      <c r="P290" s="80"/>
      <c r="Q290" s="80"/>
      <c r="R290" s="78"/>
      <c r="S290" s="78"/>
      <c r="T290" s="78"/>
      <c r="U290" s="78"/>
      <c r="V290" s="78"/>
    </row>
    <row r="291" spans="1:22" x14ac:dyDescent="0.25">
      <c r="A291" s="78"/>
      <c r="B291" s="78"/>
      <c r="C291" s="78"/>
      <c r="D291" s="78"/>
      <c r="E291" s="78"/>
      <c r="F291" s="76"/>
      <c r="G291" s="78"/>
      <c r="H291" s="78"/>
      <c r="I291" s="78"/>
      <c r="J291" s="77"/>
      <c r="K291" s="78"/>
      <c r="L291" s="78"/>
      <c r="M291" s="78"/>
      <c r="N291" s="76"/>
      <c r="O291" s="78"/>
      <c r="P291" s="80"/>
      <c r="Q291" s="80"/>
      <c r="R291" s="78"/>
      <c r="S291" s="78"/>
      <c r="T291" s="78"/>
      <c r="U291" s="78"/>
      <c r="V291" s="78"/>
    </row>
    <row r="292" spans="1:22" x14ac:dyDescent="0.25">
      <c r="A292" s="78"/>
      <c r="B292" s="78"/>
      <c r="C292" s="78"/>
      <c r="D292" s="78"/>
      <c r="E292" s="78"/>
      <c r="F292" s="76"/>
      <c r="G292" s="78"/>
      <c r="H292" s="78"/>
      <c r="I292" s="78"/>
      <c r="J292" s="77"/>
      <c r="K292" s="78"/>
      <c r="L292" s="78"/>
      <c r="M292" s="78"/>
      <c r="N292" s="76"/>
      <c r="O292" s="78"/>
      <c r="P292" s="80"/>
      <c r="Q292" s="80"/>
      <c r="R292" s="78"/>
      <c r="S292" s="78"/>
      <c r="T292" s="78"/>
      <c r="U292" s="78"/>
      <c r="V292" s="78"/>
    </row>
    <row r="293" spans="1:22" x14ac:dyDescent="0.25">
      <c r="A293" s="78"/>
      <c r="B293" s="78"/>
      <c r="C293" s="78"/>
      <c r="D293" s="78"/>
      <c r="E293" s="78"/>
      <c r="F293" s="76"/>
      <c r="G293" s="78"/>
      <c r="H293" s="78"/>
      <c r="I293" s="78"/>
      <c r="J293" s="77"/>
      <c r="K293" s="78"/>
      <c r="L293" s="78"/>
      <c r="M293" s="78"/>
      <c r="N293" s="76"/>
      <c r="O293" s="78"/>
      <c r="P293" s="80"/>
      <c r="Q293" s="80"/>
      <c r="R293" s="78"/>
      <c r="S293" s="78"/>
      <c r="T293" s="78"/>
      <c r="U293" s="78"/>
      <c r="V293" s="78"/>
    </row>
    <row r="294" spans="1:22" x14ac:dyDescent="0.25">
      <c r="A294" s="78"/>
      <c r="B294" s="78"/>
      <c r="C294" s="78"/>
      <c r="D294" s="78"/>
      <c r="E294" s="78"/>
      <c r="F294" s="76"/>
      <c r="G294" s="78"/>
      <c r="H294" s="78"/>
      <c r="I294" s="78"/>
      <c r="J294" s="77"/>
      <c r="K294" s="78"/>
      <c r="L294" s="78"/>
      <c r="M294" s="78"/>
      <c r="N294" s="76"/>
      <c r="O294" s="78"/>
      <c r="P294" s="80"/>
      <c r="Q294" s="80"/>
      <c r="R294" s="78"/>
      <c r="S294" s="78"/>
      <c r="T294" s="78"/>
      <c r="U294" s="78"/>
      <c r="V294" s="78"/>
    </row>
    <row r="295" spans="1:22" x14ac:dyDescent="0.25">
      <c r="A295" s="78"/>
      <c r="B295" s="78"/>
      <c r="C295" s="78"/>
      <c r="D295" s="78"/>
      <c r="E295" s="78"/>
      <c r="F295" s="76"/>
      <c r="G295" s="78"/>
      <c r="H295" s="78"/>
      <c r="I295" s="78"/>
      <c r="J295" s="77"/>
      <c r="K295" s="78"/>
      <c r="L295" s="78"/>
      <c r="M295" s="78"/>
      <c r="N295" s="76"/>
      <c r="O295" s="78"/>
      <c r="P295" s="80"/>
      <c r="Q295" s="80"/>
      <c r="R295" s="78"/>
      <c r="S295" s="78"/>
      <c r="T295" s="78"/>
      <c r="U295" s="78"/>
      <c r="V295" s="78"/>
    </row>
    <row r="296" spans="1:22" x14ac:dyDescent="0.25">
      <c r="A296" s="78"/>
      <c r="B296" s="78"/>
      <c r="C296" s="78"/>
      <c r="D296" s="78"/>
      <c r="E296" s="78"/>
      <c r="F296" s="76"/>
      <c r="G296" s="78"/>
      <c r="H296" s="78"/>
      <c r="I296" s="78"/>
      <c r="J296" s="77"/>
      <c r="K296" s="78"/>
      <c r="L296" s="78"/>
      <c r="M296" s="78"/>
      <c r="N296" s="76"/>
      <c r="O296" s="78"/>
      <c r="P296" s="80"/>
      <c r="Q296" s="80"/>
      <c r="R296" s="78"/>
      <c r="S296" s="78"/>
      <c r="T296" s="78"/>
      <c r="U296" s="78"/>
      <c r="V296" s="78"/>
    </row>
    <row r="297" spans="1:22" x14ac:dyDescent="0.25">
      <c r="A297" s="78"/>
      <c r="B297" s="78"/>
      <c r="C297" s="78"/>
      <c r="D297" s="78"/>
      <c r="E297" s="78"/>
      <c r="F297" s="76"/>
      <c r="G297" s="78"/>
      <c r="H297" s="78"/>
      <c r="I297" s="78"/>
      <c r="J297" s="77"/>
      <c r="K297" s="78"/>
      <c r="L297" s="78"/>
      <c r="M297" s="78"/>
      <c r="N297" s="76"/>
      <c r="O297" s="78"/>
      <c r="P297" s="80"/>
      <c r="Q297" s="80"/>
      <c r="R297" s="78"/>
      <c r="S297" s="78"/>
      <c r="T297" s="78"/>
      <c r="U297" s="78"/>
      <c r="V297" s="78"/>
    </row>
    <row r="298" spans="1:22" x14ac:dyDescent="0.25">
      <c r="A298" s="78"/>
      <c r="B298" s="78"/>
      <c r="C298" s="78"/>
      <c r="D298" s="78"/>
      <c r="E298" s="78"/>
      <c r="F298" s="76"/>
      <c r="G298" s="78"/>
      <c r="H298" s="78"/>
      <c r="I298" s="78"/>
      <c r="J298" s="77"/>
      <c r="K298" s="78"/>
      <c r="L298" s="78"/>
      <c r="M298" s="78"/>
      <c r="N298" s="76"/>
      <c r="O298" s="78"/>
      <c r="P298" s="80"/>
      <c r="Q298" s="80"/>
      <c r="R298" s="78"/>
      <c r="S298" s="78"/>
      <c r="T298" s="78"/>
      <c r="U298" s="78"/>
      <c r="V298" s="78"/>
    </row>
    <row r="299" spans="1:22" x14ac:dyDescent="0.25">
      <c r="A299" s="78"/>
      <c r="B299" s="78"/>
      <c r="C299" s="78"/>
      <c r="D299" s="78"/>
      <c r="E299" s="78"/>
      <c r="F299" s="76"/>
      <c r="G299" s="78"/>
      <c r="H299" s="78"/>
      <c r="I299" s="78"/>
      <c r="J299" s="77"/>
      <c r="K299" s="78"/>
      <c r="L299" s="78"/>
      <c r="M299" s="78"/>
      <c r="N299" s="76"/>
      <c r="O299" s="78"/>
      <c r="P299" s="80"/>
      <c r="Q299" s="80"/>
      <c r="R299" s="78"/>
      <c r="S299" s="78"/>
      <c r="T299" s="78"/>
      <c r="U299" s="78"/>
      <c r="V299" s="78"/>
    </row>
    <row r="300" spans="1:22" x14ac:dyDescent="0.25">
      <c r="A300" s="78"/>
      <c r="B300" s="78"/>
      <c r="C300" s="78"/>
      <c r="D300" s="78"/>
      <c r="E300" s="78"/>
      <c r="F300" s="76"/>
      <c r="G300" s="78"/>
      <c r="H300" s="78"/>
      <c r="I300" s="78"/>
      <c r="J300" s="77"/>
      <c r="K300" s="78"/>
      <c r="L300" s="78"/>
      <c r="M300" s="78"/>
      <c r="N300" s="76"/>
      <c r="O300" s="78"/>
      <c r="P300" s="80"/>
      <c r="Q300" s="80"/>
      <c r="R300" s="78"/>
      <c r="S300" s="78"/>
      <c r="T300" s="78"/>
      <c r="U300" s="78"/>
      <c r="V300" s="78"/>
    </row>
    <row r="301" spans="1:22" x14ac:dyDescent="0.25">
      <c r="A301" s="78"/>
      <c r="B301" s="78"/>
      <c r="C301" s="78"/>
      <c r="D301" s="78"/>
      <c r="E301" s="78"/>
      <c r="F301" s="76"/>
      <c r="G301" s="78"/>
      <c r="H301" s="78"/>
      <c r="I301" s="78"/>
      <c r="J301" s="77"/>
      <c r="K301" s="78"/>
      <c r="L301" s="78"/>
      <c r="M301" s="78"/>
      <c r="N301" s="76"/>
      <c r="O301" s="78"/>
      <c r="P301" s="80"/>
      <c r="Q301" s="80"/>
      <c r="R301" s="78"/>
      <c r="S301" s="78"/>
      <c r="T301" s="78"/>
      <c r="U301" s="78"/>
      <c r="V301" s="78"/>
    </row>
    <row r="302" spans="1:22" x14ac:dyDescent="0.25">
      <c r="A302" s="78"/>
      <c r="B302" s="78"/>
      <c r="C302" s="78"/>
      <c r="D302" s="78"/>
      <c r="E302" s="78"/>
      <c r="F302" s="76"/>
      <c r="G302" s="78"/>
      <c r="H302" s="78"/>
      <c r="I302" s="78"/>
      <c r="J302" s="77"/>
      <c r="K302" s="78"/>
      <c r="L302" s="78"/>
      <c r="M302" s="78"/>
      <c r="N302" s="76"/>
      <c r="O302" s="78"/>
      <c r="P302" s="80"/>
      <c r="Q302" s="80"/>
      <c r="R302" s="78"/>
      <c r="S302" s="78"/>
      <c r="T302" s="78"/>
      <c r="U302" s="78"/>
      <c r="V302" s="78"/>
    </row>
    <row r="303" spans="1:22" x14ac:dyDescent="0.25">
      <c r="A303" s="78"/>
      <c r="B303" s="78"/>
      <c r="C303" s="78"/>
      <c r="D303" s="78"/>
      <c r="E303" s="78"/>
      <c r="F303" s="76"/>
      <c r="G303" s="78"/>
      <c r="H303" s="78"/>
      <c r="I303" s="78"/>
      <c r="J303" s="77"/>
      <c r="K303" s="78"/>
      <c r="L303" s="78"/>
      <c r="M303" s="78"/>
      <c r="N303" s="76"/>
      <c r="O303" s="78"/>
      <c r="P303" s="80"/>
      <c r="Q303" s="80"/>
      <c r="R303" s="78"/>
      <c r="S303" s="78"/>
      <c r="T303" s="78"/>
      <c r="U303" s="78"/>
      <c r="V303" s="78"/>
    </row>
    <row r="304" spans="1:22" x14ac:dyDescent="0.25">
      <c r="A304" s="78"/>
      <c r="B304" s="78"/>
      <c r="C304" s="78"/>
      <c r="D304" s="78"/>
      <c r="E304" s="78"/>
      <c r="F304" s="76"/>
      <c r="G304" s="78"/>
      <c r="H304" s="78"/>
      <c r="I304" s="78"/>
      <c r="J304" s="77"/>
      <c r="K304" s="78"/>
      <c r="L304" s="78"/>
      <c r="M304" s="78"/>
      <c r="N304" s="76"/>
      <c r="O304" s="78"/>
      <c r="P304" s="80"/>
      <c r="Q304" s="80"/>
      <c r="R304" s="78"/>
      <c r="S304" s="78"/>
      <c r="T304" s="78"/>
      <c r="U304" s="78"/>
      <c r="V304" s="78"/>
    </row>
    <row r="305" spans="1:22" x14ac:dyDescent="0.25">
      <c r="A305" s="78"/>
      <c r="B305" s="78"/>
      <c r="C305" s="78"/>
      <c r="D305" s="78"/>
      <c r="E305" s="78"/>
      <c r="F305" s="76"/>
      <c r="G305" s="78"/>
      <c r="H305" s="78"/>
      <c r="I305" s="78"/>
      <c r="J305" s="77"/>
      <c r="K305" s="78"/>
      <c r="L305" s="78"/>
      <c r="M305" s="78"/>
      <c r="N305" s="76"/>
      <c r="O305" s="78"/>
      <c r="P305" s="80"/>
      <c r="Q305" s="80"/>
      <c r="R305" s="78"/>
      <c r="S305" s="78"/>
      <c r="T305" s="78"/>
      <c r="U305" s="78"/>
      <c r="V305" s="78"/>
    </row>
    <row r="306" spans="1:22" x14ac:dyDescent="0.25">
      <c r="A306" s="78"/>
      <c r="B306" s="78"/>
      <c r="C306" s="78"/>
      <c r="D306" s="78"/>
      <c r="E306" s="78"/>
      <c r="F306" s="76"/>
      <c r="G306" s="78"/>
      <c r="H306" s="78"/>
      <c r="I306" s="78"/>
      <c r="J306" s="77"/>
      <c r="K306" s="78"/>
      <c r="L306" s="78"/>
      <c r="M306" s="78"/>
      <c r="N306" s="76"/>
      <c r="O306" s="78"/>
      <c r="P306" s="80"/>
      <c r="Q306" s="80"/>
      <c r="R306" s="78"/>
      <c r="S306" s="78"/>
      <c r="T306" s="78"/>
      <c r="U306" s="78"/>
      <c r="V306" s="78"/>
    </row>
    <row r="307" spans="1:22" x14ac:dyDescent="0.25">
      <c r="A307" s="78"/>
      <c r="B307" s="78"/>
      <c r="C307" s="78"/>
      <c r="D307" s="78"/>
      <c r="E307" s="78"/>
      <c r="F307" s="76"/>
      <c r="G307" s="78"/>
      <c r="H307" s="78"/>
      <c r="I307" s="78"/>
      <c r="J307" s="77"/>
      <c r="K307" s="78"/>
      <c r="L307" s="78"/>
      <c r="M307" s="78"/>
      <c r="N307" s="76"/>
      <c r="O307" s="78"/>
      <c r="P307" s="80"/>
      <c r="Q307" s="80"/>
      <c r="R307" s="78"/>
      <c r="S307" s="78"/>
      <c r="T307" s="78"/>
      <c r="U307" s="78"/>
      <c r="V307" s="78"/>
    </row>
    <row r="308" spans="1:22" x14ac:dyDescent="0.25">
      <c r="A308" s="78"/>
      <c r="B308" s="78"/>
      <c r="C308" s="78"/>
      <c r="D308" s="78"/>
      <c r="E308" s="78"/>
      <c r="F308" s="76"/>
      <c r="G308" s="78"/>
      <c r="H308" s="78"/>
      <c r="I308" s="78"/>
      <c r="J308" s="77"/>
      <c r="K308" s="78"/>
      <c r="L308" s="78"/>
      <c r="M308" s="78"/>
      <c r="N308" s="76"/>
      <c r="O308" s="78"/>
      <c r="P308" s="80"/>
      <c r="Q308" s="80"/>
      <c r="R308" s="78"/>
      <c r="S308" s="78"/>
      <c r="T308" s="78"/>
      <c r="U308" s="78"/>
      <c r="V308" s="78"/>
    </row>
    <row r="309" spans="1:22" x14ac:dyDescent="0.25">
      <c r="A309" s="78"/>
      <c r="B309" s="78"/>
      <c r="C309" s="78"/>
      <c r="D309" s="78"/>
      <c r="E309" s="78"/>
      <c r="F309" s="76"/>
      <c r="G309" s="78"/>
      <c r="H309" s="78"/>
      <c r="I309" s="78"/>
      <c r="J309" s="77"/>
      <c r="K309" s="78"/>
      <c r="L309" s="78"/>
      <c r="M309" s="78"/>
      <c r="N309" s="76"/>
      <c r="O309" s="78"/>
      <c r="P309" s="80"/>
      <c r="Q309" s="80"/>
      <c r="R309" s="78"/>
      <c r="S309" s="78"/>
      <c r="T309" s="78"/>
      <c r="U309" s="78"/>
      <c r="V309" s="78"/>
    </row>
    <row r="310" spans="1:22" x14ac:dyDescent="0.25">
      <c r="A310" s="78"/>
      <c r="B310" s="78"/>
      <c r="C310" s="78"/>
      <c r="D310" s="78"/>
      <c r="E310" s="78"/>
      <c r="F310" s="76"/>
      <c r="G310" s="78"/>
      <c r="H310" s="78"/>
      <c r="I310" s="78"/>
      <c r="J310" s="77"/>
      <c r="K310" s="78"/>
      <c r="L310" s="78"/>
      <c r="M310" s="78"/>
      <c r="N310" s="76"/>
      <c r="O310" s="78"/>
      <c r="P310" s="80"/>
      <c r="Q310" s="80"/>
      <c r="R310" s="78"/>
      <c r="S310" s="78"/>
      <c r="T310" s="78"/>
      <c r="U310" s="78"/>
      <c r="V310" s="78"/>
    </row>
    <row r="311" spans="1:22" x14ac:dyDescent="0.25">
      <c r="A311" s="78"/>
      <c r="B311" s="78"/>
      <c r="C311" s="78"/>
      <c r="D311" s="78"/>
      <c r="E311" s="78"/>
      <c r="F311" s="76"/>
      <c r="G311" s="78"/>
      <c r="H311" s="78"/>
      <c r="I311" s="78"/>
      <c r="J311" s="77"/>
      <c r="K311" s="78"/>
      <c r="L311" s="78"/>
      <c r="M311" s="78"/>
      <c r="N311" s="76"/>
      <c r="O311" s="78"/>
      <c r="P311" s="80"/>
      <c r="Q311" s="80"/>
      <c r="R311" s="78"/>
      <c r="S311" s="78"/>
      <c r="T311" s="78"/>
      <c r="U311" s="78"/>
      <c r="V311" s="78"/>
    </row>
    <row r="312" spans="1:22" x14ac:dyDescent="0.25">
      <c r="A312" s="78"/>
      <c r="B312" s="78"/>
      <c r="C312" s="78"/>
      <c r="D312" s="78"/>
      <c r="E312" s="78"/>
      <c r="F312" s="76"/>
      <c r="G312" s="78"/>
      <c r="H312" s="78"/>
      <c r="I312" s="78"/>
      <c r="J312" s="77"/>
      <c r="K312" s="78"/>
      <c r="L312" s="78"/>
      <c r="M312" s="78"/>
      <c r="N312" s="76"/>
      <c r="O312" s="78"/>
      <c r="P312" s="80"/>
      <c r="Q312" s="80"/>
      <c r="R312" s="78"/>
      <c r="S312" s="78"/>
      <c r="T312" s="78"/>
      <c r="U312" s="78"/>
      <c r="V312" s="78"/>
    </row>
    <row r="313" spans="1:22" x14ac:dyDescent="0.25">
      <c r="A313" s="78"/>
      <c r="B313" s="78"/>
      <c r="C313" s="78"/>
      <c r="D313" s="78"/>
      <c r="E313" s="78"/>
      <c r="F313" s="76"/>
      <c r="G313" s="78"/>
      <c r="H313" s="78"/>
      <c r="I313" s="78"/>
      <c r="J313" s="77"/>
      <c r="K313" s="78"/>
      <c r="L313" s="78"/>
      <c r="M313" s="78"/>
      <c r="N313" s="76"/>
      <c r="O313" s="78"/>
      <c r="P313" s="80"/>
      <c r="Q313" s="80"/>
      <c r="R313" s="78"/>
      <c r="S313" s="78"/>
      <c r="T313" s="78"/>
      <c r="U313" s="78"/>
      <c r="V313" s="78"/>
    </row>
    <row r="314" spans="1:22" x14ac:dyDescent="0.25">
      <c r="A314" s="78"/>
      <c r="B314" s="78"/>
      <c r="C314" s="78"/>
      <c r="D314" s="78"/>
      <c r="E314" s="78"/>
      <c r="F314" s="76"/>
      <c r="G314" s="78"/>
      <c r="H314" s="78"/>
      <c r="I314" s="78"/>
      <c r="J314" s="77"/>
      <c r="K314" s="78"/>
      <c r="L314" s="78"/>
      <c r="M314" s="78"/>
      <c r="N314" s="76"/>
      <c r="O314" s="78"/>
      <c r="P314" s="80"/>
      <c r="Q314" s="80"/>
      <c r="R314" s="78"/>
      <c r="S314" s="78"/>
      <c r="T314" s="78"/>
      <c r="U314" s="78"/>
      <c r="V314" s="78"/>
    </row>
    <row r="315" spans="1:22" x14ac:dyDescent="0.25">
      <c r="A315" s="78"/>
      <c r="B315" s="78"/>
      <c r="C315" s="78"/>
      <c r="D315" s="78"/>
      <c r="E315" s="78"/>
      <c r="F315" s="76"/>
      <c r="G315" s="78"/>
      <c r="H315" s="78"/>
      <c r="I315" s="78"/>
      <c r="J315" s="77"/>
      <c r="K315" s="78"/>
      <c r="L315" s="78"/>
      <c r="M315" s="78"/>
      <c r="N315" s="76"/>
      <c r="O315" s="78"/>
      <c r="P315" s="80"/>
      <c r="Q315" s="80"/>
      <c r="R315" s="78"/>
      <c r="S315" s="78"/>
      <c r="T315" s="78"/>
      <c r="U315" s="78"/>
      <c r="V315" s="78"/>
    </row>
    <row r="316" spans="1:22" x14ac:dyDescent="0.25">
      <c r="A316" s="78"/>
      <c r="B316" s="78"/>
      <c r="C316" s="78"/>
      <c r="D316" s="78"/>
      <c r="E316" s="78"/>
      <c r="F316" s="76"/>
      <c r="G316" s="78"/>
      <c r="H316" s="78"/>
      <c r="I316" s="78"/>
      <c r="J316" s="77"/>
      <c r="K316" s="78"/>
      <c r="L316" s="78"/>
      <c r="M316" s="78"/>
      <c r="N316" s="76"/>
      <c r="O316" s="78"/>
      <c r="P316" s="80"/>
      <c r="Q316" s="80"/>
      <c r="R316" s="78"/>
      <c r="S316" s="78"/>
      <c r="T316" s="78"/>
      <c r="U316" s="78"/>
      <c r="V316" s="78"/>
    </row>
    <row r="317" spans="1:22" x14ac:dyDescent="0.25">
      <c r="A317" s="78"/>
      <c r="B317" s="78"/>
      <c r="C317" s="78"/>
      <c r="D317" s="78"/>
      <c r="E317" s="78"/>
      <c r="F317" s="76"/>
      <c r="G317" s="78"/>
      <c r="H317" s="78"/>
      <c r="I317" s="78"/>
      <c r="J317" s="77"/>
      <c r="K317" s="78"/>
      <c r="L317" s="78"/>
      <c r="M317" s="78"/>
      <c r="N317" s="76"/>
      <c r="O317" s="78"/>
      <c r="P317" s="80"/>
      <c r="Q317" s="80"/>
      <c r="R317" s="78"/>
      <c r="S317" s="78"/>
      <c r="T317" s="78"/>
      <c r="U317" s="78"/>
      <c r="V317" s="78"/>
    </row>
    <row r="318" spans="1:22" x14ac:dyDescent="0.25">
      <c r="A318" s="78"/>
      <c r="B318" s="78"/>
      <c r="C318" s="78"/>
      <c r="D318" s="78"/>
      <c r="E318" s="78"/>
      <c r="F318" s="76"/>
      <c r="G318" s="78"/>
      <c r="H318" s="78"/>
      <c r="I318" s="78"/>
      <c r="J318" s="77"/>
      <c r="K318" s="78"/>
      <c r="L318" s="78"/>
      <c r="M318" s="78"/>
      <c r="N318" s="76"/>
      <c r="O318" s="78"/>
      <c r="P318" s="80"/>
      <c r="Q318" s="80"/>
      <c r="R318" s="78"/>
      <c r="S318" s="78"/>
      <c r="T318" s="78"/>
      <c r="U318" s="78"/>
      <c r="V318" s="78"/>
    </row>
    <row r="319" spans="1:22" x14ac:dyDescent="0.25">
      <c r="A319" s="78"/>
      <c r="B319" s="78"/>
      <c r="C319" s="78"/>
      <c r="D319" s="78"/>
      <c r="E319" s="78"/>
      <c r="F319" s="76"/>
      <c r="G319" s="78"/>
      <c r="H319" s="78"/>
      <c r="I319" s="78"/>
      <c r="J319" s="77"/>
      <c r="K319" s="78"/>
      <c r="L319" s="78"/>
      <c r="M319" s="78"/>
      <c r="N319" s="76"/>
      <c r="O319" s="78"/>
      <c r="P319" s="80"/>
      <c r="Q319" s="80"/>
      <c r="R319" s="78"/>
      <c r="S319" s="78"/>
      <c r="T319" s="78"/>
      <c r="U319" s="78"/>
      <c r="V319" s="78"/>
    </row>
    <row r="320" spans="1:22" x14ac:dyDescent="0.25">
      <c r="A320" s="78"/>
      <c r="B320" s="78"/>
      <c r="C320" s="78"/>
      <c r="D320" s="78"/>
      <c r="E320" s="78"/>
      <c r="F320" s="76"/>
      <c r="G320" s="78"/>
      <c r="H320" s="78"/>
      <c r="I320" s="78"/>
      <c r="J320" s="77"/>
      <c r="K320" s="78"/>
      <c r="L320" s="78"/>
      <c r="M320" s="78"/>
      <c r="N320" s="76"/>
      <c r="O320" s="78"/>
      <c r="P320" s="80"/>
      <c r="Q320" s="80"/>
      <c r="R320" s="78"/>
      <c r="S320" s="78"/>
      <c r="T320" s="78"/>
      <c r="U320" s="78"/>
      <c r="V320" s="78"/>
    </row>
    <row r="321" spans="1:22" x14ac:dyDescent="0.25">
      <c r="A321" s="78"/>
      <c r="B321" s="78"/>
      <c r="C321" s="78"/>
      <c r="D321" s="78"/>
      <c r="E321" s="78"/>
      <c r="F321" s="76"/>
      <c r="G321" s="78"/>
      <c r="H321" s="78"/>
      <c r="I321" s="78"/>
      <c r="J321" s="77"/>
      <c r="K321" s="78"/>
      <c r="L321" s="78"/>
      <c r="M321" s="78"/>
      <c r="N321" s="76"/>
      <c r="O321" s="78"/>
      <c r="P321" s="80"/>
      <c r="Q321" s="80"/>
      <c r="R321" s="78"/>
      <c r="S321" s="78"/>
      <c r="T321" s="78"/>
      <c r="U321" s="78"/>
      <c r="V321" s="78"/>
    </row>
    <row r="322" spans="1:22" x14ac:dyDescent="0.25">
      <c r="A322" s="78"/>
      <c r="B322" s="78"/>
      <c r="C322" s="78"/>
      <c r="D322" s="78"/>
      <c r="E322" s="78"/>
      <c r="F322" s="76"/>
      <c r="G322" s="78"/>
      <c r="H322" s="78"/>
      <c r="I322" s="78"/>
      <c r="J322" s="77"/>
      <c r="K322" s="78"/>
      <c r="L322" s="78"/>
      <c r="M322" s="78"/>
      <c r="N322" s="76"/>
      <c r="O322" s="78"/>
      <c r="P322" s="80"/>
      <c r="Q322" s="80"/>
      <c r="R322" s="78"/>
      <c r="S322" s="78"/>
      <c r="T322" s="78"/>
      <c r="U322" s="78"/>
      <c r="V322" s="78"/>
    </row>
    <row r="323" spans="1:22" x14ac:dyDescent="0.25">
      <c r="A323" s="78"/>
      <c r="B323" s="78"/>
      <c r="C323" s="78"/>
      <c r="D323" s="78"/>
      <c r="E323" s="78"/>
      <c r="F323" s="76"/>
      <c r="G323" s="78"/>
      <c r="H323" s="78"/>
      <c r="I323" s="78"/>
      <c r="J323" s="77"/>
      <c r="K323" s="78"/>
      <c r="L323" s="78"/>
      <c r="M323" s="78"/>
      <c r="N323" s="76"/>
      <c r="O323" s="78"/>
      <c r="P323" s="80"/>
      <c r="Q323" s="80"/>
      <c r="R323" s="78"/>
      <c r="S323" s="78"/>
      <c r="T323" s="78"/>
      <c r="U323" s="78"/>
      <c r="V323" s="78"/>
    </row>
    <row r="324" spans="1:22" x14ac:dyDescent="0.25">
      <c r="A324" s="78"/>
      <c r="B324" s="78"/>
      <c r="C324" s="78"/>
      <c r="D324" s="78"/>
      <c r="E324" s="78"/>
      <c r="F324" s="76"/>
      <c r="G324" s="78"/>
      <c r="H324" s="78"/>
      <c r="I324" s="78"/>
      <c r="J324" s="77"/>
      <c r="K324" s="78"/>
      <c r="L324" s="78"/>
      <c r="M324" s="78"/>
      <c r="N324" s="76"/>
      <c r="O324" s="78"/>
      <c r="P324" s="80"/>
      <c r="Q324" s="80"/>
      <c r="R324" s="78"/>
      <c r="S324" s="78"/>
      <c r="T324" s="78"/>
      <c r="U324" s="78"/>
      <c r="V324" s="78"/>
    </row>
    <row r="325" spans="1:22" x14ac:dyDescent="0.25">
      <c r="A325" s="78"/>
      <c r="B325" s="78"/>
      <c r="C325" s="78"/>
      <c r="D325" s="78"/>
      <c r="E325" s="78"/>
      <c r="F325" s="76"/>
      <c r="G325" s="78"/>
      <c r="H325" s="78"/>
      <c r="I325" s="78"/>
      <c r="J325" s="77"/>
      <c r="K325" s="78"/>
      <c r="L325" s="78"/>
      <c r="M325" s="78"/>
      <c r="N325" s="76"/>
      <c r="O325" s="78"/>
      <c r="P325" s="80"/>
      <c r="Q325" s="80"/>
      <c r="R325" s="78"/>
      <c r="S325" s="78"/>
      <c r="T325" s="78"/>
      <c r="U325" s="78"/>
      <c r="V325" s="78"/>
    </row>
    <row r="326" spans="1:22" x14ac:dyDescent="0.25">
      <c r="A326" s="78"/>
      <c r="B326" s="78"/>
      <c r="C326" s="78"/>
      <c r="D326" s="78"/>
      <c r="E326" s="78"/>
      <c r="F326" s="76"/>
      <c r="G326" s="78"/>
      <c r="H326" s="78"/>
      <c r="I326" s="78"/>
      <c r="J326" s="77"/>
      <c r="K326" s="78"/>
      <c r="L326" s="78"/>
      <c r="M326" s="78"/>
      <c r="N326" s="76"/>
      <c r="O326" s="78"/>
      <c r="P326" s="80"/>
      <c r="Q326" s="80"/>
      <c r="R326" s="78"/>
      <c r="S326" s="78"/>
      <c r="T326" s="78"/>
      <c r="U326" s="78"/>
      <c r="V326" s="78"/>
    </row>
    <row r="327" spans="1:22" x14ac:dyDescent="0.25">
      <c r="A327" s="78"/>
      <c r="B327" s="78"/>
      <c r="C327" s="78"/>
      <c r="D327" s="78"/>
      <c r="E327" s="78"/>
      <c r="F327" s="76"/>
      <c r="G327" s="78"/>
      <c r="H327" s="78"/>
      <c r="I327" s="78"/>
      <c r="J327" s="77"/>
      <c r="K327" s="78"/>
      <c r="L327" s="78"/>
      <c r="M327" s="78"/>
      <c r="N327" s="76"/>
      <c r="O327" s="78"/>
      <c r="P327" s="80"/>
      <c r="Q327" s="80"/>
      <c r="R327" s="78"/>
      <c r="S327" s="78"/>
      <c r="T327" s="78"/>
      <c r="U327" s="78"/>
      <c r="V327" s="78"/>
    </row>
    <row r="328" spans="1:22" x14ac:dyDescent="0.25">
      <c r="A328" s="78"/>
      <c r="B328" s="78"/>
      <c r="C328" s="78"/>
      <c r="D328" s="78"/>
      <c r="E328" s="78"/>
      <c r="F328" s="76"/>
      <c r="G328" s="78"/>
      <c r="H328" s="78"/>
      <c r="I328" s="78"/>
      <c r="J328" s="77"/>
      <c r="K328" s="78"/>
      <c r="L328" s="78"/>
      <c r="M328" s="78"/>
      <c r="N328" s="76"/>
      <c r="O328" s="78"/>
      <c r="P328" s="80"/>
      <c r="Q328" s="80"/>
      <c r="R328" s="78"/>
      <c r="S328" s="78"/>
      <c r="T328" s="78"/>
      <c r="U328" s="78"/>
      <c r="V328" s="78"/>
    </row>
    <row r="329" spans="1:22" x14ac:dyDescent="0.25">
      <c r="A329" s="78"/>
      <c r="B329" s="78"/>
      <c r="C329" s="78"/>
      <c r="D329" s="78"/>
      <c r="E329" s="78"/>
      <c r="F329" s="76"/>
      <c r="G329" s="78"/>
      <c r="H329" s="78"/>
      <c r="I329" s="78"/>
      <c r="J329" s="77"/>
      <c r="K329" s="78"/>
      <c r="L329" s="78"/>
      <c r="M329" s="78"/>
      <c r="N329" s="76"/>
      <c r="O329" s="78"/>
      <c r="P329" s="80"/>
      <c r="Q329" s="80"/>
      <c r="R329" s="78"/>
      <c r="S329" s="78"/>
      <c r="T329" s="78"/>
      <c r="U329" s="78"/>
      <c r="V329" s="78"/>
    </row>
    <row r="330" spans="1:22" x14ac:dyDescent="0.25">
      <c r="A330" s="78"/>
      <c r="B330" s="78"/>
      <c r="C330" s="78"/>
      <c r="D330" s="78"/>
      <c r="E330" s="78"/>
      <c r="F330" s="76"/>
      <c r="G330" s="78"/>
      <c r="H330" s="78"/>
      <c r="I330" s="78"/>
      <c r="J330" s="77"/>
      <c r="K330" s="78"/>
      <c r="L330" s="78"/>
      <c r="M330" s="78"/>
      <c r="N330" s="76"/>
      <c r="O330" s="78"/>
      <c r="P330" s="80"/>
      <c r="Q330" s="80"/>
      <c r="R330" s="78"/>
      <c r="S330" s="78"/>
      <c r="T330" s="78"/>
      <c r="U330" s="78"/>
      <c r="V330" s="78"/>
    </row>
    <row r="331" spans="1:22" x14ac:dyDescent="0.25">
      <c r="A331" s="78"/>
      <c r="B331" s="78"/>
      <c r="C331" s="78"/>
      <c r="D331" s="78"/>
      <c r="E331" s="78"/>
      <c r="F331" s="76"/>
      <c r="G331" s="78"/>
      <c r="H331" s="78"/>
      <c r="I331" s="78"/>
      <c r="J331" s="77"/>
      <c r="K331" s="78"/>
      <c r="L331" s="78"/>
      <c r="M331" s="78"/>
      <c r="N331" s="76"/>
      <c r="O331" s="78"/>
      <c r="P331" s="80"/>
      <c r="Q331" s="80"/>
      <c r="R331" s="78"/>
      <c r="S331" s="78"/>
      <c r="T331" s="78"/>
      <c r="U331" s="78"/>
      <c r="V331" s="78"/>
    </row>
    <row r="332" spans="1:22" x14ac:dyDescent="0.25">
      <c r="A332" s="78"/>
      <c r="B332" s="78"/>
      <c r="C332" s="78"/>
      <c r="D332" s="78"/>
      <c r="E332" s="78"/>
      <c r="F332" s="76"/>
      <c r="G332" s="78"/>
      <c r="H332" s="78"/>
      <c r="I332" s="78"/>
      <c r="J332" s="77"/>
      <c r="K332" s="78"/>
      <c r="L332" s="78"/>
      <c r="M332" s="78"/>
      <c r="N332" s="76"/>
      <c r="O332" s="78"/>
      <c r="P332" s="80"/>
      <c r="Q332" s="80"/>
      <c r="R332" s="78"/>
      <c r="S332" s="78"/>
      <c r="T332" s="78"/>
      <c r="U332" s="78"/>
      <c r="V332" s="78"/>
    </row>
    <row r="333" spans="1:22" x14ac:dyDescent="0.25">
      <c r="A333" s="78"/>
      <c r="B333" s="78"/>
      <c r="C333" s="78"/>
      <c r="D333" s="78"/>
      <c r="E333" s="78"/>
      <c r="F333" s="76"/>
      <c r="G333" s="78"/>
      <c r="H333" s="78"/>
      <c r="I333" s="78"/>
      <c r="J333" s="77"/>
      <c r="K333" s="78"/>
      <c r="L333" s="78"/>
      <c r="M333" s="78"/>
      <c r="N333" s="76"/>
      <c r="O333" s="78"/>
      <c r="P333" s="80"/>
      <c r="Q333" s="80"/>
      <c r="R333" s="78"/>
      <c r="S333" s="78"/>
      <c r="T333" s="78"/>
      <c r="U333" s="78"/>
      <c r="V333" s="78"/>
    </row>
    <row r="334" spans="1:22" x14ac:dyDescent="0.25">
      <c r="A334" s="78"/>
      <c r="B334" s="78"/>
      <c r="C334" s="78"/>
      <c r="D334" s="78"/>
      <c r="E334" s="78"/>
      <c r="F334" s="76"/>
      <c r="G334" s="78"/>
      <c r="H334" s="78"/>
      <c r="I334" s="78"/>
      <c r="J334" s="77"/>
      <c r="K334" s="78"/>
      <c r="L334" s="78"/>
      <c r="M334" s="78"/>
      <c r="N334" s="76"/>
      <c r="O334" s="78"/>
      <c r="P334" s="80"/>
      <c r="Q334" s="80"/>
      <c r="R334" s="78"/>
      <c r="S334" s="78"/>
      <c r="T334" s="78"/>
      <c r="U334" s="78"/>
      <c r="V334" s="78"/>
    </row>
    <row r="335" spans="1:22" x14ac:dyDescent="0.25">
      <c r="A335" s="78"/>
      <c r="B335" s="78"/>
      <c r="C335" s="78"/>
      <c r="D335" s="78"/>
      <c r="E335" s="78"/>
      <c r="F335" s="76"/>
      <c r="G335" s="78"/>
      <c r="H335" s="78"/>
      <c r="I335" s="78"/>
      <c r="J335" s="77"/>
      <c r="K335" s="78"/>
      <c r="L335" s="78"/>
      <c r="M335" s="78"/>
      <c r="N335" s="76"/>
      <c r="O335" s="78"/>
      <c r="P335" s="80"/>
      <c r="Q335" s="80"/>
      <c r="R335" s="78"/>
      <c r="S335" s="78"/>
      <c r="T335" s="78"/>
      <c r="U335" s="78"/>
      <c r="V335" s="78"/>
    </row>
    <row r="336" spans="1:22" x14ac:dyDescent="0.25">
      <c r="A336" s="78"/>
      <c r="B336" s="78"/>
      <c r="C336" s="78"/>
      <c r="D336" s="78"/>
      <c r="E336" s="78"/>
      <c r="F336" s="76"/>
      <c r="G336" s="78"/>
      <c r="H336" s="78"/>
      <c r="I336" s="78"/>
      <c r="J336" s="77"/>
      <c r="K336" s="78"/>
      <c r="L336" s="78"/>
      <c r="M336" s="78"/>
      <c r="N336" s="76"/>
      <c r="O336" s="78"/>
      <c r="P336" s="80"/>
      <c r="Q336" s="80"/>
      <c r="R336" s="78"/>
      <c r="S336" s="78"/>
      <c r="T336" s="78"/>
      <c r="U336" s="78"/>
      <c r="V336" s="78"/>
    </row>
    <row r="337" spans="1:22" x14ac:dyDescent="0.25">
      <c r="A337" s="78"/>
      <c r="B337" s="78"/>
      <c r="C337" s="78"/>
      <c r="D337" s="78"/>
      <c r="E337" s="78"/>
      <c r="F337" s="76"/>
      <c r="G337" s="78"/>
      <c r="H337" s="78"/>
      <c r="I337" s="78"/>
      <c r="J337" s="77"/>
      <c r="K337" s="78"/>
      <c r="L337" s="78"/>
      <c r="M337" s="78"/>
      <c r="N337" s="76"/>
      <c r="O337" s="78"/>
      <c r="P337" s="80"/>
      <c r="Q337" s="80"/>
      <c r="R337" s="78"/>
      <c r="S337" s="78"/>
      <c r="T337" s="78"/>
      <c r="U337" s="78"/>
      <c r="V337" s="78"/>
    </row>
    <row r="338" spans="1:22" x14ac:dyDescent="0.25">
      <c r="A338" s="78"/>
      <c r="B338" s="78"/>
      <c r="C338" s="78"/>
      <c r="D338" s="78"/>
      <c r="E338" s="78"/>
      <c r="F338" s="76"/>
      <c r="G338" s="78"/>
      <c r="H338" s="78"/>
      <c r="I338" s="78"/>
      <c r="J338" s="77"/>
      <c r="K338" s="78"/>
      <c r="L338" s="78"/>
      <c r="M338" s="78"/>
      <c r="N338" s="76"/>
      <c r="O338" s="78"/>
      <c r="P338" s="80"/>
      <c r="Q338" s="80"/>
      <c r="R338" s="78"/>
      <c r="S338" s="78"/>
      <c r="T338" s="78"/>
      <c r="U338" s="78"/>
      <c r="V338" s="78"/>
    </row>
    <row r="339" spans="1:22" x14ac:dyDescent="0.25">
      <c r="A339" s="78"/>
      <c r="B339" s="78"/>
      <c r="C339" s="78"/>
      <c r="D339" s="78"/>
      <c r="E339" s="78"/>
      <c r="F339" s="76"/>
      <c r="G339" s="78"/>
      <c r="H339" s="78"/>
      <c r="I339" s="78"/>
      <c r="J339" s="77"/>
      <c r="K339" s="78"/>
      <c r="L339" s="78"/>
      <c r="M339" s="78"/>
      <c r="N339" s="76"/>
      <c r="O339" s="78"/>
      <c r="P339" s="80"/>
      <c r="Q339" s="80"/>
      <c r="R339" s="78"/>
      <c r="S339" s="78"/>
      <c r="T339" s="78"/>
      <c r="U339" s="78"/>
      <c r="V339" s="78"/>
    </row>
    <row r="340" spans="1:22" x14ac:dyDescent="0.25">
      <c r="A340" s="78"/>
      <c r="B340" s="78"/>
      <c r="C340" s="78"/>
      <c r="D340" s="78"/>
      <c r="E340" s="78"/>
      <c r="F340" s="76"/>
      <c r="G340" s="78"/>
      <c r="H340" s="78"/>
      <c r="I340" s="78"/>
      <c r="J340" s="77"/>
      <c r="K340" s="78"/>
      <c r="L340" s="78"/>
      <c r="M340" s="78"/>
      <c r="N340" s="76"/>
      <c r="O340" s="78"/>
      <c r="P340" s="80"/>
      <c r="Q340" s="80"/>
      <c r="R340" s="78"/>
      <c r="S340" s="78"/>
      <c r="T340" s="78"/>
      <c r="U340" s="78"/>
      <c r="V340" s="78"/>
    </row>
    <row r="341" spans="1:22" x14ac:dyDescent="0.25">
      <c r="A341" s="78"/>
      <c r="B341" s="78"/>
      <c r="C341" s="78"/>
      <c r="D341" s="78"/>
      <c r="E341" s="78"/>
      <c r="F341" s="76"/>
      <c r="G341" s="78"/>
      <c r="H341" s="78"/>
      <c r="I341" s="78"/>
      <c r="J341" s="77"/>
      <c r="K341" s="78"/>
      <c r="L341" s="78"/>
      <c r="M341" s="78"/>
      <c r="N341" s="76"/>
      <c r="O341" s="78"/>
      <c r="P341" s="80"/>
      <c r="Q341" s="80"/>
      <c r="R341" s="78"/>
      <c r="S341" s="78"/>
      <c r="T341" s="78"/>
      <c r="U341" s="78"/>
      <c r="V341" s="78"/>
    </row>
    <row r="342" spans="1:22" x14ac:dyDescent="0.25">
      <c r="A342" s="78"/>
      <c r="B342" s="78"/>
      <c r="C342" s="78"/>
      <c r="D342" s="78"/>
      <c r="E342" s="78"/>
      <c r="F342" s="76"/>
      <c r="G342" s="78"/>
      <c r="H342" s="78"/>
      <c r="I342" s="78"/>
      <c r="J342" s="77"/>
      <c r="K342" s="78"/>
      <c r="L342" s="78"/>
      <c r="M342" s="78"/>
      <c r="N342" s="76"/>
      <c r="O342" s="78"/>
      <c r="P342" s="80"/>
      <c r="Q342" s="80"/>
      <c r="R342" s="78"/>
      <c r="S342" s="78"/>
      <c r="T342" s="78"/>
      <c r="U342" s="78"/>
      <c r="V342" s="78"/>
    </row>
    <row r="343" spans="1:22" x14ac:dyDescent="0.25">
      <c r="A343" s="78"/>
      <c r="B343" s="78"/>
      <c r="C343" s="78"/>
      <c r="D343" s="78"/>
      <c r="E343" s="78"/>
      <c r="F343" s="76"/>
      <c r="G343" s="78"/>
      <c r="H343" s="78"/>
      <c r="I343" s="78"/>
      <c r="J343" s="77"/>
      <c r="K343" s="78"/>
      <c r="L343" s="78"/>
      <c r="M343" s="78"/>
      <c r="N343" s="76"/>
      <c r="O343" s="78"/>
      <c r="P343" s="80"/>
      <c r="Q343" s="80"/>
      <c r="R343" s="78"/>
      <c r="S343" s="78"/>
      <c r="T343" s="78"/>
      <c r="U343" s="78"/>
      <c r="V343" s="78"/>
    </row>
    <row r="344" spans="1:22" x14ac:dyDescent="0.25">
      <c r="A344" s="78"/>
      <c r="B344" s="78"/>
      <c r="C344" s="78"/>
      <c r="D344" s="78"/>
      <c r="E344" s="78"/>
      <c r="F344" s="76"/>
      <c r="G344" s="78"/>
      <c r="H344" s="78"/>
      <c r="I344" s="78"/>
      <c r="J344" s="77"/>
      <c r="K344" s="78"/>
      <c r="L344" s="78"/>
      <c r="M344" s="78"/>
      <c r="N344" s="76"/>
      <c r="O344" s="78"/>
      <c r="P344" s="80"/>
      <c r="Q344" s="80"/>
      <c r="R344" s="78"/>
      <c r="S344" s="78"/>
      <c r="T344" s="78"/>
      <c r="U344" s="78"/>
      <c r="V344" s="78"/>
    </row>
    <row r="345" spans="1:22" x14ac:dyDescent="0.25">
      <c r="A345" s="78"/>
      <c r="B345" s="78"/>
      <c r="C345" s="78"/>
      <c r="D345" s="78"/>
      <c r="E345" s="78"/>
      <c r="F345" s="76"/>
      <c r="G345" s="78"/>
      <c r="H345" s="78"/>
      <c r="I345" s="78"/>
      <c r="J345" s="77"/>
      <c r="K345" s="78"/>
      <c r="L345" s="78"/>
      <c r="M345" s="78"/>
      <c r="N345" s="76"/>
      <c r="O345" s="78"/>
      <c r="P345" s="80"/>
      <c r="Q345" s="80"/>
      <c r="R345" s="78"/>
      <c r="S345" s="78"/>
      <c r="T345" s="78"/>
      <c r="U345" s="78"/>
      <c r="V345" s="78"/>
    </row>
    <row r="346" spans="1:22" x14ac:dyDescent="0.25">
      <c r="A346" s="78"/>
      <c r="B346" s="78"/>
      <c r="C346" s="78"/>
      <c r="D346" s="78"/>
      <c r="E346" s="78"/>
      <c r="F346" s="76"/>
      <c r="G346" s="78"/>
      <c r="H346" s="78"/>
      <c r="I346" s="78"/>
      <c r="J346" s="77"/>
      <c r="K346" s="78"/>
      <c r="L346" s="78"/>
      <c r="M346" s="78"/>
      <c r="N346" s="76"/>
      <c r="O346" s="78"/>
      <c r="P346" s="80"/>
      <c r="Q346" s="80"/>
      <c r="R346" s="78"/>
      <c r="S346" s="78"/>
      <c r="T346" s="78"/>
      <c r="U346" s="78"/>
      <c r="V346" s="78"/>
    </row>
    <row r="347" spans="1:22" x14ac:dyDescent="0.25">
      <c r="A347" s="78"/>
      <c r="B347" s="78"/>
      <c r="C347" s="78"/>
      <c r="D347" s="78"/>
      <c r="E347" s="78"/>
      <c r="F347" s="76"/>
      <c r="G347" s="78"/>
      <c r="H347" s="78"/>
      <c r="I347" s="78"/>
      <c r="J347" s="77"/>
      <c r="K347" s="78"/>
      <c r="L347" s="78"/>
      <c r="M347" s="78"/>
      <c r="N347" s="76"/>
      <c r="O347" s="78"/>
      <c r="P347" s="80"/>
      <c r="Q347" s="80"/>
      <c r="R347" s="78"/>
      <c r="S347" s="78"/>
      <c r="T347" s="78"/>
      <c r="U347" s="78"/>
      <c r="V347" s="78"/>
    </row>
    <row r="348" spans="1:22" x14ac:dyDescent="0.25">
      <c r="A348" s="78"/>
      <c r="B348" s="78"/>
      <c r="C348" s="78"/>
      <c r="D348" s="78"/>
      <c r="E348" s="78"/>
      <c r="F348" s="76"/>
      <c r="G348" s="78"/>
      <c r="H348" s="78"/>
      <c r="I348" s="78"/>
      <c r="J348" s="77"/>
      <c r="K348" s="78"/>
      <c r="L348" s="78"/>
      <c r="M348" s="78"/>
      <c r="N348" s="76"/>
      <c r="O348" s="78"/>
      <c r="P348" s="80"/>
      <c r="Q348" s="80"/>
      <c r="R348" s="78"/>
      <c r="S348" s="78"/>
      <c r="T348" s="78"/>
      <c r="U348" s="78"/>
      <c r="V348" s="78"/>
    </row>
    <row r="349" spans="1:22" x14ac:dyDescent="0.25">
      <c r="A349" s="78"/>
      <c r="B349" s="78"/>
      <c r="C349" s="78"/>
      <c r="D349" s="78"/>
      <c r="E349" s="78"/>
      <c r="F349" s="76"/>
      <c r="G349" s="78"/>
      <c r="H349" s="78"/>
      <c r="I349" s="78"/>
      <c r="J349" s="77"/>
      <c r="K349" s="78"/>
      <c r="L349" s="78"/>
      <c r="M349" s="78"/>
      <c r="N349" s="76"/>
      <c r="O349" s="78"/>
      <c r="P349" s="80"/>
      <c r="Q349" s="80"/>
      <c r="R349" s="78"/>
      <c r="S349" s="78"/>
      <c r="T349" s="78"/>
      <c r="U349" s="78"/>
      <c r="V349" s="78"/>
    </row>
    <row r="350" spans="1:22" x14ac:dyDescent="0.25">
      <c r="A350" s="78"/>
      <c r="B350" s="78"/>
      <c r="C350" s="78"/>
      <c r="D350" s="78"/>
      <c r="E350" s="78"/>
      <c r="F350" s="76"/>
      <c r="G350" s="78"/>
      <c r="H350" s="78"/>
      <c r="I350" s="78"/>
      <c r="J350" s="77"/>
      <c r="K350" s="78"/>
      <c r="L350" s="78"/>
      <c r="M350" s="78"/>
      <c r="N350" s="76"/>
      <c r="O350" s="78"/>
      <c r="P350" s="80"/>
      <c r="Q350" s="80"/>
      <c r="R350" s="78"/>
      <c r="S350" s="78"/>
      <c r="T350" s="78"/>
      <c r="U350" s="78"/>
      <c r="V350" s="78"/>
    </row>
    <row r="351" spans="1:22" x14ac:dyDescent="0.25">
      <c r="A351" s="78"/>
      <c r="B351" s="78"/>
      <c r="C351" s="78"/>
      <c r="D351" s="78"/>
      <c r="E351" s="78"/>
      <c r="F351" s="76"/>
      <c r="G351" s="78"/>
      <c r="H351" s="78"/>
      <c r="I351" s="78"/>
      <c r="J351" s="77"/>
      <c r="K351" s="78"/>
      <c r="L351" s="78"/>
      <c r="M351" s="78"/>
      <c r="N351" s="76"/>
      <c r="O351" s="78"/>
      <c r="P351" s="80"/>
      <c r="Q351" s="80"/>
      <c r="R351" s="78"/>
      <c r="S351" s="78"/>
      <c r="T351" s="78"/>
      <c r="U351" s="78"/>
      <c r="V351" s="78"/>
    </row>
    <row r="352" spans="1:22" x14ac:dyDescent="0.25">
      <c r="A352" s="78"/>
      <c r="B352" s="78"/>
      <c r="C352" s="78"/>
      <c r="D352" s="78"/>
      <c r="E352" s="78"/>
      <c r="F352" s="76"/>
      <c r="G352" s="78"/>
      <c r="H352" s="78"/>
      <c r="I352" s="78"/>
      <c r="J352" s="77"/>
      <c r="K352" s="78"/>
      <c r="L352" s="78"/>
      <c r="M352" s="78"/>
      <c r="N352" s="76"/>
      <c r="O352" s="78"/>
      <c r="P352" s="80"/>
      <c r="Q352" s="80"/>
      <c r="R352" s="78"/>
      <c r="S352" s="78"/>
      <c r="T352" s="78"/>
      <c r="U352" s="78"/>
      <c r="V352" s="78"/>
    </row>
    <row r="353" spans="1:22" x14ac:dyDescent="0.25">
      <c r="A353" s="78"/>
      <c r="B353" s="78"/>
      <c r="C353" s="78"/>
      <c r="D353" s="78"/>
      <c r="E353" s="78"/>
      <c r="F353" s="76"/>
      <c r="G353" s="78"/>
      <c r="H353" s="78"/>
      <c r="I353" s="78"/>
      <c r="J353" s="77"/>
      <c r="K353" s="78"/>
      <c r="L353" s="78"/>
      <c r="M353" s="78"/>
      <c r="N353" s="76"/>
      <c r="O353" s="78"/>
      <c r="P353" s="80"/>
      <c r="Q353" s="80"/>
      <c r="R353" s="78"/>
      <c r="S353" s="78"/>
      <c r="T353" s="78"/>
      <c r="U353" s="78"/>
      <c r="V353" s="78"/>
    </row>
    <row r="354" spans="1:22" x14ac:dyDescent="0.25">
      <c r="A354" s="78"/>
      <c r="B354" s="78"/>
      <c r="C354" s="78"/>
      <c r="D354" s="78"/>
      <c r="E354" s="78"/>
      <c r="F354" s="76"/>
      <c r="G354" s="78"/>
      <c r="H354" s="78"/>
      <c r="I354" s="78"/>
      <c r="J354" s="77"/>
      <c r="K354" s="78"/>
      <c r="L354" s="78"/>
      <c r="M354" s="78"/>
      <c r="N354" s="76"/>
      <c r="O354" s="78"/>
      <c r="P354" s="80"/>
      <c r="Q354" s="80"/>
      <c r="R354" s="78"/>
      <c r="S354" s="78"/>
      <c r="T354" s="78"/>
      <c r="U354" s="78"/>
      <c r="V354" s="78"/>
    </row>
    <row r="355" spans="1:22" x14ac:dyDescent="0.25">
      <c r="A355" s="78"/>
      <c r="B355" s="78"/>
      <c r="C355" s="78"/>
      <c r="D355" s="78"/>
      <c r="E355" s="78"/>
      <c r="F355" s="76"/>
      <c r="G355" s="78"/>
      <c r="H355" s="78"/>
      <c r="I355" s="78"/>
      <c r="J355" s="77"/>
      <c r="K355" s="78"/>
      <c r="L355" s="78"/>
      <c r="M355" s="78"/>
      <c r="N355" s="76"/>
      <c r="O355" s="78"/>
      <c r="P355" s="80"/>
      <c r="Q355" s="80"/>
      <c r="R355" s="78"/>
      <c r="S355" s="78"/>
      <c r="T355" s="78"/>
      <c r="U355" s="78"/>
      <c r="V355" s="78"/>
    </row>
    <row r="356" spans="1:22" x14ac:dyDescent="0.25">
      <c r="A356" s="78"/>
      <c r="B356" s="78"/>
      <c r="C356" s="78"/>
      <c r="D356" s="78"/>
      <c r="E356" s="78"/>
      <c r="F356" s="76"/>
      <c r="G356" s="78"/>
      <c r="H356" s="78"/>
      <c r="I356" s="78"/>
      <c r="J356" s="77"/>
      <c r="K356" s="78"/>
      <c r="L356" s="78"/>
      <c r="M356" s="78"/>
      <c r="N356" s="76"/>
      <c r="O356" s="78"/>
      <c r="P356" s="80"/>
      <c r="Q356" s="80"/>
      <c r="R356" s="78"/>
      <c r="S356" s="78"/>
      <c r="T356" s="78"/>
      <c r="U356" s="78"/>
      <c r="V356" s="78"/>
    </row>
    <row r="357" spans="1:22" x14ac:dyDescent="0.25">
      <c r="A357" s="78"/>
      <c r="B357" s="78"/>
      <c r="C357" s="78"/>
      <c r="D357" s="78"/>
      <c r="E357" s="78"/>
      <c r="F357" s="76"/>
      <c r="G357" s="78"/>
      <c r="H357" s="78"/>
      <c r="I357" s="78"/>
      <c r="J357" s="77"/>
      <c r="K357" s="78"/>
      <c r="L357" s="78"/>
      <c r="M357" s="78"/>
      <c r="N357" s="76"/>
      <c r="O357" s="78"/>
      <c r="P357" s="80"/>
      <c r="Q357" s="80"/>
      <c r="R357" s="78"/>
      <c r="S357" s="78"/>
      <c r="T357" s="78"/>
      <c r="U357" s="78"/>
      <c r="V357" s="78"/>
    </row>
    <row r="358" spans="1:22" x14ac:dyDescent="0.25">
      <c r="A358" s="78"/>
      <c r="B358" s="78"/>
      <c r="C358" s="78"/>
      <c r="D358" s="78"/>
      <c r="E358" s="78"/>
      <c r="F358" s="76"/>
      <c r="G358" s="78"/>
      <c r="H358" s="78"/>
      <c r="I358" s="78"/>
      <c r="J358" s="77"/>
      <c r="K358" s="78"/>
      <c r="L358" s="78"/>
      <c r="M358" s="78"/>
      <c r="N358" s="76"/>
      <c r="O358" s="78"/>
      <c r="P358" s="80"/>
      <c r="Q358" s="80"/>
      <c r="R358" s="78"/>
      <c r="S358" s="78"/>
      <c r="T358" s="78"/>
      <c r="U358" s="78"/>
      <c r="V358" s="78"/>
    </row>
    <row r="359" spans="1:22" x14ac:dyDescent="0.25">
      <c r="A359" s="78"/>
      <c r="B359" s="78"/>
      <c r="C359" s="78"/>
      <c r="D359" s="78"/>
      <c r="E359" s="78"/>
      <c r="F359" s="76"/>
      <c r="G359" s="78"/>
      <c r="H359" s="78"/>
      <c r="I359" s="78"/>
      <c r="J359" s="77"/>
      <c r="K359" s="78"/>
      <c r="L359" s="78"/>
      <c r="M359" s="78"/>
      <c r="N359" s="76"/>
      <c r="O359" s="78"/>
      <c r="P359" s="80"/>
      <c r="Q359" s="80"/>
      <c r="R359" s="78"/>
      <c r="S359" s="78"/>
      <c r="T359" s="78"/>
      <c r="U359" s="78"/>
      <c r="V359" s="78"/>
    </row>
    <row r="360" spans="1:22" x14ac:dyDescent="0.25">
      <c r="A360" s="78"/>
      <c r="B360" s="78"/>
      <c r="C360" s="78"/>
      <c r="D360" s="78"/>
      <c r="E360" s="78"/>
      <c r="F360" s="76"/>
      <c r="G360" s="78"/>
      <c r="H360" s="78"/>
      <c r="I360" s="78"/>
      <c r="J360" s="77"/>
      <c r="K360" s="78"/>
      <c r="L360" s="78"/>
      <c r="M360" s="78"/>
      <c r="N360" s="76"/>
      <c r="O360" s="78"/>
      <c r="P360" s="80"/>
      <c r="Q360" s="80"/>
      <c r="R360" s="78"/>
      <c r="S360" s="78"/>
      <c r="T360" s="78"/>
      <c r="U360" s="78"/>
      <c r="V360" s="78"/>
    </row>
    <row r="361" spans="1:22" x14ac:dyDescent="0.25">
      <c r="A361" s="78"/>
      <c r="B361" s="78"/>
      <c r="C361" s="78"/>
      <c r="D361" s="78"/>
      <c r="E361" s="78"/>
      <c r="F361" s="76"/>
      <c r="G361" s="78"/>
      <c r="H361" s="78"/>
      <c r="I361" s="78"/>
      <c r="J361" s="77"/>
      <c r="K361" s="78"/>
      <c r="L361" s="78"/>
      <c r="M361" s="78"/>
      <c r="N361" s="76"/>
      <c r="O361" s="78"/>
      <c r="P361" s="80"/>
      <c r="Q361" s="80"/>
      <c r="R361" s="78"/>
      <c r="S361" s="78"/>
      <c r="T361" s="78"/>
      <c r="U361" s="78"/>
      <c r="V361" s="78"/>
    </row>
    <row r="362" spans="1:22" x14ac:dyDescent="0.25">
      <c r="A362" s="78"/>
      <c r="B362" s="78"/>
      <c r="C362" s="78"/>
      <c r="D362" s="78"/>
      <c r="E362" s="78"/>
      <c r="F362" s="76"/>
      <c r="G362" s="78"/>
      <c r="H362" s="78"/>
      <c r="I362" s="78"/>
      <c r="J362" s="77"/>
      <c r="K362" s="78"/>
      <c r="L362" s="78"/>
      <c r="M362" s="78"/>
      <c r="N362" s="76"/>
      <c r="O362" s="78"/>
      <c r="P362" s="80"/>
      <c r="Q362" s="80"/>
      <c r="R362" s="78"/>
      <c r="S362" s="78"/>
      <c r="T362" s="78"/>
      <c r="U362" s="78"/>
      <c r="V362" s="78"/>
    </row>
    <row r="363" spans="1:22" x14ac:dyDescent="0.25">
      <c r="A363" s="78"/>
      <c r="B363" s="78"/>
      <c r="C363" s="78"/>
      <c r="D363" s="78"/>
      <c r="E363" s="78"/>
      <c r="F363" s="76"/>
      <c r="G363" s="78"/>
      <c r="H363" s="78"/>
      <c r="I363" s="78"/>
      <c r="J363" s="77"/>
      <c r="K363" s="78"/>
      <c r="L363" s="78"/>
      <c r="M363" s="78"/>
      <c r="N363" s="76"/>
      <c r="O363" s="78"/>
      <c r="P363" s="80"/>
      <c r="Q363" s="80"/>
      <c r="R363" s="78"/>
      <c r="S363" s="78"/>
      <c r="T363" s="78"/>
      <c r="U363" s="78"/>
      <c r="V363" s="78"/>
    </row>
    <row r="364" spans="1:22" x14ac:dyDescent="0.25">
      <c r="A364" s="78"/>
      <c r="B364" s="78"/>
      <c r="C364" s="78"/>
      <c r="D364" s="78"/>
      <c r="E364" s="78"/>
      <c r="F364" s="76"/>
      <c r="G364" s="78"/>
      <c r="H364" s="78"/>
      <c r="I364" s="78"/>
      <c r="J364" s="77"/>
      <c r="K364" s="78"/>
      <c r="L364" s="78"/>
      <c r="M364" s="78"/>
      <c r="N364" s="76"/>
      <c r="O364" s="78"/>
      <c r="P364" s="80"/>
      <c r="Q364" s="80"/>
      <c r="R364" s="78"/>
      <c r="S364" s="78"/>
      <c r="T364" s="78"/>
      <c r="U364" s="78"/>
      <c r="V364" s="78"/>
    </row>
    <row r="365" spans="1:22" x14ac:dyDescent="0.25">
      <c r="A365" s="78"/>
      <c r="B365" s="78"/>
      <c r="C365" s="78"/>
      <c r="D365" s="78"/>
      <c r="E365" s="78"/>
      <c r="F365" s="76"/>
      <c r="G365" s="78"/>
      <c r="H365" s="78"/>
      <c r="I365" s="78"/>
      <c r="J365" s="77"/>
      <c r="K365" s="78"/>
      <c r="L365" s="78"/>
      <c r="M365" s="78"/>
      <c r="N365" s="76"/>
      <c r="O365" s="78"/>
      <c r="P365" s="80"/>
      <c r="Q365" s="80"/>
      <c r="R365" s="78"/>
      <c r="S365" s="78"/>
      <c r="T365" s="78"/>
      <c r="U365" s="78"/>
      <c r="V365" s="78"/>
    </row>
    <row r="366" spans="1:22" x14ac:dyDescent="0.25">
      <c r="A366" s="78"/>
      <c r="B366" s="78"/>
      <c r="C366" s="78"/>
      <c r="D366" s="78"/>
      <c r="E366" s="78"/>
      <c r="F366" s="76"/>
      <c r="G366" s="78"/>
      <c r="H366" s="78"/>
      <c r="I366" s="78"/>
      <c r="J366" s="77"/>
      <c r="K366" s="78"/>
      <c r="L366" s="78"/>
      <c r="M366" s="78"/>
      <c r="N366" s="76"/>
      <c r="O366" s="78"/>
      <c r="P366" s="80"/>
      <c r="Q366" s="80"/>
      <c r="R366" s="78"/>
      <c r="S366" s="78"/>
      <c r="T366" s="78"/>
      <c r="U366" s="78"/>
      <c r="V366" s="78"/>
    </row>
    <row r="367" spans="1:22" x14ac:dyDescent="0.25">
      <c r="A367" s="78"/>
      <c r="B367" s="78"/>
      <c r="C367" s="78"/>
      <c r="D367" s="78"/>
      <c r="E367" s="78"/>
      <c r="F367" s="76"/>
      <c r="G367" s="78"/>
      <c r="H367" s="78"/>
      <c r="I367" s="78"/>
      <c r="J367" s="77"/>
      <c r="K367" s="78"/>
      <c r="L367" s="78"/>
      <c r="M367" s="78"/>
      <c r="N367" s="76"/>
      <c r="O367" s="78"/>
      <c r="P367" s="80"/>
      <c r="Q367" s="80"/>
      <c r="R367" s="78"/>
      <c r="S367" s="78"/>
      <c r="T367" s="78"/>
      <c r="U367" s="78"/>
      <c r="V367" s="78"/>
    </row>
    <row r="368" spans="1:22" x14ac:dyDescent="0.25">
      <c r="A368" s="78"/>
      <c r="B368" s="78"/>
      <c r="C368" s="78"/>
      <c r="D368" s="78"/>
      <c r="E368" s="78"/>
      <c r="F368" s="76"/>
      <c r="G368" s="78"/>
      <c r="H368" s="78"/>
      <c r="I368" s="78"/>
      <c r="J368" s="77"/>
      <c r="K368" s="78"/>
      <c r="L368" s="78"/>
      <c r="M368" s="78"/>
      <c r="N368" s="76"/>
      <c r="O368" s="78"/>
      <c r="P368" s="80"/>
      <c r="Q368" s="80"/>
      <c r="R368" s="78"/>
      <c r="S368" s="78"/>
      <c r="T368" s="78"/>
      <c r="U368" s="78"/>
      <c r="V368" s="78"/>
    </row>
    <row r="369" spans="1:22" x14ac:dyDescent="0.25">
      <c r="A369" s="78"/>
      <c r="B369" s="78"/>
      <c r="C369" s="78"/>
      <c r="D369" s="78"/>
      <c r="E369" s="78"/>
      <c r="F369" s="76"/>
      <c r="G369" s="78"/>
      <c r="H369" s="78"/>
      <c r="I369" s="78"/>
      <c r="J369" s="77"/>
      <c r="K369" s="78"/>
      <c r="L369" s="78"/>
      <c r="M369" s="78"/>
      <c r="N369" s="76"/>
      <c r="O369" s="78"/>
      <c r="P369" s="80"/>
      <c r="Q369" s="80"/>
      <c r="R369" s="78"/>
      <c r="S369" s="78"/>
      <c r="T369" s="78"/>
      <c r="U369" s="78"/>
      <c r="V369" s="78"/>
    </row>
    <row r="370" spans="1:22" x14ac:dyDescent="0.25">
      <c r="A370" s="78"/>
      <c r="B370" s="78"/>
      <c r="C370" s="78"/>
      <c r="D370" s="78"/>
      <c r="E370" s="78"/>
      <c r="F370" s="76"/>
      <c r="G370" s="78"/>
      <c r="H370" s="78"/>
      <c r="I370" s="78"/>
      <c r="J370" s="77"/>
      <c r="K370" s="78"/>
      <c r="L370" s="78"/>
      <c r="M370" s="78"/>
      <c r="N370" s="76"/>
      <c r="O370" s="78"/>
      <c r="P370" s="80"/>
      <c r="Q370" s="80"/>
      <c r="R370" s="78"/>
      <c r="S370" s="78"/>
      <c r="T370" s="78"/>
      <c r="U370" s="78"/>
      <c r="V370" s="78"/>
    </row>
    <row r="371" spans="1:22" x14ac:dyDescent="0.25">
      <c r="A371" s="78"/>
      <c r="B371" s="78"/>
      <c r="C371" s="78"/>
      <c r="D371" s="78"/>
      <c r="E371" s="78"/>
      <c r="F371" s="76"/>
      <c r="G371" s="78"/>
      <c r="H371" s="78"/>
      <c r="I371" s="78"/>
      <c r="J371" s="77"/>
      <c r="K371" s="78"/>
      <c r="L371" s="78"/>
      <c r="M371" s="78"/>
      <c r="N371" s="76"/>
      <c r="O371" s="78"/>
      <c r="P371" s="80"/>
      <c r="Q371" s="80"/>
      <c r="R371" s="78"/>
      <c r="S371" s="78"/>
      <c r="T371" s="78"/>
      <c r="U371" s="78"/>
      <c r="V371" s="78"/>
    </row>
    <row r="372" spans="1:22" x14ac:dyDescent="0.25">
      <c r="A372" s="78"/>
      <c r="B372" s="78"/>
      <c r="C372" s="78"/>
      <c r="D372" s="78"/>
      <c r="E372" s="78"/>
      <c r="F372" s="76"/>
      <c r="G372" s="78"/>
      <c r="H372" s="78"/>
      <c r="I372" s="78"/>
      <c r="J372" s="77"/>
      <c r="K372" s="78"/>
      <c r="L372" s="78"/>
      <c r="M372" s="78"/>
      <c r="N372" s="76"/>
      <c r="O372" s="78"/>
      <c r="P372" s="80"/>
      <c r="Q372" s="80"/>
      <c r="R372" s="78"/>
      <c r="S372" s="78"/>
      <c r="T372" s="78"/>
      <c r="U372" s="78"/>
      <c r="V372" s="78"/>
    </row>
    <row r="373" spans="1:22" x14ac:dyDescent="0.25">
      <c r="A373" s="78"/>
      <c r="B373" s="78"/>
      <c r="C373" s="78"/>
      <c r="D373" s="78"/>
      <c r="E373" s="78"/>
      <c r="F373" s="76"/>
      <c r="G373" s="78"/>
      <c r="H373" s="78"/>
      <c r="I373" s="78"/>
      <c r="J373" s="77"/>
      <c r="K373" s="78"/>
      <c r="L373" s="78"/>
      <c r="M373" s="78"/>
      <c r="N373" s="76"/>
      <c r="O373" s="78"/>
      <c r="P373" s="80"/>
      <c r="Q373" s="80"/>
      <c r="R373" s="78"/>
      <c r="S373" s="78"/>
      <c r="T373" s="78"/>
      <c r="U373" s="78"/>
      <c r="V373" s="78"/>
    </row>
    <row r="374" spans="1:22" x14ac:dyDescent="0.25">
      <c r="A374" s="78"/>
      <c r="B374" s="78"/>
      <c r="C374" s="78"/>
      <c r="D374" s="78"/>
      <c r="E374" s="78"/>
      <c r="F374" s="76"/>
      <c r="G374" s="78"/>
      <c r="H374" s="78"/>
      <c r="I374" s="78"/>
      <c r="J374" s="77"/>
      <c r="K374" s="78"/>
      <c r="L374" s="78"/>
      <c r="M374" s="78"/>
      <c r="N374" s="76"/>
      <c r="O374" s="78"/>
      <c r="P374" s="80"/>
      <c r="Q374" s="80"/>
      <c r="R374" s="78"/>
      <c r="S374" s="78"/>
      <c r="T374" s="78"/>
      <c r="U374" s="78"/>
      <c r="V374" s="78"/>
    </row>
    <row r="375" spans="1:22" x14ac:dyDescent="0.25">
      <c r="A375" s="78"/>
      <c r="B375" s="78"/>
      <c r="C375" s="78"/>
      <c r="D375" s="78"/>
      <c r="E375" s="78"/>
      <c r="F375" s="76"/>
      <c r="G375" s="78"/>
      <c r="H375" s="78"/>
      <c r="I375" s="78"/>
      <c r="J375" s="77"/>
      <c r="K375" s="78"/>
      <c r="L375" s="78"/>
      <c r="M375" s="78"/>
      <c r="N375" s="76"/>
      <c r="O375" s="78"/>
      <c r="P375" s="80"/>
      <c r="Q375" s="80"/>
      <c r="R375" s="78"/>
      <c r="S375" s="78"/>
      <c r="T375" s="78"/>
      <c r="U375" s="78"/>
      <c r="V375" s="78"/>
    </row>
    <row r="376" spans="1:22" x14ac:dyDescent="0.25">
      <c r="A376" s="78"/>
      <c r="B376" s="78"/>
      <c r="C376" s="78"/>
      <c r="D376" s="78"/>
      <c r="E376" s="78"/>
      <c r="F376" s="76"/>
      <c r="G376" s="78"/>
      <c r="H376" s="78"/>
      <c r="I376" s="78"/>
      <c r="J376" s="77"/>
      <c r="K376" s="78"/>
      <c r="L376" s="78"/>
      <c r="M376" s="78"/>
      <c r="N376" s="76"/>
      <c r="O376" s="78"/>
      <c r="P376" s="80"/>
      <c r="Q376" s="80"/>
      <c r="R376" s="78"/>
      <c r="S376" s="78"/>
      <c r="T376" s="78"/>
      <c r="U376" s="78"/>
      <c r="V376" s="78"/>
    </row>
    <row r="377" spans="1:22" x14ac:dyDescent="0.25">
      <c r="A377" s="78"/>
      <c r="B377" s="78"/>
      <c r="C377" s="78"/>
      <c r="D377" s="78"/>
      <c r="E377" s="78"/>
      <c r="F377" s="76"/>
      <c r="G377" s="78"/>
      <c r="H377" s="78"/>
      <c r="I377" s="78"/>
      <c r="J377" s="77"/>
      <c r="K377" s="78"/>
      <c r="L377" s="78"/>
      <c r="M377" s="78"/>
      <c r="N377" s="76"/>
      <c r="O377" s="78"/>
      <c r="P377" s="80"/>
      <c r="Q377" s="80"/>
      <c r="R377" s="78"/>
      <c r="S377" s="78"/>
      <c r="T377" s="78"/>
      <c r="U377" s="78"/>
      <c r="V377" s="78"/>
    </row>
    <row r="378" spans="1:22" x14ac:dyDescent="0.25">
      <c r="A378" s="78"/>
      <c r="B378" s="78"/>
      <c r="C378" s="78"/>
      <c r="D378" s="78"/>
      <c r="E378" s="78"/>
      <c r="F378" s="76"/>
      <c r="G378" s="78"/>
      <c r="H378" s="78"/>
      <c r="I378" s="78"/>
      <c r="J378" s="77"/>
      <c r="K378" s="78"/>
      <c r="L378" s="78"/>
      <c r="M378" s="78"/>
      <c r="N378" s="76"/>
      <c r="O378" s="78"/>
      <c r="P378" s="80"/>
      <c r="Q378" s="80"/>
      <c r="R378" s="78"/>
      <c r="S378" s="78"/>
      <c r="T378" s="78"/>
      <c r="U378" s="78"/>
      <c r="V378" s="78"/>
    </row>
    <row r="379" spans="1:22" x14ac:dyDescent="0.25">
      <c r="A379" s="78"/>
      <c r="B379" s="78"/>
      <c r="C379" s="78"/>
      <c r="D379" s="78"/>
      <c r="E379" s="78"/>
      <c r="F379" s="76"/>
      <c r="G379" s="78"/>
      <c r="H379" s="78"/>
      <c r="I379" s="78"/>
      <c r="J379" s="77"/>
      <c r="K379" s="78"/>
      <c r="L379" s="78"/>
      <c r="M379" s="78"/>
      <c r="N379" s="76"/>
      <c r="O379" s="78"/>
      <c r="P379" s="80"/>
      <c r="Q379" s="80"/>
      <c r="R379" s="78"/>
      <c r="S379" s="78"/>
      <c r="T379" s="78"/>
      <c r="U379" s="78"/>
      <c r="V379" s="78"/>
    </row>
    <row r="380" spans="1:22" x14ac:dyDescent="0.25">
      <c r="A380" s="78"/>
      <c r="B380" s="78"/>
      <c r="C380" s="78"/>
      <c r="D380" s="78"/>
      <c r="E380" s="78"/>
      <c r="F380" s="76"/>
      <c r="G380" s="78"/>
      <c r="H380" s="78"/>
      <c r="I380" s="78"/>
      <c r="J380" s="77"/>
      <c r="K380" s="78"/>
      <c r="L380" s="78"/>
      <c r="M380" s="78"/>
      <c r="N380" s="76"/>
      <c r="O380" s="78"/>
      <c r="P380" s="80"/>
      <c r="Q380" s="80"/>
      <c r="R380" s="78"/>
      <c r="S380" s="78"/>
      <c r="T380" s="78"/>
      <c r="U380" s="78"/>
      <c r="V380" s="78"/>
    </row>
    <row r="381" spans="1:22" x14ac:dyDescent="0.25">
      <c r="A381" s="78"/>
      <c r="B381" s="78"/>
      <c r="C381" s="78"/>
      <c r="D381" s="78"/>
      <c r="E381" s="78"/>
      <c r="F381" s="76"/>
      <c r="G381" s="78"/>
      <c r="H381" s="78"/>
      <c r="I381" s="78"/>
      <c r="J381" s="77"/>
      <c r="K381" s="78"/>
      <c r="L381" s="78"/>
      <c r="M381" s="78"/>
      <c r="N381" s="76"/>
      <c r="O381" s="78"/>
      <c r="P381" s="80"/>
      <c r="Q381" s="80"/>
      <c r="R381" s="78"/>
      <c r="S381" s="78"/>
      <c r="T381" s="78"/>
      <c r="U381" s="78"/>
      <c r="V381" s="78"/>
    </row>
    <row r="382" spans="1:22" x14ac:dyDescent="0.25">
      <c r="A382" s="78"/>
      <c r="B382" s="78"/>
      <c r="C382" s="78"/>
      <c r="D382" s="78"/>
      <c r="E382" s="78"/>
      <c r="F382" s="76"/>
      <c r="G382" s="78"/>
      <c r="H382" s="78"/>
      <c r="I382" s="78"/>
      <c r="J382" s="77"/>
      <c r="K382" s="78"/>
      <c r="L382" s="78"/>
      <c r="M382" s="78"/>
      <c r="N382" s="76"/>
      <c r="O382" s="78"/>
      <c r="P382" s="80"/>
      <c r="Q382" s="80"/>
      <c r="R382" s="78"/>
      <c r="S382" s="78"/>
      <c r="T382" s="78"/>
      <c r="U382" s="78"/>
      <c r="V382" s="78"/>
    </row>
    <row r="383" spans="1:22" x14ac:dyDescent="0.25">
      <c r="A383" s="78"/>
      <c r="B383" s="78"/>
      <c r="C383" s="78"/>
      <c r="D383" s="78"/>
      <c r="E383" s="78"/>
      <c r="F383" s="76"/>
      <c r="G383" s="78"/>
      <c r="H383" s="78"/>
      <c r="I383" s="78"/>
      <c r="J383" s="77"/>
      <c r="K383" s="78"/>
      <c r="L383" s="78"/>
      <c r="M383" s="78"/>
      <c r="N383" s="76"/>
      <c r="O383" s="78"/>
      <c r="P383" s="80"/>
      <c r="Q383" s="80"/>
      <c r="R383" s="78"/>
      <c r="S383" s="78"/>
      <c r="T383" s="78"/>
      <c r="U383" s="78"/>
      <c r="V383" s="78"/>
    </row>
    <row r="384" spans="1:22" x14ac:dyDescent="0.25">
      <c r="A384" s="78"/>
      <c r="B384" s="78"/>
      <c r="C384" s="78"/>
      <c r="D384" s="78"/>
      <c r="E384" s="78"/>
      <c r="F384" s="76"/>
      <c r="G384" s="78"/>
      <c r="H384" s="78"/>
      <c r="I384" s="78"/>
      <c r="J384" s="77"/>
      <c r="K384" s="78"/>
      <c r="L384" s="78"/>
      <c r="M384" s="78"/>
      <c r="N384" s="76"/>
      <c r="O384" s="78"/>
      <c r="P384" s="80"/>
      <c r="Q384" s="80"/>
      <c r="R384" s="78"/>
      <c r="S384" s="78"/>
      <c r="T384" s="78"/>
      <c r="U384" s="78"/>
      <c r="V384" s="78"/>
    </row>
    <row r="385" spans="1:22" x14ac:dyDescent="0.25">
      <c r="A385" s="78"/>
      <c r="B385" s="78"/>
      <c r="C385" s="78"/>
      <c r="D385" s="78"/>
      <c r="E385" s="78"/>
      <c r="F385" s="76"/>
      <c r="G385" s="78"/>
      <c r="H385" s="78"/>
      <c r="I385" s="78"/>
      <c r="J385" s="77"/>
      <c r="K385" s="78"/>
      <c r="L385" s="78"/>
      <c r="M385" s="78"/>
      <c r="N385" s="76"/>
      <c r="O385" s="78"/>
      <c r="P385" s="80"/>
      <c r="Q385" s="80"/>
      <c r="R385" s="78"/>
      <c r="S385" s="78"/>
      <c r="T385" s="78"/>
      <c r="U385" s="78"/>
      <c r="V385" s="78"/>
    </row>
    <row r="386" spans="1:22" x14ac:dyDescent="0.25">
      <c r="A386" s="78"/>
      <c r="B386" s="78"/>
      <c r="C386" s="78"/>
      <c r="D386" s="78"/>
      <c r="E386" s="78"/>
      <c r="F386" s="76"/>
      <c r="G386" s="78"/>
      <c r="H386" s="78"/>
      <c r="I386" s="78"/>
      <c r="J386" s="77"/>
      <c r="K386" s="78"/>
      <c r="L386" s="78"/>
      <c r="M386" s="78"/>
      <c r="N386" s="76"/>
      <c r="O386" s="78"/>
      <c r="P386" s="80"/>
      <c r="Q386" s="80"/>
      <c r="R386" s="78"/>
      <c r="S386" s="78"/>
      <c r="T386" s="78"/>
      <c r="U386" s="78"/>
      <c r="V386" s="78"/>
    </row>
    <row r="387" spans="1:22" x14ac:dyDescent="0.25">
      <c r="A387" s="78"/>
      <c r="B387" s="78"/>
      <c r="C387" s="78"/>
      <c r="D387" s="78"/>
      <c r="E387" s="78"/>
      <c r="F387" s="76"/>
      <c r="G387" s="78"/>
      <c r="H387" s="78"/>
      <c r="I387" s="78"/>
      <c r="J387" s="77"/>
      <c r="K387" s="78"/>
      <c r="L387" s="78"/>
      <c r="M387" s="78"/>
      <c r="N387" s="76"/>
      <c r="O387" s="78"/>
      <c r="P387" s="80"/>
      <c r="Q387" s="80"/>
      <c r="R387" s="78"/>
      <c r="S387" s="78"/>
      <c r="T387" s="78"/>
      <c r="U387" s="78"/>
      <c r="V387" s="78"/>
    </row>
    <row r="388" spans="1:22" x14ac:dyDescent="0.25">
      <c r="A388" s="78"/>
      <c r="B388" s="78"/>
      <c r="C388" s="78"/>
      <c r="D388" s="78"/>
      <c r="E388" s="78"/>
      <c r="F388" s="76"/>
      <c r="G388" s="78"/>
      <c r="H388" s="78"/>
      <c r="I388" s="78"/>
      <c r="J388" s="77"/>
      <c r="K388" s="78"/>
      <c r="L388" s="78"/>
      <c r="M388" s="78"/>
      <c r="N388" s="76"/>
      <c r="O388" s="78"/>
      <c r="P388" s="80"/>
      <c r="Q388" s="80"/>
      <c r="R388" s="78"/>
      <c r="S388" s="78"/>
      <c r="T388" s="78"/>
      <c r="U388" s="78"/>
      <c r="V388" s="78"/>
    </row>
    <row r="389" spans="1:22" x14ac:dyDescent="0.25">
      <c r="A389" s="78"/>
      <c r="B389" s="78"/>
      <c r="C389" s="78"/>
      <c r="D389" s="78"/>
      <c r="E389" s="78"/>
      <c r="F389" s="76"/>
      <c r="G389" s="78"/>
      <c r="H389" s="78"/>
      <c r="I389" s="78"/>
      <c r="J389" s="77"/>
      <c r="K389" s="78"/>
      <c r="L389" s="78"/>
      <c r="M389" s="78"/>
      <c r="N389" s="76"/>
      <c r="O389" s="78"/>
      <c r="P389" s="80"/>
      <c r="Q389" s="80"/>
      <c r="R389" s="78"/>
      <c r="S389" s="78"/>
      <c r="T389" s="78"/>
      <c r="U389" s="78"/>
      <c r="V389" s="78"/>
    </row>
    <row r="390" spans="1:22" x14ac:dyDescent="0.25">
      <c r="A390" s="78"/>
      <c r="B390" s="78"/>
      <c r="C390" s="78"/>
      <c r="D390" s="78"/>
      <c r="E390" s="78"/>
      <c r="F390" s="76"/>
      <c r="G390" s="78"/>
      <c r="H390" s="78"/>
      <c r="I390" s="78"/>
      <c r="J390" s="77"/>
      <c r="K390" s="78"/>
      <c r="L390" s="78"/>
      <c r="M390" s="78"/>
      <c r="N390" s="76"/>
      <c r="O390" s="78"/>
      <c r="P390" s="80"/>
      <c r="Q390" s="80"/>
      <c r="R390" s="78"/>
      <c r="S390" s="78"/>
      <c r="T390" s="78"/>
      <c r="U390" s="78"/>
      <c r="V390" s="78"/>
    </row>
    <row r="391" spans="1:22" x14ac:dyDescent="0.25">
      <c r="A391" s="78"/>
      <c r="B391" s="78"/>
      <c r="C391" s="78"/>
      <c r="D391" s="78"/>
      <c r="E391" s="78"/>
      <c r="F391" s="76"/>
      <c r="G391" s="78"/>
      <c r="H391" s="78"/>
      <c r="I391" s="78"/>
      <c r="J391" s="77"/>
      <c r="K391" s="78"/>
      <c r="L391" s="78"/>
      <c r="M391" s="78"/>
      <c r="N391" s="76"/>
      <c r="O391" s="78"/>
      <c r="P391" s="80"/>
      <c r="Q391" s="80"/>
      <c r="R391" s="78"/>
      <c r="S391" s="78"/>
      <c r="T391" s="78"/>
      <c r="U391" s="78"/>
      <c r="V391" s="78"/>
    </row>
    <row r="392" spans="1:22" x14ac:dyDescent="0.25">
      <c r="A392" s="78"/>
      <c r="B392" s="78"/>
      <c r="C392" s="78"/>
      <c r="D392" s="78"/>
      <c r="E392" s="78"/>
      <c r="F392" s="76"/>
      <c r="G392" s="78"/>
      <c r="H392" s="78"/>
      <c r="I392" s="78"/>
      <c r="J392" s="77"/>
      <c r="K392" s="78"/>
      <c r="L392" s="78"/>
      <c r="M392" s="78"/>
      <c r="N392" s="76"/>
      <c r="O392" s="78"/>
      <c r="P392" s="80"/>
      <c r="Q392" s="80"/>
      <c r="R392" s="78"/>
      <c r="S392" s="78"/>
      <c r="T392" s="78"/>
      <c r="U392" s="78"/>
      <c r="V392" s="78"/>
    </row>
    <row r="393" spans="1:22" x14ac:dyDescent="0.25">
      <c r="A393" s="78"/>
      <c r="B393" s="78"/>
      <c r="C393" s="78"/>
      <c r="D393" s="78"/>
      <c r="E393" s="78"/>
      <c r="F393" s="76"/>
      <c r="G393" s="78"/>
      <c r="H393" s="78"/>
      <c r="I393" s="78"/>
      <c r="J393" s="77"/>
      <c r="K393" s="78"/>
      <c r="L393" s="78"/>
      <c r="M393" s="78"/>
      <c r="N393" s="76"/>
      <c r="O393" s="78"/>
      <c r="P393" s="80"/>
      <c r="Q393" s="80"/>
      <c r="R393" s="78"/>
      <c r="S393" s="78"/>
      <c r="T393" s="78"/>
      <c r="U393" s="78"/>
      <c r="V393" s="78"/>
    </row>
    <row r="394" spans="1:22" x14ac:dyDescent="0.25">
      <c r="A394" s="78"/>
      <c r="B394" s="78"/>
      <c r="C394" s="78"/>
      <c r="D394" s="78"/>
      <c r="E394" s="78"/>
      <c r="F394" s="76"/>
      <c r="G394" s="78"/>
      <c r="H394" s="78"/>
      <c r="I394" s="78"/>
      <c r="J394" s="77"/>
      <c r="K394" s="78"/>
      <c r="L394" s="78"/>
      <c r="M394" s="78"/>
      <c r="N394" s="76"/>
      <c r="O394" s="78"/>
      <c r="P394" s="80"/>
      <c r="Q394" s="80"/>
      <c r="R394" s="78"/>
      <c r="S394" s="78"/>
      <c r="T394" s="78"/>
      <c r="U394" s="78"/>
      <c r="V394" s="78"/>
    </row>
    <row r="395" spans="1:22" x14ac:dyDescent="0.25">
      <c r="A395" s="78"/>
      <c r="B395" s="78"/>
      <c r="C395" s="78"/>
      <c r="D395" s="78"/>
      <c r="E395" s="78"/>
      <c r="F395" s="76"/>
      <c r="G395" s="78"/>
      <c r="H395" s="78"/>
      <c r="I395" s="78"/>
      <c r="J395" s="77"/>
      <c r="K395" s="78"/>
      <c r="L395" s="78"/>
      <c r="M395" s="78"/>
      <c r="N395" s="76"/>
      <c r="O395" s="78"/>
      <c r="P395" s="80"/>
      <c r="Q395" s="80"/>
      <c r="R395" s="78"/>
      <c r="S395" s="78"/>
      <c r="T395" s="78"/>
      <c r="U395" s="78"/>
      <c r="V395" s="78"/>
    </row>
    <row r="396" spans="1:22" x14ac:dyDescent="0.25">
      <c r="A396" s="78"/>
      <c r="B396" s="78"/>
      <c r="C396" s="78"/>
      <c r="D396" s="78"/>
      <c r="E396" s="78"/>
      <c r="F396" s="76"/>
      <c r="G396" s="78"/>
      <c r="H396" s="78"/>
      <c r="I396" s="78"/>
      <c r="J396" s="77"/>
      <c r="K396" s="78"/>
      <c r="L396" s="78"/>
      <c r="M396" s="78"/>
      <c r="N396" s="76"/>
      <c r="O396" s="78"/>
      <c r="P396" s="80"/>
      <c r="Q396" s="80"/>
      <c r="R396" s="78"/>
      <c r="S396" s="78"/>
      <c r="T396" s="78"/>
      <c r="U396" s="78"/>
      <c r="V396" s="78"/>
    </row>
    <row r="397" spans="1:22" x14ac:dyDescent="0.25">
      <c r="A397" s="78"/>
      <c r="B397" s="78"/>
      <c r="C397" s="78"/>
      <c r="D397" s="78"/>
      <c r="E397" s="78"/>
      <c r="F397" s="76"/>
      <c r="G397" s="78"/>
      <c r="H397" s="78"/>
      <c r="I397" s="78"/>
      <c r="J397" s="77"/>
      <c r="K397" s="78"/>
      <c r="L397" s="78"/>
      <c r="M397" s="78"/>
      <c r="N397" s="76"/>
      <c r="O397" s="78"/>
      <c r="P397" s="80"/>
      <c r="Q397" s="80"/>
      <c r="R397" s="78"/>
      <c r="S397" s="78"/>
      <c r="T397" s="78"/>
      <c r="U397" s="78"/>
      <c r="V397" s="78"/>
    </row>
    <row r="398" spans="1:22" x14ac:dyDescent="0.25">
      <c r="A398" s="78"/>
      <c r="B398" s="78"/>
      <c r="C398" s="78"/>
      <c r="D398" s="78"/>
      <c r="E398" s="78"/>
      <c r="F398" s="76"/>
      <c r="G398" s="78"/>
      <c r="H398" s="78"/>
      <c r="I398" s="78"/>
      <c r="J398" s="77"/>
      <c r="K398" s="78"/>
      <c r="L398" s="78"/>
      <c r="M398" s="78"/>
      <c r="N398" s="76"/>
      <c r="O398" s="78"/>
      <c r="P398" s="80"/>
      <c r="Q398" s="80"/>
      <c r="R398" s="78"/>
      <c r="S398" s="78"/>
      <c r="T398" s="78"/>
      <c r="U398" s="78"/>
      <c r="V398" s="78"/>
    </row>
    <row r="399" spans="1:22" x14ac:dyDescent="0.25">
      <c r="A399" s="78"/>
      <c r="B399" s="78"/>
      <c r="C399" s="78"/>
      <c r="D399" s="78"/>
      <c r="E399" s="78"/>
      <c r="F399" s="76"/>
      <c r="G399" s="78"/>
      <c r="H399" s="78"/>
      <c r="I399" s="78"/>
      <c r="J399" s="77"/>
      <c r="K399" s="78"/>
      <c r="L399" s="78"/>
      <c r="M399" s="78"/>
      <c r="N399" s="76"/>
      <c r="O399" s="78"/>
      <c r="P399" s="80"/>
      <c r="Q399" s="80"/>
      <c r="R399" s="78"/>
      <c r="S399" s="78"/>
      <c r="T399" s="78"/>
      <c r="U399" s="78"/>
      <c r="V399" s="78"/>
    </row>
    <row r="400" spans="1:22" x14ac:dyDescent="0.25">
      <c r="A400" s="78"/>
      <c r="B400" s="78"/>
      <c r="C400" s="78"/>
      <c r="D400" s="78"/>
      <c r="E400" s="78"/>
      <c r="F400" s="76"/>
      <c r="G400" s="78"/>
      <c r="H400" s="78"/>
      <c r="I400" s="78"/>
      <c r="J400" s="77"/>
      <c r="K400" s="78"/>
      <c r="L400" s="78"/>
      <c r="M400" s="78"/>
      <c r="N400" s="76"/>
      <c r="O400" s="78"/>
      <c r="P400" s="80"/>
      <c r="Q400" s="80"/>
      <c r="R400" s="78"/>
      <c r="S400" s="78"/>
      <c r="T400" s="78"/>
      <c r="U400" s="78"/>
      <c r="V400" s="78"/>
    </row>
    <row r="401" spans="1:22" x14ac:dyDescent="0.25">
      <c r="A401" s="78"/>
      <c r="B401" s="78"/>
      <c r="C401" s="78"/>
      <c r="D401" s="78"/>
      <c r="E401" s="78"/>
      <c r="F401" s="76"/>
      <c r="G401" s="78"/>
      <c r="H401" s="78"/>
      <c r="I401" s="78"/>
      <c r="J401" s="77"/>
      <c r="K401" s="78"/>
      <c r="L401" s="78"/>
      <c r="M401" s="78"/>
      <c r="N401" s="76"/>
      <c r="O401" s="78"/>
      <c r="P401" s="80"/>
      <c r="Q401" s="80"/>
      <c r="R401" s="78"/>
      <c r="S401" s="78"/>
      <c r="T401" s="78"/>
      <c r="U401" s="78"/>
      <c r="V401" s="78"/>
    </row>
    <row r="402" spans="1:22" x14ac:dyDescent="0.25">
      <c r="A402" s="78"/>
      <c r="B402" s="78"/>
      <c r="C402" s="78"/>
      <c r="D402" s="78"/>
      <c r="E402" s="78"/>
      <c r="F402" s="76"/>
      <c r="G402" s="78"/>
      <c r="H402" s="78"/>
      <c r="I402" s="78"/>
      <c r="J402" s="77"/>
      <c r="K402" s="78"/>
      <c r="L402" s="78"/>
      <c r="M402" s="78"/>
      <c r="N402" s="76"/>
      <c r="O402" s="78"/>
      <c r="P402" s="80"/>
      <c r="Q402" s="80"/>
      <c r="R402" s="78"/>
      <c r="S402" s="78"/>
      <c r="T402" s="78"/>
      <c r="U402" s="78"/>
      <c r="V402" s="78"/>
    </row>
    <row r="403" spans="1:22" x14ac:dyDescent="0.25">
      <c r="A403" s="78"/>
      <c r="B403" s="78"/>
      <c r="C403" s="78"/>
      <c r="D403" s="78"/>
      <c r="E403" s="78"/>
      <c r="F403" s="76"/>
      <c r="G403" s="78"/>
      <c r="H403" s="78"/>
      <c r="I403" s="78"/>
      <c r="J403" s="77"/>
      <c r="K403" s="78"/>
      <c r="L403" s="78"/>
      <c r="M403" s="78"/>
      <c r="N403" s="76"/>
      <c r="O403" s="78"/>
      <c r="P403" s="80"/>
      <c r="Q403" s="80"/>
      <c r="R403" s="78"/>
      <c r="S403" s="78"/>
      <c r="T403" s="78"/>
      <c r="U403" s="78"/>
      <c r="V403" s="78"/>
    </row>
    <row r="404" spans="1:22" x14ac:dyDescent="0.25">
      <c r="A404" s="78"/>
      <c r="B404" s="78"/>
      <c r="C404" s="78"/>
      <c r="D404" s="78"/>
      <c r="E404" s="78"/>
      <c r="F404" s="76"/>
      <c r="G404" s="78"/>
      <c r="H404" s="78"/>
      <c r="I404" s="78"/>
      <c r="J404" s="77"/>
      <c r="K404" s="78"/>
      <c r="L404" s="78"/>
      <c r="M404" s="78"/>
      <c r="N404" s="76"/>
      <c r="O404" s="78"/>
      <c r="P404" s="80"/>
      <c r="Q404" s="80"/>
      <c r="R404" s="78"/>
      <c r="S404" s="78"/>
      <c r="T404" s="78"/>
      <c r="U404" s="78"/>
      <c r="V404" s="78"/>
    </row>
    <row r="405" spans="1:22" x14ac:dyDescent="0.25">
      <c r="A405" s="78"/>
      <c r="B405" s="78"/>
      <c r="C405" s="78"/>
      <c r="D405" s="78"/>
      <c r="E405" s="78"/>
      <c r="F405" s="76"/>
      <c r="G405" s="78"/>
      <c r="H405" s="78"/>
      <c r="I405" s="78"/>
      <c r="J405" s="77"/>
      <c r="K405" s="78"/>
      <c r="L405" s="78"/>
      <c r="M405" s="78"/>
      <c r="N405" s="76"/>
      <c r="O405" s="78"/>
      <c r="P405" s="80"/>
      <c r="Q405" s="80"/>
      <c r="R405" s="78"/>
      <c r="S405" s="78"/>
      <c r="T405" s="78"/>
      <c r="U405" s="78"/>
      <c r="V405" s="78"/>
    </row>
    <row r="406" spans="1:22" x14ac:dyDescent="0.25">
      <c r="A406" s="78"/>
      <c r="B406" s="78"/>
      <c r="C406" s="78"/>
      <c r="D406" s="78"/>
      <c r="E406" s="78"/>
      <c r="F406" s="76"/>
      <c r="G406" s="78"/>
      <c r="H406" s="78"/>
      <c r="I406" s="78"/>
      <c r="J406" s="77"/>
      <c r="K406" s="78"/>
      <c r="L406" s="78"/>
      <c r="M406" s="78"/>
      <c r="N406" s="76"/>
      <c r="O406" s="78"/>
      <c r="P406" s="80"/>
      <c r="Q406" s="80"/>
      <c r="R406" s="78"/>
      <c r="S406" s="78"/>
      <c r="T406" s="78"/>
      <c r="U406" s="78"/>
      <c r="V406" s="78"/>
    </row>
    <row r="407" spans="1:22" x14ac:dyDescent="0.25">
      <c r="A407" s="78"/>
      <c r="B407" s="78"/>
      <c r="C407" s="78"/>
      <c r="D407" s="78"/>
      <c r="E407" s="78"/>
      <c r="F407" s="76"/>
      <c r="G407" s="78"/>
      <c r="H407" s="78"/>
      <c r="I407" s="78"/>
      <c r="J407" s="77"/>
      <c r="K407" s="78"/>
      <c r="L407" s="78"/>
      <c r="M407" s="78"/>
      <c r="N407" s="76"/>
      <c r="O407" s="78"/>
      <c r="P407" s="80"/>
      <c r="Q407" s="80"/>
      <c r="R407" s="78"/>
      <c r="S407" s="78"/>
      <c r="T407" s="78"/>
      <c r="U407" s="78"/>
      <c r="V407" s="78"/>
    </row>
    <row r="408" spans="1:22" x14ac:dyDescent="0.25">
      <c r="A408" s="78"/>
      <c r="B408" s="78"/>
      <c r="C408" s="78"/>
      <c r="D408" s="78"/>
      <c r="E408" s="78"/>
      <c r="F408" s="76"/>
      <c r="G408" s="78"/>
      <c r="H408" s="78"/>
      <c r="I408" s="78"/>
      <c r="J408" s="77"/>
      <c r="K408" s="78"/>
      <c r="L408" s="78"/>
      <c r="M408" s="78"/>
      <c r="N408" s="76"/>
      <c r="O408" s="78"/>
      <c r="P408" s="80"/>
      <c r="Q408" s="80"/>
      <c r="R408" s="78"/>
      <c r="S408" s="78"/>
      <c r="T408" s="78"/>
      <c r="U408" s="78"/>
      <c r="V408" s="78"/>
    </row>
    <row r="409" spans="1:22" x14ac:dyDescent="0.25">
      <c r="A409" s="78"/>
      <c r="B409" s="78"/>
      <c r="C409" s="78"/>
      <c r="D409" s="78"/>
      <c r="E409" s="78"/>
      <c r="F409" s="76"/>
      <c r="G409" s="78"/>
      <c r="H409" s="78"/>
      <c r="I409" s="78"/>
      <c r="J409" s="77"/>
      <c r="K409" s="78"/>
      <c r="L409" s="78"/>
      <c r="M409" s="78"/>
      <c r="N409" s="76"/>
      <c r="O409" s="78"/>
      <c r="P409" s="80"/>
      <c r="Q409" s="80"/>
      <c r="R409" s="78"/>
      <c r="S409" s="78"/>
      <c r="T409" s="78"/>
      <c r="U409" s="78"/>
      <c r="V409" s="78"/>
    </row>
    <row r="410" spans="1:22" x14ac:dyDescent="0.25">
      <c r="A410" s="78"/>
      <c r="B410" s="78"/>
      <c r="C410" s="78"/>
      <c r="D410" s="78"/>
      <c r="E410" s="78"/>
      <c r="F410" s="76"/>
      <c r="G410" s="78"/>
      <c r="H410" s="78"/>
      <c r="I410" s="78"/>
      <c r="J410" s="77"/>
      <c r="K410" s="78"/>
      <c r="L410" s="78"/>
      <c r="M410" s="78"/>
      <c r="N410" s="76"/>
      <c r="O410" s="78"/>
      <c r="P410" s="80"/>
      <c r="Q410" s="80"/>
      <c r="R410" s="78"/>
      <c r="S410" s="78"/>
      <c r="T410" s="78"/>
      <c r="U410" s="78"/>
      <c r="V410" s="78"/>
    </row>
    <row r="411" spans="1:22" x14ac:dyDescent="0.25">
      <c r="A411" s="78"/>
      <c r="B411" s="78"/>
      <c r="C411" s="78"/>
      <c r="D411" s="78"/>
      <c r="E411" s="78"/>
      <c r="F411" s="76"/>
      <c r="G411" s="78"/>
      <c r="H411" s="78"/>
      <c r="I411" s="78"/>
      <c r="J411" s="77"/>
      <c r="K411" s="78"/>
      <c r="L411" s="78"/>
      <c r="M411" s="78"/>
      <c r="N411" s="76"/>
      <c r="O411" s="78"/>
      <c r="P411" s="80"/>
      <c r="Q411" s="80"/>
      <c r="R411" s="78"/>
      <c r="S411" s="78"/>
      <c r="T411" s="78"/>
      <c r="U411" s="78"/>
      <c r="V411" s="78"/>
    </row>
    <row r="412" spans="1:22" x14ac:dyDescent="0.25">
      <c r="A412" s="78"/>
      <c r="B412" s="78"/>
      <c r="C412" s="78"/>
      <c r="D412" s="78"/>
      <c r="E412" s="78"/>
      <c r="F412" s="76"/>
      <c r="G412" s="78"/>
      <c r="H412" s="78"/>
      <c r="I412" s="78"/>
      <c r="J412" s="77"/>
      <c r="K412" s="78"/>
      <c r="L412" s="78"/>
      <c r="M412" s="78"/>
      <c r="N412" s="76"/>
      <c r="O412" s="78"/>
      <c r="P412" s="80"/>
      <c r="Q412" s="80"/>
      <c r="R412" s="78"/>
      <c r="S412" s="78"/>
      <c r="T412" s="78"/>
      <c r="U412" s="78"/>
      <c r="V412" s="78"/>
    </row>
    <row r="413" spans="1:22" x14ac:dyDescent="0.25">
      <c r="A413" s="78"/>
      <c r="B413" s="78"/>
      <c r="C413" s="78"/>
      <c r="D413" s="78"/>
      <c r="E413" s="78"/>
      <c r="F413" s="76"/>
      <c r="G413" s="78"/>
      <c r="H413" s="78"/>
      <c r="I413" s="78"/>
      <c r="J413" s="77"/>
      <c r="K413" s="78"/>
      <c r="L413" s="78"/>
      <c r="M413" s="78"/>
      <c r="N413" s="76"/>
      <c r="O413" s="78"/>
      <c r="P413" s="80"/>
      <c r="Q413" s="80"/>
      <c r="R413" s="78"/>
      <c r="S413" s="78"/>
      <c r="T413" s="78"/>
      <c r="U413" s="78"/>
      <c r="V413" s="78"/>
    </row>
    <row r="414" spans="1:22" x14ac:dyDescent="0.25">
      <c r="A414" s="78"/>
      <c r="B414" s="78"/>
      <c r="C414" s="78"/>
      <c r="D414" s="78"/>
      <c r="E414" s="78"/>
      <c r="F414" s="76"/>
      <c r="G414" s="78"/>
      <c r="H414" s="78"/>
      <c r="I414" s="78"/>
      <c r="J414" s="77"/>
      <c r="K414" s="78"/>
      <c r="L414" s="78"/>
      <c r="M414" s="78"/>
      <c r="N414" s="76"/>
      <c r="O414" s="78"/>
      <c r="P414" s="80"/>
      <c r="Q414" s="80"/>
      <c r="R414" s="78"/>
      <c r="S414" s="78"/>
      <c r="T414" s="78"/>
      <c r="U414" s="78"/>
      <c r="V414" s="78"/>
    </row>
    <row r="415" spans="1:22" x14ac:dyDescent="0.25">
      <c r="A415" s="78"/>
      <c r="B415" s="78"/>
      <c r="C415" s="78"/>
      <c r="D415" s="78"/>
      <c r="E415" s="78"/>
      <c r="F415" s="76"/>
      <c r="G415" s="78"/>
      <c r="H415" s="78"/>
      <c r="I415" s="78"/>
      <c r="J415" s="77"/>
      <c r="K415" s="78"/>
      <c r="L415" s="78"/>
      <c r="M415" s="78"/>
      <c r="N415" s="76"/>
      <c r="O415" s="78"/>
      <c r="P415" s="80"/>
      <c r="Q415" s="80"/>
      <c r="R415" s="78"/>
      <c r="S415" s="78"/>
      <c r="T415" s="78"/>
      <c r="U415" s="78"/>
      <c r="V415" s="78"/>
    </row>
    <row r="416" spans="1:22" x14ac:dyDescent="0.25">
      <c r="A416" s="78"/>
      <c r="B416" s="78"/>
      <c r="C416" s="78"/>
      <c r="D416" s="78"/>
      <c r="E416" s="78"/>
      <c r="F416" s="76"/>
      <c r="G416" s="78"/>
      <c r="H416" s="78"/>
      <c r="I416" s="78"/>
      <c r="J416" s="77"/>
      <c r="K416" s="78"/>
      <c r="L416" s="78"/>
      <c r="M416" s="78"/>
      <c r="N416" s="76"/>
      <c r="O416" s="78"/>
      <c r="P416" s="80"/>
      <c r="Q416" s="80"/>
      <c r="R416" s="78"/>
      <c r="S416" s="78"/>
      <c r="T416" s="78"/>
      <c r="U416" s="78"/>
      <c r="V416" s="78"/>
    </row>
    <row r="417" spans="1:22" x14ac:dyDescent="0.25">
      <c r="A417" s="78"/>
      <c r="B417" s="78"/>
      <c r="C417" s="78"/>
      <c r="D417" s="78"/>
      <c r="E417" s="78"/>
      <c r="F417" s="76"/>
      <c r="G417" s="78"/>
      <c r="H417" s="78"/>
      <c r="I417" s="78"/>
      <c r="J417" s="77"/>
      <c r="K417" s="78"/>
      <c r="L417" s="78"/>
      <c r="M417" s="78"/>
      <c r="N417" s="76"/>
      <c r="O417" s="78"/>
      <c r="P417" s="80"/>
      <c r="Q417" s="80"/>
      <c r="R417" s="78"/>
      <c r="S417" s="78"/>
      <c r="T417" s="78"/>
      <c r="U417" s="78"/>
      <c r="V417" s="78"/>
    </row>
    <row r="418" spans="1:22" x14ac:dyDescent="0.25">
      <c r="A418" s="78"/>
      <c r="B418" s="78"/>
      <c r="C418" s="78"/>
      <c r="D418" s="78"/>
      <c r="E418" s="78"/>
      <c r="F418" s="76"/>
      <c r="G418" s="78"/>
      <c r="H418" s="78"/>
      <c r="I418" s="78"/>
      <c r="J418" s="77"/>
      <c r="K418" s="78"/>
      <c r="L418" s="78"/>
      <c r="M418" s="78"/>
      <c r="N418" s="76"/>
      <c r="O418" s="78"/>
      <c r="P418" s="80"/>
      <c r="Q418" s="80"/>
      <c r="R418" s="78"/>
      <c r="S418" s="78"/>
      <c r="T418" s="78"/>
      <c r="U418" s="78"/>
      <c r="V418" s="78"/>
    </row>
    <row r="419" spans="1:22" x14ac:dyDescent="0.25">
      <c r="A419" s="78"/>
      <c r="B419" s="78"/>
      <c r="C419" s="78"/>
      <c r="D419" s="78"/>
      <c r="E419" s="78"/>
      <c r="F419" s="76"/>
      <c r="G419" s="78"/>
      <c r="H419" s="78"/>
      <c r="I419" s="78"/>
      <c r="J419" s="77"/>
      <c r="K419" s="78"/>
      <c r="L419" s="78"/>
      <c r="M419" s="78"/>
      <c r="N419" s="76"/>
      <c r="O419" s="78"/>
      <c r="P419" s="80"/>
      <c r="Q419" s="80"/>
      <c r="R419" s="78"/>
      <c r="S419" s="78"/>
      <c r="T419" s="78"/>
      <c r="U419" s="78"/>
      <c r="V419" s="78"/>
    </row>
    <row r="420" spans="1:22" x14ac:dyDescent="0.25">
      <c r="A420" s="78"/>
      <c r="B420" s="78"/>
      <c r="C420" s="78"/>
      <c r="D420" s="78"/>
      <c r="E420" s="78"/>
      <c r="F420" s="76"/>
      <c r="G420" s="78"/>
      <c r="H420" s="78"/>
      <c r="I420" s="78"/>
      <c r="J420" s="77"/>
      <c r="K420" s="78"/>
      <c r="L420" s="78"/>
      <c r="M420" s="78"/>
      <c r="N420" s="76"/>
      <c r="O420" s="78"/>
      <c r="P420" s="80"/>
      <c r="Q420" s="80"/>
      <c r="R420" s="78"/>
      <c r="S420" s="78"/>
      <c r="T420" s="78"/>
      <c r="U420" s="78"/>
      <c r="V420" s="78"/>
    </row>
    <row r="421" spans="1:22" x14ac:dyDescent="0.25">
      <c r="A421" s="78"/>
      <c r="B421" s="78"/>
      <c r="C421" s="78"/>
      <c r="D421" s="78"/>
      <c r="E421" s="78"/>
      <c r="F421" s="76"/>
      <c r="G421" s="78"/>
      <c r="H421" s="78"/>
      <c r="I421" s="78"/>
      <c r="J421" s="77"/>
      <c r="K421" s="78"/>
      <c r="L421" s="78"/>
      <c r="M421" s="78"/>
      <c r="N421" s="76"/>
      <c r="O421" s="78"/>
      <c r="P421" s="80"/>
      <c r="Q421" s="80"/>
      <c r="R421" s="78"/>
      <c r="S421" s="78"/>
      <c r="T421" s="78"/>
      <c r="U421" s="78"/>
      <c r="V421" s="78"/>
    </row>
    <row r="422" spans="1:22" x14ac:dyDescent="0.25">
      <c r="A422" s="78"/>
      <c r="B422" s="78"/>
      <c r="C422" s="78"/>
      <c r="D422" s="78"/>
      <c r="E422" s="78"/>
      <c r="F422" s="76"/>
      <c r="G422" s="78"/>
      <c r="H422" s="78"/>
      <c r="I422" s="78"/>
      <c r="J422" s="77"/>
      <c r="K422" s="78"/>
      <c r="L422" s="78"/>
      <c r="M422" s="78"/>
      <c r="N422" s="76"/>
      <c r="O422" s="78"/>
      <c r="P422" s="80"/>
      <c r="Q422" s="80"/>
      <c r="R422" s="78"/>
      <c r="S422" s="78"/>
      <c r="T422" s="78"/>
      <c r="U422" s="78"/>
      <c r="V422" s="78"/>
    </row>
    <row r="423" spans="1:22" x14ac:dyDescent="0.25">
      <c r="A423" s="78"/>
      <c r="B423" s="78"/>
      <c r="C423" s="78"/>
      <c r="D423" s="78"/>
      <c r="E423" s="78"/>
      <c r="F423" s="76"/>
      <c r="G423" s="78"/>
      <c r="H423" s="78"/>
      <c r="I423" s="78"/>
      <c r="J423" s="77"/>
      <c r="K423" s="78"/>
      <c r="L423" s="78"/>
      <c r="M423" s="78"/>
      <c r="N423" s="76"/>
      <c r="O423" s="78"/>
      <c r="P423" s="80"/>
      <c r="Q423" s="80"/>
      <c r="R423" s="78"/>
      <c r="S423" s="78"/>
      <c r="T423" s="78"/>
      <c r="U423" s="78"/>
      <c r="V423" s="78"/>
    </row>
    <row r="424" spans="1:22" x14ac:dyDescent="0.25">
      <c r="A424" s="78"/>
      <c r="B424" s="78"/>
      <c r="C424" s="78"/>
      <c r="D424" s="78"/>
      <c r="E424" s="78"/>
      <c r="F424" s="76"/>
      <c r="G424" s="78"/>
      <c r="H424" s="78"/>
      <c r="I424" s="78"/>
      <c r="J424" s="77"/>
      <c r="K424" s="78"/>
      <c r="L424" s="78"/>
      <c r="M424" s="78"/>
      <c r="N424" s="76"/>
      <c r="O424" s="78"/>
      <c r="P424" s="80"/>
      <c r="Q424" s="80"/>
      <c r="R424" s="78"/>
      <c r="S424" s="78"/>
      <c r="T424" s="78"/>
      <c r="U424" s="78"/>
      <c r="V424" s="78"/>
    </row>
    <row r="425" spans="1:22" x14ac:dyDescent="0.25">
      <c r="A425" s="78"/>
      <c r="B425" s="78"/>
      <c r="C425" s="78"/>
      <c r="D425" s="78"/>
      <c r="E425" s="78"/>
      <c r="F425" s="76"/>
      <c r="G425" s="78"/>
      <c r="H425" s="78"/>
      <c r="I425" s="78"/>
      <c r="J425" s="77"/>
      <c r="K425" s="78"/>
      <c r="L425" s="78"/>
      <c r="M425" s="78"/>
      <c r="N425" s="76"/>
      <c r="O425" s="78"/>
      <c r="P425" s="80"/>
      <c r="Q425" s="80"/>
      <c r="R425" s="78"/>
      <c r="S425" s="78"/>
      <c r="T425" s="78"/>
      <c r="U425" s="78"/>
      <c r="V425" s="78"/>
    </row>
    <row r="426" spans="1:22" x14ac:dyDescent="0.25">
      <c r="A426" s="78"/>
      <c r="B426" s="78"/>
      <c r="C426" s="78"/>
      <c r="D426" s="78"/>
      <c r="E426" s="78"/>
      <c r="F426" s="76"/>
      <c r="G426" s="78"/>
      <c r="H426" s="78"/>
      <c r="I426" s="78"/>
      <c r="J426" s="77"/>
      <c r="K426" s="78"/>
      <c r="L426" s="78"/>
      <c r="M426" s="78"/>
      <c r="N426" s="76"/>
      <c r="O426" s="78"/>
      <c r="P426" s="80"/>
      <c r="Q426" s="80"/>
      <c r="R426" s="78"/>
      <c r="S426" s="78"/>
      <c r="T426" s="78"/>
      <c r="U426" s="78"/>
      <c r="V426" s="78"/>
    </row>
    <row r="427" spans="1:22" x14ac:dyDescent="0.25">
      <c r="A427" s="78"/>
      <c r="B427" s="78"/>
      <c r="C427" s="78"/>
      <c r="D427" s="78"/>
      <c r="E427" s="78"/>
      <c r="F427" s="76"/>
      <c r="G427" s="78"/>
      <c r="H427" s="78"/>
      <c r="I427" s="78"/>
      <c r="J427" s="77"/>
      <c r="K427" s="78"/>
      <c r="L427" s="78"/>
      <c r="M427" s="78"/>
      <c r="N427" s="76"/>
      <c r="O427" s="78"/>
      <c r="P427" s="80"/>
      <c r="Q427" s="80"/>
      <c r="R427" s="78"/>
      <c r="S427" s="78"/>
      <c r="T427" s="78"/>
      <c r="U427" s="78"/>
      <c r="V427" s="78"/>
    </row>
    <row r="428" spans="1:22" x14ac:dyDescent="0.25">
      <c r="A428" s="78"/>
      <c r="B428" s="78"/>
      <c r="C428" s="78"/>
      <c r="D428" s="78"/>
      <c r="E428" s="78"/>
      <c r="F428" s="76"/>
      <c r="G428" s="78"/>
      <c r="H428" s="78"/>
      <c r="I428" s="78"/>
      <c r="J428" s="77"/>
      <c r="K428" s="78"/>
      <c r="L428" s="78"/>
      <c r="M428" s="78"/>
      <c r="N428" s="76"/>
      <c r="O428" s="78"/>
      <c r="P428" s="80"/>
      <c r="Q428" s="80"/>
      <c r="R428" s="78"/>
      <c r="S428" s="78"/>
      <c r="T428" s="78"/>
      <c r="U428" s="78"/>
      <c r="V428" s="78"/>
    </row>
    <row r="429" spans="1:22" x14ac:dyDescent="0.25">
      <c r="A429" s="78"/>
      <c r="B429" s="78"/>
      <c r="C429" s="78"/>
      <c r="D429" s="78"/>
      <c r="E429" s="78"/>
      <c r="F429" s="76"/>
      <c r="G429" s="78"/>
      <c r="H429" s="78"/>
      <c r="I429" s="78"/>
      <c r="J429" s="77"/>
      <c r="K429" s="78"/>
      <c r="L429" s="78"/>
      <c r="M429" s="78"/>
      <c r="N429" s="76"/>
      <c r="O429" s="78"/>
      <c r="P429" s="80"/>
      <c r="Q429" s="80"/>
      <c r="R429" s="78"/>
      <c r="S429" s="78"/>
      <c r="T429" s="78"/>
      <c r="U429" s="78"/>
      <c r="V429" s="78"/>
    </row>
    <row r="430" spans="1:22" x14ac:dyDescent="0.25">
      <c r="A430" s="78"/>
      <c r="B430" s="78"/>
      <c r="C430" s="78"/>
      <c r="D430" s="78"/>
      <c r="E430" s="78"/>
      <c r="F430" s="76"/>
      <c r="G430" s="78"/>
      <c r="H430" s="78"/>
      <c r="I430" s="78"/>
      <c r="J430" s="77"/>
      <c r="K430" s="78"/>
      <c r="L430" s="78"/>
      <c r="M430" s="78"/>
      <c r="N430" s="76"/>
      <c r="O430" s="78"/>
      <c r="P430" s="80"/>
      <c r="Q430" s="80"/>
      <c r="R430" s="78"/>
      <c r="S430" s="78"/>
      <c r="T430" s="78"/>
      <c r="U430" s="78"/>
      <c r="V430" s="78"/>
    </row>
    <row r="431" spans="1:22" x14ac:dyDescent="0.25">
      <c r="A431" s="78"/>
      <c r="B431" s="78"/>
      <c r="C431" s="78"/>
      <c r="D431" s="78"/>
      <c r="E431" s="78"/>
      <c r="F431" s="76"/>
      <c r="G431" s="78"/>
      <c r="H431" s="78"/>
      <c r="I431" s="78"/>
      <c r="J431" s="77"/>
      <c r="K431" s="78"/>
      <c r="L431" s="78"/>
      <c r="M431" s="78"/>
      <c r="N431" s="76"/>
      <c r="O431" s="78"/>
      <c r="P431" s="80"/>
      <c r="Q431" s="80"/>
      <c r="R431" s="78"/>
      <c r="S431" s="78"/>
      <c r="T431" s="78"/>
      <c r="U431" s="78"/>
      <c r="V431" s="78"/>
    </row>
    <row r="432" spans="1:22" x14ac:dyDescent="0.25">
      <c r="A432" s="78"/>
      <c r="B432" s="78"/>
      <c r="C432" s="78"/>
      <c r="D432" s="78"/>
      <c r="E432" s="78"/>
      <c r="F432" s="76"/>
      <c r="G432" s="78"/>
      <c r="H432" s="78"/>
      <c r="I432" s="78"/>
      <c r="J432" s="77"/>
      <c r="K432" s="78"/>
      <c r="L432" s="78"/>
      <c r="M432" s="78"/>
      <c r="N432" s="76"/>
      <c r="O432" s="78"/>
      <c r="P432" s="80"/>
      <c r="Q432" s="80"/>
      <c r="R432" s="78"/>
      <c r="S432" s="78"/>
      <c r="T432" s="78"/>
      <c r="U432" s="78"/>
      <c r="V432" s="78"/>
    </row>
    <row r="433" spans="1:22" x14ac:dyDescent="0.25">
      <c r="A433" s="78"/>
      <c r="B433" s="78"/>
      <c r="C433" s="78"/>
      <c r="D433" s="78"/>
      <c r="E433" s="78"/>
      <c r="F433" s="76"/>
      <c r="G433" s="78"/>
      <c r="H433" s="78"/>
      <c r="I433" s="78"/>
      <c r="J433" s="77"/>
      <c r="K433" s="78"/>
      <c r="L433" s="78"/>
      <c r="M433" s="78"/>
      <c r="N433" s="76"/>
      <c r="O433" s="78"/>
      <c r="P433" s="80"/>
      <c r="Q433" s="80"/>
      <c r="R433" s="78"/>
      <c r="S433" s="78"/>
      <c r="T433" s="78"/>
      <c r="U433" s="78"/>
      <c r="V433" s="78"/>
    </row>
    <row r="434" spans="1:22" x14ac:dyDescent="0.25">
      <c r="A434" s="78"/>
      <c r="B434" s="78"/>
      <c r="C434" s="78"/>
      <c r="D434" s="78"/>
      <c r="E434" s="78"/>
      <c r="F434" s="76"/>
      <c r="G434" s="78"/>
      <c r="H434" s="78"/>
      <c r="I434" s="78"/>
      <c r="J434" s="77"/>
      <c r="K434" s="78"/>
      <c r="L434" s="78"/>
      <c r="M434" s="78"/>
      <c r="N434" s="76"/>
      <c r="O434" s="78"/>
      <c r="P434" s="80"/>
      <c r="Q434" s="80"/>
      <c r="R434" s="78"/>
      <c r="S434" s="78"/>
      <c r="T434" s="78"/>
      <c r="U434" s="78"/>
      <c r="V434" s="78"/>
    </row>
    <row r="435" spans="1:22" x14ac:dyDescent="0.25">
      <c r="A435" s="78"/>
      <c r="B435" s="78"/>
      <c r="C435" s="78"/>
      <c r="D435" s="78"/>
      <c r="E435" s="78"/>
      <c r="F435" s="76"/>
      <c r="G435" s="78"/>
      <c r="H435" s="78"/>
      <c r="I435" s="78"/>
      <c r="J435" s="77"/>
      <c r="K435" s="78"/>
      <c r="L435" s="78"/>
      <c r="M435" s="78"/>
      <c r="N435" s="76"/>
      <c r="O435" s="78"/>
      <c r="P435" s="80"/>
      <c r="Q435" s="80"/>
      <c r="R435" s="78"/>
      <c r="S435" s="78"/>
      <c r="T435" s="78"/>
      <c r="U435" s="78"/>
      <c r="V435" s="78"/>
    </row>
    <row r="436" spans="1:22" x14ac:dyDescent="0.25">
      <c r="A436" s="78"/>
      <c r="B436" s="78"/>
      <c r="C436" s="78"/>
      <c r="D436" s="78"/>
      <c r="E436" s="78"/>
      <c r="F436" s="76"/>
      <c r="G436" s="78"/>
      <c r="H436" s="78"/>
      <c r="I436" s="78"/>
      <c r="J436" s="77"/>
      <c r="K436" s="78"/>
      <c r="L436" s="78"/>
      <c r="M436" s="78"/>
      <c r="N436" s="76"/>
      <c r="O436" s="78"/>
      <c r="P436" s="80"/>
      <c r="Q436" s="80"/>
      <c r="R436" s="78"/>
      <c r="S436" s="78"/>
      <c r="T436" s="78"/>
      <c r="U436" s="78"/>
      <c r="V436" s="78"/>
    </row>
    <row r="437" spans="1:22" x14ac:dyDescent="0.25">
      <c r="A437" s="78"/>
      <c r="B437" s="78"/>
      <c r="C437" s="78"/>
      <c r="D437" s="78"/>
      <c r="E437" s="78"/>
      <c r="F437" s="76"/>
      <c r="G437" s="78"/>
      <c r="H437" s="78"/>
      <c r="I437" s="78"/>
      <c r="J437" s="77"/>
      <c r="K437" s="78"/>
      <c r="L437" s="78"/>
      <c r="M437" s="78"/>
      <c r="N437" s="76"/>
      <c r="O437" s="78"/>
      <c r="P437" s="80"/>
      <c r="Q437" s="80"/>
      <c r="R437" s="78"/>
      <c r="S437" s="78"/>
      <c r="T437" s="78"/>
      <c r="U437" s="78"/>
      <c r="V437" s="78"/>
    </row>
    <row r="438" spans="1:22" x14ac:dyDescent="0.25">
      <c r="A438" s="78"/>
      <c r="B438" s="78"/>
      <c r="C438" s="78"/>
      <c r="D438" s="78"/>
      <c r="E438" s="78"/>
      <c r="F438" s="76"/>
      <c r="G438" s="78"/>
      <c r="H438" s="78"/>
      <c r="I438" s="78"/>
      <c r="J438" s="77"/>
      <c r="K438" s="78"/>
      <c r="L438" s="78"/>
      <c r="M438" s="78"/>
      <c r="N438" s="76"/>
      <c r="O438" s="78"/>
      <c r="P438" s="80"/>
      <c r="Q438" s="80"/>
      <c r="R438" s="78"/>
      <c r="S438" s="78"/>
      <c r="T438" s="78"/>
      <c r="U438" s="78"/>
      <c r="V438" s="78"/>
    </row>
    <row r="439" spans="1:22" x14ac:dyDescent="0.25">
      <c r="A439" s="78"/>
      <c r="B439" s="78"/>
      <c r="C439" s="78"/>
      <c r="D439" s="78"/>
      <c r="E439" s="78"/>
      <c r="F439" s="76"/>
      <c r="G439" s="78"/>
      <c r="H439" s="78"/>
      <c r="I439" s="78"/>
      <c r="J439" s="77"/>
      <c r="K439" s="78"/>
      <c r="L439" s="78"/>
      <c r="M439" s="78"/>
      <c r="N439" s="76"/>
      <c r="O439" s="78"/>
      <c r="P439" s="80"/>
      <c r="Q439" s="80"/>
      <c r="R439" s="78"/>
      <c r="S439" s="78"/>
      <c r="T439" s="78"/>
      <c r="U439" s="78"/>
      <c r="V439" s="78"/>
    </row>
    <row r="440" spans="1:22" x14ac:dyDescent="0.25">
      <c r="A440" s="78"/>
      <c r="B440" s="78"/>
      <c r="C440" s="78"/>
      <c r="D440" s="78"/>
      <c r="E440" s="78"/>
      <c r="F440" s="76"/>
      <c r="G440" s="78"/>
      <c r="H440" s="78"/>
      <c r="I440" s="78"/>
      <c r="J440" s="77"/>
      <c r="K440" s="78"/>
      <c r="L440" s="78"/>
      <c r="M440" s="78"/>
      <c r="N440" s="76"/>
      <c r="O440" s="78"/>
      <c r="P440" s="80"/>
      <c r="Q440" s="80"/>
      <c r="R440" s="78"/>
      <c r="S440" s="78"/>
      <c r="T440" s="78"/>
      <c r="U440" s="78"/>
      <c r="V440" s="78"/>
    </row>
    <row r="441" spans="1:22" x14ac:dyDescent="0.25">
      <c r="A441" s="78"/>
      <c r="B441" s="78"/>
      <c r="C441" s="78"/>
      <c r="D441" s="78"/>
      <c r="E441" s="78"/>
      <c r="F441" s="76"/>
      <c r="G441" s="78"/>
      <c r="H441" s="78"/>
      <c r="I441" s="78"/>
      <c r="J441" s="77"/>
      <c r="K441" s="78"/>
      <c r="L441" s="78"/>
      <c r="M441" s="78"/>
      <c r="N441" s="76"/>
      <c r="O441" s="78"/>
      <c r="P441" s="80"/>
      <c r="Q441" s="80"/>
      <c r="R441" s="78"/>
      <c r="S441" s="78"/>
      <c r="T441" s="78"/>
      <c r="U441" s="78"/>
      <c r="V441" s="78"/>
    </row>
    <row r="442" spans="1:22" x14ac:dyDescent="0.25">
      <c r="A442" s="78"/>
      <c r="B442" s="78"/>
      <c r="C442" s="78"/>
      <c r="D442" s="78"/>
      <c r="E442" s="78"/>
      <c r="F442" s="76"/>
      <c r="G442" s="78"/>
      <c r="H442" s="78"/>
      <c r="I442" s="78"/>
      <c r="J442" s="77"/>
      <c r="K442" s="78"/>
      <c r="L442" s="78"/>
      <c r="M442" s="78"/>
      <c r="N442" s="76"/>
      <c r="O442" s="78"/>
      <c r="P442" s="80"/>
      <c r="Q442" s="80"/>
      <c r="R442" s="78"/>
      <c r="S442" s="78"/>
      <c r="T442" s="78"/>
      <c r="U442" s="78"/>
      <c r="V442" s="78"/>
    </row>
    <row r="443" spans="1:22" x14ac:dyDescent="0.25">
      <c r="A443" s="78"/>
      <c r="B443" s="78"/>
      <c r="C443" s="78"/>
      <c r="D443" s="78"/>
      <c r="E443" s="78"/>
      <c r="F443" s="76"/>
      <c r="G443" s="78"/>
      <c r="H443" s="78"/>
      <c r="I443" s="78"/>
      <c r="J443" s="77"/>
      <c r="K443" s="78"/>
      <c r="L443" s="78"/>
      <c r="M443" s="78"/>
      <c r="N443" s="76"/>
      <c r="O443" s="78"/>
      <c r="P443" s="80"/>
      <c r="Q443" s="80"/>
      <c r="R443" s="78"/>
      <c r="S443" s="78"/>
      <c r="T443" s="78"/>
      <c r="U443" s="78"/>
      <c r="V443" s="78"/>
    </row>
    <row r="444" spans="1:22" x14ac:dyDescent="0.25">
      <c r="A444" s="78"/>
      <c r="B444" s="78"/>
      <c r="C444" s="78"/>
      <c r="D444" s="78"/>
      <c r="E444" s="78"/>
      <c r="F444" s="76"/>
      <c r="G444" s="78"/>
      <c r="H444" s="78"/>
      <c r="I444" s="78"/>
      <c r="J444" s="77"/>
      <c r="K444" s="78"/>
      <c r="L444" s="78"/>
      <c r="M444" s="78"/>
      <c r="N444" s="76"/>
      <c r="O444" s="78"/>
      <c r="P444" s="80"/>
      <c r="Q444" s="80"/>
      <c r="R444" s="78"/>
      <c r="S444" s="78"/>
      <c r="T444" s="78"/>
      <c r="U444" s="78"/>
      <c r="V444" s="78"/>
    </row>
    <row r="445" spans="1:22" x14ac:dyDescent="0.25">
      <c r="A445" s="78"/>
      <c r="B445" s="78"/>
      <c r="C445" s="78"/>
      <c r="D445" s="78"/>
      <c r="E445" s="78"/>
      <c r="F445" s="76"/>
      <c r="G445" s="78"/>
      <c r="H445" s="78"/>
      <c r="I445" s="78"/>
      <c r="J445" s="77"/>
      <c r="K445" s="78"/>
      <c r="L445" s="78"/>
      <c r="M445" s="78"/>
      <c r="N445" s="76"/>
      <c r="O445" s="78"/>
      <c r="P445" s="80"/>
      <c r="Q445" s="80"/>
      <c r="R445" s="78"/>
      <c r="S445" s="78"/>
      <c r="T445" s="78"/>
      <c r="U445" s="78"/>
      <c r="V445" s="78"/>
    </row>
    <row r="446" spans="1:22" x14ac:dyDescent="0.25">
      <c r="A446" s="78"/>
      <c r="B446" s="78"/>
      <c r="C446" s="78"/>
      <c r="D446" s="78"/>
      <c r="E446" s="78"/>
      <c r="F446" s="76"/>
      <c r="G446" s="78"/>
      <c r="H446" s="78"/>
      <c r="I446" s="78"/>
      <c r="J446" s="77"/>
      <c r="K446" s="78"/>
      <c r="L446" s="78"/>
      <c r="M446" s="78"/>
      <c r="N446" s="76"/>
      <c r="O446" s="78"/>
      <c r="P446" s="80"/>
      <c r="Q446" s="80"/>
      <c r="R446" s="78"/>
      <c r="S446" s="78"/>
      <c r="T446" s="78"/>
      <c r="U446" s="78"/>
      <c r="V446" s="78"/>
    </row>
    <row r="447" spans="1:22" x14ac:dyDescent="0.25">
      <c r="A447" s="78"/>
      <c r="B447" s="78"/>
      <c r="C447" s="78"/>
      <c r="D447" s="78"/>
      <c r="E447" s="78"/>
      <c r="F447" s="76"/>
      <c r="G447" s="78"/>
      <c r="H447" s="78"/>
      <c r="I447" s="78"/>
      <c r="J447" s="77"/>
      <c r="K447" s="78"/>
      <c r="L447" s="78"/>
      <c r="M447" s="78"/>
      <c r="N447" s="76"/>
      <c r="O447" s="78"/>
      <c r="P447" s="80"/>
      <c r="Q447" s="80"/>
      <c r="R447" s="78"/>
      <c r="S447" s="78"/>
      <c r="T447" s="78"/>
      <c r="U447" s="78"/>
      <c r="V447" s="78"/>
    </row>
    <row r="448" spans="1:22" x14ac:dyDescent="0.25">
      <c r="A448" s="78"/>
      <c r="B448" s="78"/>
      <c r="C448" s="78"/>
      <c r="D448" s="78"/>
      <c r="E448" s="78"/>
      <c r="F448" s="76"/>
      <c r="G448" s="78"/>
      <c r="H448" s="78"/>
      <c r="I448" s="78"/>
      <c r="J448" s="77"/>
      <c r="K448" s="78"/>
      <c r="L448" s="78"/>
      <c r="M448" s="78"/>
      <c r="N448" s="76"/>
      <c r="O448" s="78"/>
      <c r="P448" s="80"/>
      <c r="Q448" s="80"/>
      <c r="R448" s="78"/>
      <c r="S448" s="78"/>
      <c r="T448" s="78"/>
      <c r="U448" s="78"/>
      <c r="V448" s="78"/>
    </row>
    <row r="449" spans="1:22" x14ac:dyDescent="0.25">
      <c r="A449" s="78"/>
      <c r="B449" s="78"/>
      <c r="C449" s="78"/>
      <c r="D449" s="78"/>
      <c r="E449" s="78"/>
      <c r="F449" s="76"/>
      <c r="G449" s="78"/>
      <c r="H449" s="78"/>
      <c r="I449" s="78"/>
      <c r="J449" s="77"/>
      <c r="K449" s="78"/>
      <c r="L449" s="78"/>
      <c r="M449" s="78"/>
      <c r="N449" s="76"/>
      <c r="O449" s="78"/>
      <c r="P449" s="80"/>
      <c r="Q449" s="80"/>
      <c r="R449" s="78"/>
      <c r="S449" s="78"/>
      <c r="T449" s="78"/>
      <c r="U449" s="78"/>
      <c r="V449" s="78"/>
    </row>
    <row r="450" spans="1:22" x14ac:dyDescent="0.25">
      <c r="A450" s="78"/>
      <c r="B450" s="78"/>
      <c r="C450" s="78"/>
      <c r="D450" s="78"/>
      <c r="E450" s="78"/>
      <c r="F450" s="76"/>
      <c r="G450" s="78"/>
      <c r="H450" s="78"/>
      <c r="I450" s="78"/>
      <c r="J450" s="77"/>
      <c r="K450" s="78"/>
      <c r="L450" s="78"/>
      <c r="M450" s="78"/>
      <c r="N450" s="76"/>
      <c r="O450" s="78"/>
      <c r="P450" s="80"/>
      <c r="Q450" s="80"/>
      <c r="R450" s="78"/>
      <c r="S450" s="78"/>
      <c r="T450" s="78"/>
      <c r="U450" s="78"/>
      <c r="V450" s="78"/>
    </row>
    <row r="451" spans="1:22" x14ac:dyDescent="0.25">
      <c r="A451" s="78"/>
      <c r="B451" s="78"/>
      <c r="C451" s="78"/>
      <c r="D451" s="78"/>
      <c r="E451" s="78"/>
      <c r="F451" s="76"/>
      <c r="G451" s="78"/>
      <c r="H451" s="78"/>
      <c r="I451" s="78"/>
      <c r="J451" s="77"/>
      <c r="K451" s="78"/>
      <c r="L451" s="78"/>
      <c r="M451" s="78"/>
      <c r="N451" s="76"/>
      <c r="O451" s="78"/>
      <c r="P451" s="80"/>
      <c r="Q451" s="80"/>
      <c r="R451" s="78"/>
      <c r="S451" s="78"/>
      <c r="T451" s="78"/>
      <c r="U451" s="78"/>
      <c r="V451" s="78"/>
    </row>
    <row r="452" spans="1:22" x14ac:dyDescent="0.25">
      <c r="A452" s="78"/>
      <c r="B452" s="78"/>
      <c r="C452" s="78"/>
      <c r="D452" s="78"/>
      <c r="E452" s="78"/>
      <c r="F452" s="76"/>
      <c r="G452" s="78"/>
      <c r="H452" s="78"/>
      <c r="I452" s="78"/>
      <c r="J452" s="77"/>
      <c r="K452" s="78"/>
      <c r="L452" s="78"/>
      <c r="M452" s="78"/>
      <c r="N452" s="76"/>
      <c r="O452" s="78"/>
      <c r="P452" s="80"/>
      <c r="Q452" s="80"/>
      <c r="R452" s="78"/>
      <c r="S452" s="78"/>
      <c r="T452" s="78"/>
      <c r="U452" s="78"/>
      <c r="V452" s="78"/>
    </row>
    <row r="453" spans="1:22" x14ac:dyDescent="0.25">
      <c r="A453" s="78"/>
      <c r="B453" s="78"/>
      <c r="C453" s="78"/>
      <c r="D453" s="78"/>
      <c r="E453" s="78"/>
      <c r="F453" s="76"/>
      <c r="G453" s="78"/>
      <c r="H453" s="78"/>
      <c r="I453" s="78"/>
      <c r="J453" s="77"/>
      <c r="K453" s="78"/>
      <c r="L453" s="78"/>
      <c r="M453" s="78"/>
      <c r="N453" s="76"/>
      <c r="O453" s="78"/>
      <c r="P453" s="80"/>
      <c r="Q453" s="80"/>
      <c r="R453" s="78"/>
      <c r="S453" s="78"/>
      <c r="T453" s="78"/>
      <c r="U453" s="78"/>
      <c r="V453" s="78"/>
    </row>
    <row r="454" spans="1:22" x14ac:dyDescent="0.25">
      <c r="A454" s="78"/>
      <c r="B454" s="78"/>
      <c r="C454" s="78"/>
      <c r="D454" s="78"/>
      <c r="E454" s="78"/>
      <c r="F454" s="76"/>
      <c r="G454" s="78"/>
      <c r="H454" s="78"/>
      <c r="I454" s="78"/>
      <c r="J454" s="77"/>
      <c r="K454" s="78"/>
      <c r="L454" s="78"/>
      <c r="M454" s="78"/>
      <c r="N454" s="76"/>
      <c r="O454" s="78"/>
      <c r="P454" s="80"/>
      <c r="Q454" s="80"/>
      <c r="R454" s="78"/>
      <c r="S454" s="78"/>
      <c r="T454" s="78"/>
      <c r="U454" s="78"/>
      <c r="V454" s="78"/>
    </row>
    <row r="455" spans="1:22" x14ac:dyDescent="0.25">
      <c r="A455" s="78"/>
      <c r="B455" s="78"/>
      <c r="C455" s="78"/>
      <c r="D455" s="78"/>
      <c r="E455" s="78"/>
      <c r="F455" s="76"/>
      <c r="G455" s="78"/>
      <c r="H455" s="78"/>
      <c r="I455" s="78"/>
      <c r="J455" s="77"/>
      <c r="K455" s="78"/>
      <c r="L455" s="78"/>
      <c r="M455" s="78"/>
      <c r="N455" s="76"/>
      <c r="O455" s="78"/>
      <c r="P455" s="80"/>
      <c r="Q455" s="80"/>
      <c r="R455" s="78"/>
      <c r="S455" s="78"/>
      <c r="T455" s="78"/>
      <c r="U455" s="78"/>
      <c r="V455" s="78"/>
    </row>
    <row r="456" spans="1:22" x14ac:dyDescent="0.25">
      <c r="A456" s="78"/>
      <c r="B456" s="78"/>
      <c r="C456" s="78"/>
      <c r="D456" s="78"/>
      <c r="E456" s="78"/>
      <c r="F456" s="76"/>
      <c r="G456" s="78"/>
      <c r="H456" s="78"/>
      <c r="I456" s="78"/>
      <c r="J456" s="77"/>
      <c r="K456" s="78"/>
      <c r="L456" s="78"/>
      <c r="M456" s="78"/>
      <c r="N456" s="76"/>
      <c r="O456" s="78"/>
      <c r="P456" s="80"/>
      <c r="Q456" s="80"/>
      <c r="R456" s="78"/>
      <c r="S456" s="78"/>
      <c r="T456" s="78"/>
      <c r="U456" s="78"/>
      <c r="V456" s="78"/>
    </row>
    <row r="457" spans="1:22" x14ac:dyDescent="0.25">
      <c r="A457" s="78"/>
      <c r="B457" s="78"/>
      <c r="C457" s="78"/>
      <c r="D457" s="78"/>
      <c r="E457" s="78"/>
      <c r="F457" s="76"/>
      <c r="G457" s="78"/>
      <c r="H457" s="78"/>
      <c r="I457" s="78"/>
      <c r="J457" s="77"/>
      <c r="K457" s="78"/>
      <c r="L457" s="78"/>
      <c r="M457" s="78"/>
      <c r="N457" s="76"/>
      <c r="O457" s="78"/>
      <c r="P457" s="80"/>
      <c r="Q457" s="80"/>
      <c r="R457" s="78"/>
      <c r="S457" s="78"/>
      <c r="T457" s="78"/>
      <c r="U457" s="78"/>
      <c r="V457" s="78"/>
    </row>
    <row r="458" spans="1:22" x14ac:dyDescent="0.25">
      <c r="A458" s="78"/>
      <c r="B458" s="78"/>
      <c r="C458" s="78"/>
      <c r="D458" s="78"/>
      <c r="E458" s="78"/>
      <c r="F458" s="76"/>
      <c r="G458" s="78"/>
      <c r="H458" s="78"/>
      <c r="I458" s="78"/>
      <c r="J458" s="77"/>
      <c r="K458" s="78"/>
      <c r="L458" s="78"/>
      <c r="M458" s="78"/>
      <c r="N458" s="76"/>
      <c r="O458" s="78"/>
      <c r="P458" s="80"/>
      <c r="Q458" s="80"/>
      <c r="R458" s="78"/>
      <c r="S458" s="78"/>
      <c r="T458" s="78"/>
      <c r="U458" s="78"/>
      <c r="V458" s="78"/>
    </row>
    <row r="459" spans="1:22" x14ac:dyDescent="0.25">
      <c r="A459" s="78"/>
      <c r="B459" s="78"/>
      <c r="C459" s="78"/>
      <c r="D459" s="78"/>
      <c r="E459" s="78"/>
      <c r="F459" s="76"/>
      <c r="G459" s="78"/>
      <c r="H459" s="78"/>
      <c r="I459" s="78"/>
      <c r="J459" s="77"/>
      <c r="K459" s="78"/>
      <c r="L459" s="78"/>
      <c r="M459" s="78"/>
      <c r="N459" s="76"/>
      <c r="O459" s="78"/>
      <c r="P459" s="80"/>
      <c r="Q459" s="80"/>
      <c r="R459" s="78"/>
      <c r="S459" s="78"/>
      <c r="T459" s="78"/>
      <c r="U459" s="78"/>
      <c r="V459" s="78"/>
    </row>
    <row r="460" spans="1:22" x14ac:dyDescent="0.25">
      <c r="A460" s="78"/>
      <c r="B460" s="78"/>
      <c r="C460" s="78"/>
      <c r="D460" s="78"/>
      <c r="E460" s="78"/>
      <c r="F460" s="76"/>
      <c r="G460" s="78"/>
      <c r="H460" s="78"/>
      <c r="I460" s="78"/>
      <c r="J460" s="77"/>
      <c r="K460" s="78"/>
      <c r="L460" s="78"/>
      <c r="M460" s="78"/>
      <c r="N460" s="76"/>
      <c r="O460" s="78"/>
      <c r="P460" s="80"/>
      <c r="Q460" s="80"/>
      <c r="R460" s="78"/>
      <c r="S460" s="78"/>
      <c r="T460" s="78"/>
      <c r="U460" s="78"/>
      <c r="V460" s="78"/>
    </row>
    <row r="461" spans="1:22" x14ac:dyDescent="0.25">
      <c r="A461" s="78"/>
      <c r="B461" s="78"/>
      <c r="C461" s="78"/>
      <c r="D461" s="78"/>
      <c r="E461" s="78"/>
      <c r="F461" s="76"/>
      <c r="G461" s="78"/>
      <c r="H461" s="78"/>
      <c r="I461" s="78"/>
      <c r="J461" s="77"/>
      <c r="K461" s="78"/>
      <c r="L461" s="78"/>
      <c r="M461" s="78"/>
      <c r="N461" s="76"/>
      <c r="O461" s="78"/>
      <c r="P461" s="80"/>
      <c r="Q461" s="80"/>
      <c r="R461" s="78"/>
      <c r="S461" s="78"/>
      <c r="T461" s="78"/>
      <c r="U461" s="78"/>
      <c r="V461" s="78"/>
    </row>
    <row r="462" spans="1:22" x14ac:dyDescent="0.25">
      <c r="A462" s="78"/>
      <c r="B462" s="78"/>
      <c r="C462" s="78"/>
      <c r="D462" s="78"/>
      <c r="E462" s="78"/>
      <c r="F462" s="76"/>
      <c r="G462" s="78"/>
      <c r="H462" s="78"/>
      <c r="I462" s="78"/>
      <c r="J462" s="77"/>
      <c r="K462" s="78"/>
      <c r="L462" s="78"/>
      <c r="M462" s="78"/>
      <c r="N462" s="76"/>
      <c r="O462" s="78"/>
      <c r="P462" s="80"/>
      <c r="Q462" s="80"/>
      <c r="R462" s="78"/>
      <c r="S462" s="78"/>
      <c r="T462" s="78"/>
      <c r="U462" s="78"/>
      <c r="V462" s="78"/>
    </row>
    <row r="463" spans="1:22" x14ac:dyDescent="0.25">
      <c r="A463" s="78"/>
      <c r="B463" s="78"/>
      <c r="C463" s="78"/>
      <c r="D463" s="78"/>
      <c r="E463" s="78"/>
      <c r="F463" s="76"/>
      <c r="G463" s="78"/>
      <c r="H463" s="78"/>
      <c r="I463" s="78"/>
      <c r="J463" s="77"/>
      <c r="K463" s="78"/>
      <c r="L463" s="78"/>
      <c r="M463" s="78"/>
      <c r="N463" s="76"/>
      <c r="O463" s="78"/>
      <c r="P463" s="80"/>
      <c r="Q463" s="80"/>
      <c r="R463" s="78"/>
      <c r="S463" s="78"/>
      <c r="T463" s="78"/>
      <c r="U463" s="78"/>
      <c r="V463" s="78"/>
    </row>
    <row r="464" spans="1:22" x14ac:dyDescent="0.25">
      <c r="A464" s="78"/>
      <c r="B464" s="78"/>
      <c r="C464" s="78"/>
      <c r="D464" s="78"/>
      <c r="E464" s="78"/>
      <c r="F464" s="76"/>
      <c r="G464" s="78"/>
      <c r="H464" s="78"/>
      <c r="I464" s="78"/>
      <c r="J464" s="77"/>
      <c r="K464" s="78"/>
      <c r="L464" s="78"/>
      <c r="M464" s="78"/>
      <c r="N464" s="76"/>
      <c r="O464" s="78"/>
      <c r="P464" s="80"/>
      <c r="Q464" s="80"/>
      <c r="R464" s="78"/>
      <c r="S464" s="78"/>
      <c r="T464" s="78"/>
      <c r="U464" s="78"/>
      <c r="V464" s="78"/>
    </row>
    <row r="465" spans="1:22" x14ac:dyDescent="0.25">
      <c r="A465" s="78"/>
      <c r="B465" s="78"/>
      <c r="C465" s="78"/>
      <c r="D465" s="78"/>
      <c r="E465" s="78"/>
      <c r="F465" s="76"/>
      <c r="G465" s="78"/>
      <c r="H465" s="78"/>
      <c r="I465" s="78"/>
      <c r="J465" s="77"/>
      <c r="K465" s="78"/>
      <c r="L465" s="78"/>
      <c r="M465" s="78"/>
      <c r="N465" s="76"/>
      <c r="O465" s="78"/>
      <c r="P465" s="80"/>
      <c r="Q465" s="80"/>
      <c r="R465" s="78"/>
      <c r="S465" s="78"/>
      <c r="T465" s="78"/>
      <c r="U465" s="78"/>
      <c r="V465" s="78"/>
    </row>
    <row r="466" spans="1:22" x14ac:dyDescent="0.25">
      <c r="A466" s="78"/>
      <c r="B466" s="78"/>
      <c r="C466" s="78"/>
      <c r="D466" s="78"/>
      <c r="E466" s="78"/>
      <c r="F466" s="76"/>
      <c r="G466" s="78"/>
      <c r="H466" s="78"/>
      <c r="I466" s="78"/>
      <c r="J466" s="77"/>
      <c r="K466" s="78"/>
      <c r="L466" s="78"/>
      <c r="M466" s="78"/>
      <c r="N466" s="76"/>
      <c r="O466" s="78"/>
      <c r="P466" s="80"/>
      <c r="Q466" s="80"/>
      <c r="R466" s="78"/>
      <c r="S466" s="78"/>
      <c r="T466" s="78"/>
      <c r="U466" s="78"/>
      <c r="V466" s="78"/>
    </row>
    <row r="467" spans="1:22" x14ac:dyDescent="0.25">
      <c r="A467" s="78"/>
      <c r="B467" s="78"/>
      <c r="C467" s="78"/>
      <c r="D467" s="78"/>
      <c r="E467" s="78"/>
      <c r="F467" s="76"/>
      <c r="G467" s="78"/>
      <c r="H467" s="78"/>
      <c r="I467" s="78"/>
      <c r="J467" s="77"/>
      <c r="K467" s="78"/>
      <c r="L467" s="78"/>
      <c r="M467" s="78"/>
      <c r="N467" s="76"/>
      <c r="O467" s="78"/>
      <c r="P467" s="80"/>
      <c r="Q467" s="80"/>
      <c r="R467" s="78"/>
      <c r="S467" s="78"/>
      <c r="T467" s="78"/>
      <c r="U467" s="78"/>
      <c r="V467" s="78"/>
    </row>
    <row r="468" spans="1:22" x14ac:dyDescent="0.25">
      <c r="A468" s="78"/>
      <c r="B468" s="78"/>
      <c r="C468" s="78"/>
      <c r="D468" s="78"/>
      <c r="E468" s="78"/>
      <c r="F468" s="76"/>
      <c r="G468" s="78"/>
      <c r="H468" s="78"/>
      <c r="I468" s="78"/>
      <c r="J468" s="77"/>
      <c r="K468" s="78"/>
      <c r="L468" s="78"/>
      <c r="M468" s="78"/>
      <c r="N468" s="76"/>
      <c r="O468" s="78"/>
      <c r="P468" s="80"/>
      <c r="Q468" s="80"/>
      <c r="R468" s="78"/>
      <c r="S468" s="78"/>
      <c r="T468" s="78"/>
      <c r="U468" s="78"/>
      <c r="V468" s="78"/>
    </row>
    <row r="469" spans="1:22" x14ac:dyDescent="0.25">
      <c r="A469" s="78"/>
      <c r="B469" s="78"/>
      <c r="C469" s="78"/>
      <c r="D469" s="78"/>
      <c r="E469" s="78"/>
      <c r="F469" s="76"/>
      <c r="G469" s="78"/>
      <c r="H469" s="78"/>
      <c r="I469" s="78"/>
      <c r="J469" s="77"/>
      <c r="K469" s="78"/>
      <c r="L469" s="78"/>
      <c r="M469" s="78"/>
      <c r="N469" s="76"/>
      <c r="O469" s="78"/>
      <c r="P469" s="80"/>
      <c r="Q469" s="80"/>
      <c r="R469" s="78"/>
      <c r="S469" s="78"/>
      <c r="T469" s="78"/>
      <c r="U469" s="78"/>
      <c r="V469" s="78"/>
    </row>
    <row r="470" spans="1:22" x14ac:dyDescent="0.25">
      <c r="A470" s="78"/>
      <c r="B470" s="78"/>
      <c r="C470" s="78"/>
      <c r="D470" s="78"/>
      <c r="E470" s="78"/>
      <c r="F470" s="76"/>
      <c r="G470" s="78"/>
      <c r="H470" s="78"/>
      <c r="I470" s="78"/>
      <c r="J470" s="77"/>
      <c r="K470" s="78"/>
      <c r="L470" s="78"/>
      <c r="M470" s="78"/>
      <c r="N470" s="76"/>
      <c r="O470" s="78"/>
      <c r="P470" s="80"/>
      <c r="Q470" s="80"/>
      <c r="R470" s="78"/>
      <c r="S470" s="78"/>
      <c r="T470" s="78"/>
      <c r="U470" s="78"/>
      <c r="V470" s="78"/>
    </row>
    <row r="471" spans="1:22" x14ac:dyDescent="0.25">
      <c r="A471" s="78"/>
      <c r="B471" s="78"/>
      <c r="C471" s="78"/>
      <c r="D471" s="78"/>
      <c r="E471" s="78"/>
      <c r="F471" s="76"/>
      <c r="G471" s="78"/>
      <c r="H471" s="78"/>
      <c r="I471" s="78"/>
      <c r="J471" s="77"/>
      <c r="K471" s="78"/>
      <c r="L471" s="78"/>
      <c r="M471" s="78"/>
      <c r="N471" s="76"/>
      <c r="O471" s="78"/>
      <c r="P471" s="80"/>
      <c r="Q471" s="80"/>
      <c r="R471" s="78"/>
      <c r="S471" s="78"/>
      <c r="T471" s="78"/>
      <c r="U471" s="78"/>
      <c r="V471" s="78"/>
    </row>
    <row r="472" spans="1:22" x14ac:dyDescent="0.25">
      <c r="A472" s="78"/>
      <c r="B472" s="78"/>
      <c r="C472" s="78"/>
      <c r="D472" s="78"/>
      <c r="E472" s="78"/>
      <c r="F472" s="76"/>
      <c r="G472" s="78"/>
      <c r="H472" s="78"/>
      <c r="I472" s="78"/>
      <c r="J472" s="77"/>
      <c r="K472" s="78"/>
      <c r="L472" s="78"/>
      <c r="M472" s="78"/>
      <c r="N472" s="76"/>
      <c r="O472" s="78"/>
      <c r="P472" s="80"/>
      <c r="Q472" s="80"/>
      <c r="R472" s="78"/>
      <c r="S472" s="78"/>
      <c r="T472" s="78"/>
      <c r="U472" s="78"/>
      <c r="V472" s="78"/>
    </row>
    <row r="473" spans="1:22" x14ac:dyDescent="0.25">
      <c r="A473" s="78"/>
      <c r="B473" s="78"/>
      <c r="C473" s="78"/>
      <c r="D473" s="78"/>
      <c r="E473" s="78"/>
      <c r="F473" s="76"/>
      <c r="G473" s="78"/>
      <c r="H473" s="78"/>
      <c r="I473" s="78"/>
      <c r="J473" s="77"/>
      <c r="K473" s="78"/>
      <c r="L473" s="78"/>
      <c r="M473" s="78"/>
      <c r="N473" s="76"/>
      <c r="O473" s="78"/>
      <c r="P473" s="80"/>
      <c r="Q473" s="80"/>
      <c r="R473" s="78"/>
      <c r="S473" s="78"/>
      <c r="T473" s="78"/>
      <c r="U473" s="78"/>
      <c r="V473" s="78"/>
    </row>
    <row r="474" spans="1:22" x14ac:dyDescent="0.25">
      <c r="A474" s="78"/>
      <c r="B474" s="78"/>
      <c r="C474" s="78"/>
      <c r="D474" s="78"/>
      <c r="E474" s="78"/>
      <c r="F474" s="76"/>
      <c r="G474" s="78"/>
      <c r="H474" s="78"/>
      <c r="I474" s="78"/>
      <c r="J474" s="77"/>
      <c r="K474" s="78"/>
      <c r="L474" s="78"/>
      <c r="M474" s="78"/>
      <c r="N474" s="76"/>
      <c r="O474" s="78"/>
      <c r="P474" s="80"/>
      <c r="Q474" s="80"/>
      <c r="R474" s="78"/>
      <c r="S474" s="78"/>
      <c r="T474" s="78"/>
      <c r="U474" s="78"/>
      <c r="V474" s="78"/>
    </row>
    <row r="475" spans="1:22" x14ac:dyDescent="0.25">
      <c r="A475" s="78"/>
      <c r="B475" s="78"/>
      <c r="C475" s="78"/>
      <c r="D475" s="78"/>
      <c r="E475" s="78"/>
      <c r="F475" s="76"/>
      <c r="G475" s="78"/>
      <c r="H475" s="78"/>
      <c r="I475" s="78"/>
      <c r="J475" s="77"/>
      <c r="K475" s="78"/>
      <c r="L475" s="78"/>
      <c r="M475" s="78"/>
      <c r="N475" s="76"/>
      <c r="O475" s="78"/>
      <c r="P475" s="80"/>
      <c r="Q475" s="80"/>
      <c r="R475" s="78"/>
      <c r="S475" s="78"/>
      <c r="T475" s="78"/>
      <c r="U475" s="78"/>
      <c r="V475" s="78"/>
    </row>
    <row r="476" spans="1:22" x14ac:dyDescent="0.25">
      <c r="A476" s="78"/>
      <c r="B476" s="78"/>
      <c r="C476" s="78"/>
      <c r="D476" s="78"/>
      <c r="E476" s="78"/>
      <c r="F476" s="76"/>
      <c r="G476" s="78"/>
      <c r="H476" s="78"/>
      <c r="I476" s="78"/>
      <c r="J476" s="77"/>
      <c r="K476" s="78"/>
      <c r="L476" s="78"/>
      <c r="M476" s="78"/>
      <c r="N476" s="76"/>
      <c r="O476" s="78"/>
      <c r="P476" s="80"/>
      <c r="Q476" s="80"/>
      <c r="R476" s="78"/>
      <c r="S476" s="78"/>
      <c r="T476" s="78"/>
      <c r="U476" s="78"/>
      <c r="V476" s="78"/>
    </row>
    <row r="477" spans="1:22" x14ac:dyDescent="0.25">
      <c r="A477" s="78"/>
      <c r="B477" s="78"/>
      <c r="C477" s="78"/>
      <c r="D477" s="78"/>
      <c r="E477" s="78"/>
      <c r="F477" s="76"/>
      <c r="G477" s="78"/>
      <c r="H477" s="78"/>
      <c r="I477" s="78"/>
      <c r="J477" s="77"/>
      <c r="K477" s="78"/>
      <c r="L477" s="78"/>
      <c r="M477" s="78"/>
      <c r="N477" s="76"/>
      <c r="O477" s="78"/>
      <c r="P477" s="80"/>
      <c r="Q477" s="80"/>
      <c r="R477" s="78"/>
      <c r="S477" s="78"/>
      <c r="T477" s="78"/>
      <c r="U477" s="78"/>
      <c r="V477" s="78"/>
    </row>
    <row r="478" spans="1:22" x14ac:dyDescent="0.25">
      <c r="A478" s="78"/>
      <c r="B478" s="78"/>
      <c r="C478" s="78"/>
      <c r="D478" s="78"/>
      <c r="E478" s="78"/>
      <c r="F478" s="76"/>
      <c r="G478" s="78"/>
      <c r="H478" s="78"/>
      <c r="I478" s="78"/>
      <c r="J478" s="77"/>
      <c r="K478" s="78"/>
      <c r="L478" s="78"/>
      <c r="M478" s="78"/>
      <c r="N478" s="76"/>
      <c r="O478" s="78"/>
      <c r="P478" s="80"/>
      <c r="Q478" s="80"/>
      <c r="R478" s="78"/>
      <c r="S478" s="78"/>
      <c r="T478" s="78"/>
      <c r="U478" s="78"/>
      <c r="V478" s="78"/>
    </row>
    <row r="479" spans="1:22" x14ac:dyDescent="0.25">
      <c r="A479" s="78"/>
      <c r="B479" s="78"/>
      <c r="C479" s="78"/>
      <c r="D479" s="78"/>
      <c r="E479" s="78"/>
      <c r="F479" s="76"/>
      <c r="G479" s="78"/>
      <c r="H479" s="78"/>
      <c r="I479" s="78"/>
      <c r="J479" s="77"/>
      <c r="K479" s="78"/>
      <c r="L479" s="78"/>
      <c r="M479" s="78"/>
      <c r="N479" s="76"/>
      <c r="O479" s="78"/>
      <c r="P479" s="80"/>
      <c r="Q479" s="80"/>
      <c r="R479" s="78"/>
      <c r="S479" s="78"/>
      <c r="T479" s="78"/>
      <c r="U479" s="78"/>
      <c r="V479" s="78"/>
    </row>
    <row r="480" spans="1:22" x14ac:dyDescent="0.25">
      <c r="A480" s="78"/>
      <c r="B480" s="78"/>
      <c r="C480" s="78"/>
      <c r="D480" s="78"/>
      <c r="E480" s="78"/>
      <c r="F480" s="76"/>
      <c r="G480" s="78"/>
      <c r="H480" s="78"/>
      <c r="I480" s="78"/>
      <c r="J480" s="77"/>
      <c r="K480" s="78"/>
      <c r="L480" s="78"/>
      <c r="M480" s="78"/>
      <c r="N480" s="76"/>
      <c r="O480" s="78"/>
      <c r="P480" s="80"/>
      <c r="Q480" s="80"/>
      <c r="R480" s="78"/>
      <c r="S480" s="78"/>
      <c r="T480" s="78"/>
      <c r="U480" s="78"/>
      <c r="V480" s="78"/>
    </row>
    <row r="481" spans="1:22" x14ac:dyDescent="0.25">
      <c r="A481" s="78"/>
      <c r="B481" s="78"/>
      <c r="C481" s="78"/>
      <c r="D481" s="78"/>
      <c r="E481" s="78"/>
      <c r="F481" s="76"/>
      <c r="G481" s="78"/>
      <c r="H481" s="78"/>
      <c r="I481" s="78"/>
      <c r="J481" s="77"/>
      <c r="K481" s="78"/>
      <c r="L481" s="78"/>
      <c r="M481" s="78"/>
      <c r="N481" s="76"/>
      <c r="O481" s="78"/>
      <c r="P481" s="80"/>
      <c r="Q481" s="80"/>
      <c r="R481" s="78"/>
      <c r="S481" s="78"/>
      <c r="T481" s="78"/>
      <c r="U481" s="78"/>
      <c r="V481" s="78"/>
    </row>
    <row r="482" spans="1:22" x14ac:dyDescent="0.25">
      <c r="A482" s="78"/>
      <c r="B482" s="78"/>
      <c r="C482" s="78"/>
      <c r="D482" s="78"/>
      <c r="E482" s="78"/>
      <c r="F482" s="76"/>
      <c r="G482" s="78"/>
      <c r="H482" s="78"/>
      <c r="I482" s="78"/>
      <c r="J482" s="77"/>
      <c r="K482" s="78"/>
      <c r="L482" s="78"/>
      <c r="M482" s="78"/>
      <c r="N482" s="76"/>
      <c r="O482" s="78"/>
      <c r="P482" s="80"/>
      <c r="Q482" s="80"/>
      <c r="R482" s="78"/>
      <c r="S482" s="78"/>
      <c r="T482" s="78"/>
      <c r="U482" s="78"/>
      <c r="V482" s="78"/>
    </row>
    <row r="483" spans="1:22" x14ac:dyDescent="0.25">
      <c r="A483" s="78"/>
      <c r="B483" s="78"/>
      <c r="C483" s="78"/>
      <c r="D483" s="78"/>
      <c r="E483" s="78"/>
      <c r="F483" s="76"/>
      <c r="G483" s="78"/>
      <c r="H483" s="78"/>
      <c r="I483" s="78"/>
      <c r="J483" s="77"/>
      <c r="K483" s="78"/>
      <c r="L483" s="78"/>
      <c r="M483" s="78"/>
      <c r="N483" s="76"/>
      <c r="O483" s="78"/>
      <c r="P483" s="80"/>
      <c r="Q483" s="80"/>
      <c r="R483" s="78"/>
      <c r="S483" s="78"/>
      <c r="T483" s="78"/>
      <c r="U483" s="78"/>
      <c r="V483" s="78"/>
    </row>
    <row r="484" spans="1:22" x14ac:dyDescent="0.25">
      <c r="A484" s="78"/>
      <c r="B484" s="78"/>
      <c r="C484" s="78"/>
      <c r="D484" s="78"/>
      <c r="E484" s="78"/>
      <c r="F484" s="76"/>
      <c r="G484" s="78"/>
      <c r="H484" s="78"/>
      <c r="I484" s="78"/>
      <c r="J484" s="77"/>
      <c r="K484" s="78"/>
      <c r="L484" s="78"/>
      <c r="M484" s="78"/>
      <c r="N484" s="76"/>
      <c r="O484" s="78"/>
      <c r="P484" s="80"/>
      <c r="Q484" s="80"/>
      <c r="R484" s="78"/>
      <c r="S484" s="78"/>
      <c r="T484" s="78"/>
      <c r="U484" s="78"/>
      <c r="V484" s="78"/>
    </row>
    <row r="485" spans="1:22" x14ac:dyDescent="0.25">
      <c r="A485" s="78"/>
      <c r="B485" s="78"/>
      <c r="C485" s="78"/>
      <c r="D485" s="78"/>
      <c r="E485" s="78"/>
      <c r="F485" s="76"/>
      <c r="G485" s="78"/>
      <c r="H485" s="78"/>
      <c r="I485" s="78"/>
      <c r="J485" s="77"/>
      <c r="K485" s="78"/>
      <c r="L485" s="78"/>
      <c r="M485" s="78"/>
      <c r="N485" s="76"/>
      <c r="O485" s="78"/>
      <c r="P485" s="80"/>
      <c r="Q485" s="80"/>
      <c r="R485" s="78"/>
      <c r="S485" s="78"/>
      <c r="T485" s="78"/>
      <c r="U485" s="78"/>
      <c r="V485" s="78"/>
    </row>
    <row r="486" spans="1:22" x14ac:dyDescent="0.25">
      <c r="A486" s="78"/>
      <c r="B486" s="78"/>
      <c r="C486" s="78"/>
      <c r="D486" s="78"/>
      <c r="E486" s="78"/>
      <c r="F486" s="76"/>
      <c r="G486" s="78"/>
      <c r="H486" s="78"/>
      <c r="I486" s="78"/>
      <c r="J486" s="77"/>
      <c r="K486" s="78"/>
      <c r="L486" s="78"/>
      <c r="M486" s="78"/>
      <c r="N486" s="76"/>
      <c r="O486" s="78"/>
      <c r="P486" s="80"/>
      <c r="Q486" s="80"/>
      <c r="R486" s="78"/>
      <c r="S486" s="78"/>
      <c r="T486" s="78"/>
      <c r="U486" s="78"/>
      <c r="V486" s="78"/>
    </row>
    <row r="487" spans="1:22" x14ac:dyDescent="0.25">
      <c r="A487" s="78"/>
      <c r="B487" s="78"/>
      <c r="C487" s="78"/>
      <c r="D487" s="78"/>
      <c r="E487" s="78"/>
      <c r="F487" s="76"/>
      <c r="G487" s="78"/>
      <c r="H487" s="78"/>
      <c r="I487" s="78"/>
      <c r="J487" s="77"/>
      <c r="K487" s="78"/>
      <c r="L487" s="78"/>
      <c r="M487" s="78"/>
      <c r="N487" s="76"/>
      <c r="O487" s="78"/>
      <c r="P487" s="80"/>
      <c r="Q487" s="80"/>
      <c r="R487" s="78"/>
      <c r="S487" s="78"/>
      <c r="T487" s="78"/>
      <c r="U487" s="78"/>
      <c r="V487" s="78"/>
    </row>
    <row r="488" spans="1:22" x14ac:dyDescent="0.25">
      <c r="A488" s="78"/>
      <c r="B488" s="78"/>
      <c r="C488" s="78"/>
      <c r="D488" s="78"/>
      <c r="E488" s="78"/>
      <c r="F488" s="76"/>
      <c r="G488" s="78"/>
      <c r="H488" s="78"/>
      <c r="I488" s="78"/>
      <c r="J488" s="77"/>
      <c r="K488" s="78"/>
      <c r="L488" s="78"/>
      <c r="M488" s="78"/>
      <c r="N488" s="76"/>
      <c r="O488" s="78"/>
      <c r="P488" s="80"/>
      <c r="Q488" s="80"/>
      <c r="R488" s="78"/>
      <c r="S488" s="78"/>
      <c r="T488" s="78"/>
      <c r="U488" s="78"/>
      <c r="V488" s="78"/>
    </row>
    <row r="489" spans="1:22" x14ac:dyDescent="0.25">
      <c r="A489" s="78"/>
      <c r="B489" s="78"/>
      <c r="C489" s="78"/>
      <c r="D489" s="78"/>
      <c r="E489" s="78"/>
      <c r="F489" s="76"/>
      <c r="G489" s="78"/>
      <c r="H489" s="78"/>
      <c r="I489" s="78"/>
      <c r="J489" s="77"/>
      <c r="K489" s="78"/>
      <c r="L489" s="78"/>
      <c r="M489" s="78"/>
      <c r="N489" s="76"/>
      <c r="O489" s="78"/>
      <c r="P489" s="80"/>
      <c r="Q489" s="80"/>
      <c r="R489" s="78"/>
      <c r="S489" s="78"/>
      <c r="T489" s="78"/>
      <c r="U489" s="78"/>
      <c r="V489" s="78"/>
    </row>
    <row r="490" spans="1:22" x14ac:dyDescent="0.25">
      <c r="A490" s="78"/>
      <c r="B490" s="78"/>
      <c r="C490" s="78"/>
      <c r="D490" s="78"/>
      <c r="E490" s="78"/>
      <c r="F490" s="76"/>
      <c r="G490" s="78"/>
      <c r="H490" s="78"/>
      <c r="I490" s="78"/>
      <c r="J490" s="77"/>
      <c r="K490" s="78"/>
      <c r="L490" s="78"/>
      <c r="M490" s="78"/>
      <c r="N490" s="76"/>
      <c r="O490" s="78"/>
      <c r="P490" s="80"/>
      <c r="Q490" s="80"/>
      <c r="R490" s="78"/>
      <c r="S490" s="78"/>
      <c r="T490" s="78"/>
      <c r="U490" s="78"/>
      <c r="V490" s="78"/>
    </row>
    <row r="491" spans="1:22" x14ac:dyDescent="0.25">
      <c r="A491" s="78"/>
      <c r="B491" s="78"/>
      <c r="C491" s="78"/>
      <c r="D491" s="78"/>
      <c r="E491" s="78"/>
      <c r="F491" s="76"/>
      <c r="G491" s="78"/>
      <c r="H491" s="78"/>
      <c r="I491" s="78"/>
      <c r="J491" s="77"/>
      <c r="K491" s="78"/>
      <c r="L491" s="78"/>
      <c r="M491" s="78"/>
      <c r="N491" s="76"/>
      <c r="O491" s="78"/>
      <c r="P491" s="80"/>
      <c r="Q491" s="80"/>
      <c r="R491" s="78"/>
      <c r="S491" s="78"/>
      <c r="T491" s="78"/>
      <c r="U491" s="78"/>
      <c r="V491" s="78"/>
    </row>
    <row r="492" spans="1:22" x14ac:dyDescent="0.25">
      <c r="A492" s="78"/>
      <c r="B492" s="78"/>
      <c r="C492" s="78"/>
      <c r="D492" s="78"/>
      <c r="E492" s="78"/>
      <c r="F492" s="76"/>
      <c r="G492" s="78"/>
      <c r="H492" s="78"/>
      <c r="I492" s="78"/>
      <c r="J492" s="77"/>
      <c r="K492" s="78"/>
      <c r="L492" s="78"/>
      <c r="M492" s="78"/>
      <c r="N492" s="76"/>
      <c r="O492" s="78"/>
      <c r="P492" s="80"/>
      <c r="Q492" s="80"/>
      <c r="R492" s="78"/>
      <c r="S492" s="78"/>
      <c r="T492" s="78"/>
      <c r="U492" s="78"/>
      <c r="V492" s="78"/>
    </row>
    <row r="493" spans="1:22" x14ac:dyDescent="0.25">
      <c r="A493" s="78"/>
      <c r="B493" s="78"/>
      <c r="C493" s="78"/>
      <c r="D493" s="78"/>
      <c r="E493" s="78"/>
      <c r="F493" s="76"/>
      <c r="G493" s="78"/>
      <c r="H493" s="78"/>
      <c r="I493" s="78"/>
      <c r="J493" s="77"/>
      <c r="K493" s="78"/>
      <c r="L493" s="78"/>
      <c r="M493" s="78"/>
      <c r="N493" s="76"/>
      <c r="O493" s="78"/>
      <c r="P493" s="80"/>
      <c r="Q493" s="80"/>
      <c r="R493" s="78"/>
      <c r="S493" s="78"/>
      <c r="T493" s="78"/>
      <c r="U493" s="78"/>
      <c r="V493" s="78"/>
    </row>
    <row r="494" spans="1:22" x14ac:dyDescent="0.25">
      <c r="A494" s="78"/>
      <c r="B494" s="78"/>
      <c r="C494" s="78"/>
      <c r="D494" s="78"/>
      <c r="E494" s="78"/>
      <c r="F494" s="76"/>
      <c r="G494" s="78"/>
      <c r="H494" s="78"/>
      <c r="I494" s="78"/>
      <c r="J494" s="77"/>
      <c r="K494" s="78"/>
      <c r="L494" s="78"/>
      <c r="M494" s="78"/>
      <c r="N494" s="76"/>
      <c r="O494" s="78"/>
      <c r="P494" s="80"/>
      <c r="Q494" s="80"/>
      <c r="R494" s="78"/>
      <c r="S494" s="78"/>
      <c r="T494" s="78"/>
      <c r="U494" s="78"/>
      <c r="V494" s="78"/>
    </row>
    <row r="495" spans="1:22" x14ac:dyDescent="0.25">
      <c r="A495" s="78"/>
      <c r="B495" s="78"/>
      <c r="C495" s="78"/>
      <c r="D495" s="78"/>
      <c r="E495" s="78"/>
      <c r="F495" s="76"/>
      <c r="G495" s="78"/>
      <c r="H495" s="78"/>
      <c r="I495" s="78"/>
      <c r="J495" s="77"/>
      <c r="K495" s="78"/>
      <c r="L495" s="78"/>
      <c r="M495" s="78"/>
      <c r="N495" s="76"/>
      <c r="O495" s="78"/>
      <c r="P495" s="80"/>
      <c r="Q495" s="80"/>
      <c r="R495" s="78"/>
      <c r="S495" s="78"/>
      <c r="T495" s="78"/>
      <c r="U495" s="78"/>
      <c r="V495" s="78"/>
    </row>
    <row r="496" spans="1:22" x14ac:dyDescent="0.25">
      <c r="A496" s="78"/>
      <c r="B496" s="78"/>
      <c r="C496" s="78"/>
      <c r="D496" s="78"/>
      <c r="E496" s="78"/>
      <c r="F496" s="76"/>
      <c r="G496" s="78"/>
      <c r="H496" s="78"/>
      <c r="I496" s="78"/>
      <c r="J496" s="77"/>
      <c r="K496" s="78"/>
      <c r="L496" s="78"/>
      <c r="M496" s="78"/>
      <c r="N496" s="76"/>
      <c r="O496" s="78"/>
      <c r="P496" s="80"/>
      <c r="Q496" s="80"/>
      <c r="R496" s="78"/>
      <c r="S496" s="78"/>
      <c r="T496" s="78"/>
      <c r="U496" s="78"/>
      <c r="V496" s="78"/>
    </row>
    <row r="497" spans="1:22" x14ac:dyDescent="0.25">
      <c r="A497" s="78"/>
      <c r="B497" s="78"/>
      <c r="C497" s="78"/>
      <c r="D497" s="78"/>
      <c r="E497" s="78"/>
      <c r="F497" s="76"/>
      <c r="G497" s="78"/>
      <c r="H497" s="78"/>
      <c r="I497" s="78"/>
      <c r="J497" s="77"/>
      <c r="K497" s="78"/>
      <c r="L497" s="78"/>
      <c r="M497" s="78"/>
      <c r="N497" s="76"/>
      <c r="O497" s="78"/>
      <c r="P497" s="80"/>
      <c r="Q497" s="80"/>
      <c r="R497" s="78"/>
      <c r="S497" s="78"/>
      <c r="T497" s="78"/>
      <c r="U497" s="78"/>
      <c r="V497" s="78"/>
    </row>
    <row r="498" spans="1:22" x14ac:dyDescent="0.25">
      <c r="A498" s="78"/>
      <c r="B498" s="78"/>
      <c r="C498" s="78"/>
      <c r="D498" s="78"/>
      <c r="E498" s="78"/>
      <c r="F498" s="76"/>
      <c r="G498" s="78"/>
      <c r="H498" s="78"/>
      <c r="I498" s="78"/>
      <c r="J498" s="77"/>
      <c r="K498" s="78"/>
      <c r="L498" s="78"/>
      <c r="M498" s="78"/>
      <c r="N498" s="76"/>
      <c r="O498" s="78"/>
      <c r="P498" s="80"/>
      <c r="Q498" s="80"/>
      <c r="R498" s="78"/>
      <c r="S498" s="78"/>
      <c r="T498" s="78"/>
      <c r="U498" s="78"/>
      <c r="V498" s="78"/>
    </row>
    <row r="499" spans="1:22" x14ac:dyDescent="0.25">
      <c r="A499" s="78"/>
      <c r="B499" s="78"/>
      <c r="C499" s="78"/>
      <c r="D499" s="78"/>
      <c r="E499" s="78"/>
      <c r="F499" s="76"/>
      <c r="G499" s="78"/>
      <c r="H499" s="78"/>
      <c r="I499" s="78"/>
      <c r="J499" s="77"/>
      <c r="K499" s="78"/>
      <c r="L499" s="78"/>
      <c r="M499" s="78"/>
      <c r="N499" s="76"/>
      <c r="O499" s="78"/>
      <c r="P499" s="80"/>
      <c r="Q499" s="80"/>
      <c r="R499" s="78"/>
      <c r="S499" s="78"/>
      <c r="T499" s="78"/>
      <c r="U499" s="78"/>
      <c r="V499" s="78"/>
    </row>
    <row r="500" spans="1:22" x14ac:dyDescent="0.25">
      <c r="A500" s="78"/>
      <c r="B500" s="78"/>
      <c r="C500" s="78"/>
      <c r="D500" s="78"/>
      <c r="E500" s="78"/>
      <c r="F500" s="76"/>
      <c r="G500" s="78"/>
      <c r="H500" s="78"/>
      <c r="I500" s="78"/>
      <c r="J500" s="77"/>
      <c r="K500" s="78"/>
      <c r="L500" s="78"/>
      <c r="M500" s="78"/>
      <c r="N500" s="76"/>
      <c r="O500" s="78"/>
      <c r="P500" s="80"/>
      <c r="Q500" s="80"/>
      <c r="R500" s="78"/>
      <c r="S500" s="78"/>
      <c r="T500" s="78"/>
      <c r="U500" s="78"/>
      <c r="V500" s="78"/>
    </row>
    <row r="501" spans="1:22" x14ac:dyDescent="0.25">
      <c r="A501" s="78"/>
      <c r="B501" s="78"/>
      <c r="C501" s="78"/>
      <c r="D501" s="78"/>
      <c r="E501" s="78"/>
      <c r="F501" s="76"/>
      <c r="G501" s="78"/>
      <c r="H501" s="78"/>
      <c r="I501" s="78"/>
      <c r="J501" s="77"/>
      <c r="K501" s="78"/>
      <c r="L501" s="78"/>
      <c r="M501" s="78"/>
      <c r="N501" s="76"/>
      <c r="O501" s="78"/>
      <c r="P501" s="80"/>
      <c r="Q501" s="80"/>
      <c r="R501" s="78"/>
      <c r="S501" s="78"/>
      <c r="T501" s="78"/>
      <c r="U501" s="78"/>
      <c r="V501" s="78"/>
    </row>
    <row r="502" spans="1:22" x14ac:dyDescent="0.25">
      <c r="A502" s="78"/>
      <c r="B502" s="78"/>
      <c r="C502" s="78"/>
      <c r="D502" s="78"/>
      <c r="E502" s="78"/>
      <c r="F502" s="76"/>
      <c r="G502" s="78"/>
      <c r="H502" s="78"/>
      <c r="I502" s="78"/>
      <c r="J502" s="77"/>
      <c r="K502" s="78"/>
      <c r="L502" s="78"/>
      <c r="M502" s="78"/>
      <c r="N502" s="76"/>
      <c r="O502" s="78"/>
      <c r="P502" s="80"/>
      <c r="Q502" s="80"/>
      <c r="R502" s="78"/>
      <c r="S502" s="78"/>
      <c r="T502" s="78"/>
      <c r="U502" s="78"/>
      <c r="V502" s="78"/>
    </row>
    <row r="503" spans="1:22" x14ac:dyDescent="0.25">
      <c r="A503" s="78"/>
      <c r="B503" s="78"/>
      <c r="C503" s="78"/>
      <c r="D503" s="78"/>
      <c r="E503" s="78"/>
      <c r="F503" s="76"/>
      <c r="G503" s="78"/>
      <c r="H503" s="78"/>
      <c r="I503" s="78"/>
      <c r="J503" s="77"/>
      <c r="K503" s="78"/>
      <c r="L503" s="78"/>
      <c r="M503" s="78"/>
      <c r="N503" s="76"/>
      <c r="O503" s="78"/>
      <c r="P503" s="80"/>
      <c r="Q503" s="80"/>
      <c r="R503" s="78"/>
      <c r="S503" s="78"/>
      <c r="T503" s="78"/>
      <c r="U503" s="78"/>
      <c r="V503" s="78"/>
    </row>
    <row r="504" spans="1:22" x14ac:dyDescent="0.25">
      <c r="A504" s="78"/>
      <c r="B504" s="78"/>
      <c r="C504" s="78"/>
      <c r="D504" s="78"/>
      <c r="E504" s="78"/>
      <c r="F504" s="76"/>
      <c r="G504" s="78"/>
      <c r="H504" s="78"/>
      <c r="I504" s="78"/>
      <c r="J504" s="77"/>
      <c r="K504" s="78"/>
      <c r="L504" s="78"/>
      <c r="M504" s="78"/>
      <c r="N504" s="76"/>
      <c r="O504" s="78"/>
      <c r="P504" s="80"/>
      <c r="Q504" s="80"/>
      <c r="R504" s="78"/>
      <c r="S504" s="78"/>
      <c r="T504" s="78"/>
      <c r="U504" s="78"/>
      <c r="V504" s="78"/>
    </row>
    <row r="505" spans="1:22" x14ac:dyDescent="0.25">
      <c r="A505" s="78"/>
      <c r="B505" s="78"/>
      <c r="C505" s="78"/>
      <c r="D505" s="78"/>
      <c r="E505" s="78"/>
      <c r="F505" s="76"/>
      <c r="G505" s="78"/>
      <c r="H505" s="78"/>
      <c r="I505" s="78"/>
      <c r="J505" s="77"/>
      <c r="K505" s="78"/>
      <c r="L505" s="78"/>
      <c r="M505" s="78"/>
      <c r="N505" s="76"/>
      <c r="O505" s="78"/>
      <c r="P505" s="80"/>
      <c r="Q505" s="80"/>
      <c r="R505" s="78"/>
      <c r="S505" s="78"/>
      <c r="T505" s="78"/>
      <c r="U505" s="78"/>
      <c r="V505" s="78"/>
    </row>
    <row r="506" spans="1:22" x14ac:dyDescent="0.25">
      <c r="A506" s="78"/>
      <c r="B506" s="78"/>
      <c r="C506" s="78"/>
      <c r="D506" s="78"/>
      <c r="E506" s="78"/>
      <c r="F506" s="76"/>
      <c r="G506" s="78"/>
      <c r="H506" s="78"/>
      <c r="I506" s="78"/>
      <c r="J506" s="77"/>
      <c r="K506" s="78"/>
      <c r="L506" s="78"/>
      <c r="M506" s="78"/>
      <c r="N506" s="76"/>
      <c r="O506" s="78"/>
      <c r="P506" s="80"/>
      <c r="Q506" s="80"/>
      <c r="R506" s="78"/>
      <c r="S506" s="78"/>
      <c r="T506" s="78"/>
      <c r="U506" s="78"/>
      <c r="V506" s="78"/>
    </row>
    <row r="507" spans="1:22" x14ac:dyDescent="0.25">
      <c r="A507" s="78"/>
      <c r="B507" s="78"/>
      <c r="C507" s="78"/>
      <c r="D507" s="78"/>
      <c r="E507" s="78"/>
      <c r="F507" s="76"/>
      <c r="G507" s="78"/>
      <c r="H507" s="78"/>
      <c r="I507" s="78"/>
      <c r="J507" s="77"/>
      <c r="K507" s="78"/>
      <c r="L507" s="78"/>
      <c r="M507" s="78"/>
      <c r="N507" s="76"/>
      <c r="O507" s="78"/>
      <c r="P507" s="80"/>
      <c r="Q507" s="80"/>
      <c r="R507" s="78"/>
      <c r="S507" s="78"/>
      <c r="T507" s="78"/>
      <c r="U507" s="78"/>
      <c r="V507" s="78"/>
    </row>
    <row r="508" spans="1:22" x14ac:dyDescent="0.25">
      <c r="A508" s="78"/>
      <c r="B508" s="78"/>
      <c r="C508" s="78"/>
      <c r="D508" s="78"/>
      <c r="E508" s="78"/>
      <c r="F508" s="76"/>
      <c r="G508" s="78"/>
      <c r="H508" s="78"/>
      <c r="I508" s="78"/>
      <c r="J508" s="77"/>
      <c r="K508" s="78"/>
      <c r="L508" s="78"/>
      <c r="M508" s="78"/>
      <c r="N508" s="76"/>
      <c r="O508" s="78"/>
      <c r="P508" s="80"/>
      <c r="Q508" s="80"/>
      <c r="R508" s="78"/>
      <c r="S508" s="78"/>
      <c r="T508" s="78"/>
      <c r="U508" s="78"/>
      <c r="V508" s="78"/>
    </row>
    <row r="509" spans="1:22" x14ac:dyDescent="0.25">
      <c r="A509" s="78"/>
      <c r="B509" s="78"/>
      <c r="C509" s="78"/>
      <c r="D509" s="78"/>
      <c r="E509" s="78"/>
      <c r="F509" s="76"/>
      <c r="G509" s="78"/>
      <c r="H509" s="78"/>
      <c r="I509" s="78"/>
      <c r="J509" s="77"/>
      <c r="K509" s="78"/>
      <c r="L509" s="78"/>
      <c r="M509" s="78"/>
      <c r="N509" s="76"/>
      <c r="O509" s="78"/>
      <c r="P509" s="80"/>
      <c r="Q509" s="80"/>
      <c r="R509" s="78"/>
      <c r="S509" s="78"/>
      <c r="T509" s="78"/>
      <c r="U509" s="78"/>
      <c r="V509" s="78"/>
    </row>
    <row r="510" spans="1:22" x14ac:dyDescent="0.25">
      <c r="A510" s="78"/>
      <c r="B510" s="78"/>
      <c r="C510" s="78"/>
      <c r="D510" s="78"/>
      <c r="E510" s="78"/>
      <c r="F510" s="76"/>
      <c r="G510" s="78"/>
      <c r="H510" s="78"/>
      <c r="I510" s="78"/>
      <c r="J510" s="77"/>
      <c r="K510" s="78"/>
      <c r="L510" s="78"/>
      <c r="M510" s="78"/>
      <c r="N510" s="76"/>
      <c r="O510" s="78"/>
      <c r="P510" s="80"/>
      <c r="Q510" s="80"/>
      <c r="R510" s="78"/>
      <c r="S510" s="78"/>
      <c r="T510" s="78"/>
      <c r="U510" s="78"/>
      <c r="V510" s="78"/>
    </row>
    <row r="511" spans="1:22" x14ac:dyDescent="0.25">
      <c r="A511" s="78"/>
      <c r="B511" s="78"/>
      <c r="C511" s="78"/>
      <c r="D511" s="78"/>
      <c r="E511" s="78"/>
      <c r="F511" s="76"/>
      <c r="G511" s="78"/>
      <c r="H511" s="78"/>
      <c r="I511" s="78"/>
      <c r="J511" s="77"/>
      <c r="K511" s="78"/>
      <c r="L511" s="78"/>
      <c r="M511" s="78"/>
      <c r="N511" s="76"/>
      <c r="O511" s="78"/>
      <c r="P511" s="80"/>
      <c r="Q511" s="80"/>
      <c r="R511" s="78"/>
      <c r="S511" s="78"/>
      <c r="T511" s="78"/>
      <c r="U511" s="78"/>
      <c r="V511" s="78"/>
    </row>
    <row r="512" spans="1:22" x14ac:dyDescent="0.25">
      <c r="A512" s="78"/>
      <c r="B512" s="78"/>
      <c r="C512" s="78"/>
      <c r="D512" s="78"/>
      <c r="E512" s="78"/>
      <c r="F512" s="76"/>
      <c r="G512" s="78"/>
      <c r="H512" s="78"/>
      <c r="I512" s="78"/>
      <c r="J512" s="77"/>
      <c r="K512" s="78"/>
      <c r="L512" s="78"/>
      <c r="M512" s="78"/>
      <c r="N512" s="76"/>
      <c r="O512" s="78"/>
      <c r="P512" s="80"/>
      <c r="Q512" s="80"/>
      <c r="R512" s="78"/>
      <c r="S512" s="78"/>
      <c r="T512" s="78"/>
      <c r="U512" s="78"/>
      <c r="V512" s="78"/>
    </row>
    <row r="513" spans="1:22" x14ac:dyDescent="0.25">
      <c r="A513" s="78"/>
      <c r="B513" s="78"/>
      <c r="C513" s="78"/>
      <c r="D513" s="78"/>
      <c r="E513" s="78"/>
      <c r="F513" s="76"/>
      <c r="G513" s="78"/>
      <c r="H513" s="78"/>
      <c r="I513" s="78"/>
      <c r="J513" s="77"/>
      <c r="K513" s="78"/>
      <c r="L513" s="78"/>
      <c r="M513" s="78"/>
      <c r="N513" s="76"/>
      <c r="O513" s="78"/>
      <c r="P513" s="80"/>
      <c r="Q513" s="80"/>
      <c r="R513" s="78"/>
      <c r="S513" s="78"/>
      <c r="T513" s="78"/>
      <c r="U513" s="78"/>
      <c r="V513" s="78"/>
    </row>
    <row r="514" spans="1:22" x14ac:dyDescent="0.25">
      <c r="A514" s="78"/>
      <c r="B514" s="78"/>
      <c r="C514" s="78"/>
      <c r="D514" s="78"/>
      <c r="E514" s="78"/>
      <c r="F514" s="76"/>
      <c r="G514" s="78"/>
      <c r="H514" s="78"/>
      <c r="I514" s="78"/>
      <c r="J514" s="77"/>
      <c r="K514" s="78"/>
      <c r="L514" s="78"/>
      <c r="M514" s="78"/>
      <c r="N514" s="76"/>
      <c r="O514" s="78"/>
      <c r="P514" s="80"/>
      <c r="Q514" s="80"/>
      <c r="R514" s="78"/>
      <c r="S514" s="78"/>
      <c r="T514" s="78"/>
      <c r="U514" s="78"/>
      <c r="V514" s="78"/>
    </row>
    <row r="515" spans="1:22" x14ac:dyDescent="0.25">
      <c r="A515" s="78"/>
      <c r="B515" s="78"/>
      <c r="C515" s="78"/>
      <c r="D515" s="78"/>
      <c r="E515" s="78"/>
      <c r="F515" s="76"/>
      <c r="G515" s="78"/>
      <c r="H515" s="78"/>
      <c r="I515" s="78"/>
      <c r="J515" s="77"/>
      <c r="K515" s="78"/>
      <c r="L515" s="78"/>
      <c r="M515" s="78"/>
      <c r="N515" s="76"/>
      <c r="O515" s="78"/>
      <c r="P515" s="80"/>
      <c r="Q515" s="80"/>
      <c r="R515" s="78"/>
      <c r="S515" s="78"/>
      <c r="T515" s="78"/>
      <c r="U515" s="78"/>
      <c r="V515" s="78"/>
    </row>
    <row r="516" spans="1:22" x14ac:dyDescent="0.25">
      <c r="A516" s="78"/>
      <c r="B516" s="78"/>
      <c r="C516" s="78"/>
      <c r="D516" s="78"/>
      <c r="E516" s="78"/>
      <c r="F516" s="76"/>
      <c r="G516" s="78"/>
      <c r="H516" s="78"/>
      <c r="I516" s="78"/>
      <c r="J516" s="77"/>
      <c r="K516" s="78"/>
      <c r="L516" s="78"/>
      <c r="M516" s="78"/>
      <c r="N516" s="76"/>
      <c r="O516" s="78"/>
      <c r="P516" s="80"/>
      <c r="Q516" s="80"/>
      <c r="R516" s="78"/>
      <c r="S516" s="78"/>
      <c r="T516" s="78"/>
      <c r="U516" s="78"/>
      <c r="V516" s="78"/>
    </row>
    <row r="517" spans="1:22" x14ac:dyDescent="0.25">
      <c r="A517" s="78"/>
      <c r="B517" s="78"/>
      <c r="C517" s="78"/>
      <c r="D517" s="78"/>
      <c r="E517" s="78"/>
      <c r="F517" s="76"/>
      <c r="G517" s="78"/>
      <c r="H517" s="78"/>
      <c r="I517" s="78"/>
      <c r="J517" s="77"/>
      <c r="K517" s="78"/>
      <c r="L517" s="78"/>
      <c r="M517" s="78"/>
      <c r="N517" s="76"/>
      <c r="O517" s="78"/>
      <c r="P517" s="80"/>
      <c r="Q517" s="80"/>
      <c r="R517" s="78"/>
      <c r="S517" s="78"/>
      <c r="T517" s="78"/>
      <c r="U517" s="78"/>
      <c r="V517" s="78"/>
    </row>
    <row r="518" spans="1:22" x14ac:dyDescent="0.25">
      <c r="A518" s="78"/>
      <c r="B518" s="78"/>
      <c r="C518" s="78"/>
      <c r="D518" s="78"/>
      <c r="E518" s="78"/>
      <c r="F518" s="76"/>
      <c r="G518" s="78"/>
      <c r="H518" s="78"/>
      <c r="I518" s="78"/>
      <c r="J518" s="77"/>
      <c r="K518" s="78"/>
      <c r="L518" s="78"/>
      <c r="M518" s="78"/>
      <c r="N518" s="76"/>
      <c r="O518" s="78"/>
      <c r="P518" s="80"/>
      <c r="Q518" s="80"/>
      <c r="R518" s="78"/>
      <c r="S518" s="78"/>
      <c r="T518" s="78"/>
      <c r="U518" s="78"/>
      <c r="V518" s="78"/>
    </row>
    <row r="519" spans="1:22" x14ac:dyDescent="0.25">
      <c r="A519" s="78"/>
      <c r="B519" s="78"/>
      <c r="C519" s="78"/>
      <c r="D519" s="78"/>
      <c r="E519" s="78"/>
      <c r="F519" s="76"/>
      <c r="G519" s="78"/>
      <c r="H519" s="78"/>
      <c r="I519" s="78"/>
      <c r="J519" s="77"/>
      <c r="K519" s="78"/>
      <c r="L519" s="78"/>
      <c r="M519" s="78"/>
      <c r="N519" s="76"/>
      <c r="O519" s="78"/>
      <c r="P519" s="80"/>
      <c r="Q519" s="80"/>
      <c r="R519" s="78"/>
      <c r="S519" s="78"/>
      <c r="T519" s="78"/>
      <c r="U519" s="78"/>
      <c r="V519" s="78"/>
    </row>
    <row r="520" spans="1:22" x14ac:dyDescent="0.25">
      <c r="A520" s="78"/>
      <c r="B520" s="78"/>
      <c r="C520" s="78"/>
      <c r="D520" s="78"/>
      <c r="E520" s="78"/>
      <c r="F520" s="76"/>
      <c r="G520" s="78"/>
      <c r="H520" s="78"/>
      <c r="I520" s="78"/>
      <c r="J520" s="77"/>
      <c r="K520" s="78"/>
      <c r="L520" s="78"/>
      <c r="M520" s="78"/>
      <c r="N520" s="76"/>
      <c r="O520" s="78"/>
      <c r="P520" s="80"/>
      <c r="Q520" s="80"/>
      <c r="R520" s="78"/>
      <c r="S520" s="78"/>
      <c r="T520" s="78"/>
      <c r="U520" s="78"/>
      <c r="V520" s="78"/>
    </row>
    <row r="521" spans="1:22" x14ac:dyDescent="0.25">
      <c r="A521" s="78"/>
      <c r="B521" s="78"/>
      <c r="C521" s="78"/>
      <c r="D521" s="78"/>
      <c r="E521" s="78"/>
      <c r="F521" s="76"/>
      <c r="G521" s="78"/>
      <c r="H521" s="78"/>
      <c r="I521" s="78"/>
      <c r="J521" s="77"/>
      <c r="K521" s="78"/>
      <c r="L521" s="78"/>
      <c r="M521" s="78"/>
      <c r="N521" s="76"/>
      <c r="O521" s="78"/>
      <c r="P521" s="80"/>
      <c r="Q521" s="80"/>
      <c r="R521" s="78"/>
      <c r="S521" s="78"/>
      <c r="T521" s="78"/>
      <c r="U521" s="78"/>
      <c r="V521" s="78"/>
    </row>
    <row r="522" spans="1:22" x14ac:dyDescent="0.25">
      <c r="A522" s="78"/>
      <c r="B522" s="78"/>
      <c r="C522" s="78"/>
      <c r="D522" s="78"/>
      <c r="E522" s="78"/>
      <c r="F522" s="76"/>
      <c r="G522" s="78"/>
      <c r="H522" s="78"/>
      <c r="I522" s="78"/>
      <c r="J522" s="77"/>
      <c r="K522" s="78"/>
      <c r="L522" s="78"/>
      <c r="M522" s="78"/>
      <c r="N522" s="76"/>
      <c r="O522" s="78"/>
      <c r="P522" s="80"/>
      <c r="Q522" s="80"/>
      <c r="R522" s="78"/>
      <c r="S522" s="78"/>
      <c r="T522" s="78"/>
      <c r="U522" s="78"/>
      <c r="V522" s="78"/>
    </row>
    <row r="523" spans="1:22" x14ac:dyDescent="0.25">
      <c r="A523" s="78"/>
      <c r="B523" s="78"/>
      <c r="C523" s="78"/>
      <c r="D523" s="78"/>
      <c r="E523" s="78"/>
      <c r="F523" s="76"/>
      <c r="G523" s="78"/>
      <c r="H523" s="78"/>
      <c r="I523" s="78"/>
      <c r="J523" s="77"/>
      <c r="K523" s="78"/>
      <c r="L523" s="78"/>
      <c r="M523" s="78"/>
      <c r="N523" s="76"/>
      <c r="O523" s="78"/>
      <c r="P523" s="80"/>
      <c r="Q523" s="80"/>
      <c r="R523" s="78"/>
      <c r="S523" s="78"/>
      <c r="T523" s="78"/>
      <c r="U523" s="78"/>
      <c r="V523" s="78"/>
    </row>
    <row r="524" spans="1:22" x14ac:dyDescent="0.25">
      <c r="A524" s="78"/>
      <c r="B524" s="78"/>
      <c r="C524" s="78"/>
      <c r="D524" s="78"/>
      <c r="E524" s="78"/>
      <c r="F524" s="76"/>
      <c r="G524" s="78"/>
      <c r="H524" s="78"/>
      <c r="I524" s="78"/>
      <c r="J524" s="77"/>
      <c r="K524" s="78"/>
      <c r="L524" s="78"/>
      <c r="M524" s="78"/>
      <c r="N524" s="76"/>
      <c r="O524" s="78"/>
      <c r="P524" s="80"/>
      <c r="Q524" s="80"/>
      <c r="R524" s="78"/>
      <c r="S524" s="78"/>
      <c r="T524" s="78"/>
      <c r="U524" s="78"/>
      <c r="V524" s="78"/>
    </row>
    <row r="525" spans="1:22" x14ac:dyDescent="0.25">
      <c r="A525" s="78"/>
      <c r="B525" s="78"/>
      <c r="C525" s="78"/>
      <c r="D525" s="78"/>
      <c r="E525" s="78"/>
      <c r="F525" s="76"/>
      <c r="G525" s="78"/>
      <c r="H525" s="78"/>
      <c r="I525" s="78"/>
      <c r="J525" s="77"/>
      <c r="K525" s="78"/>
      <c r="L525" s="78"/>
      <c r="M525" s="78"/>
      <c r="N525" s="76"/>
      <c r="O525" s="78"/>
      <c r="P525" s="80"/>
      <c r="Q525" s="80"/>
      <c r="R525" s="78"/>
      <c r="S525" s="78"/>
      <c r="T525" s="78"/>
      <c r="U525" s="78"/>
      <c r="V525" s="78"/>
    </row>
    <row r="526" spans="1:22" x14ac:dyDescent="0.25">
      <c r="A526" s="78"/>
      <c r="B526" s="78"/>
      <c r="C526" s="78"/>
      <c r="D526" s="78"/>
      <c r="E526" s="78"/>
      <c r="F526" s="76"/>
      <c r="G526" s="78"/>
      <c r="H526" s="78"/>
      <c r="I526" s="78"/>
      <c r="J526" s="77"/>
      <c r="K526" s="78"/>
      <c r="L526" s="78"/>
      <c r="M526" s="78"/>
      <c r="N526" s="76"/>
      <c r="O526" s="78"/>
      <c r="P526" s="80"/>
      <c r="Q526" s="80"/>
      <c r="R526" s="78"/>
      <c r="S526" s="78"/>
      <c r="T526" s="78"/>
      <c r="U526" s="78"/>
      <c r="V526" s="78"/>
    </row>
    <row r="527" spans="1:22" x14ac:dyDescent="0.25">
      <c r="A527" s="78"/>
      <c r="B527" s="78"/>
      <c r="C527" s="78"/>
      <c r="D527" s="78"/>
      <c r="E527" s="78"/>
      <c r="F527" s="76"/>
      <c r="G527" s="78"/>
      <c r="H527" s="78"/>
      <c r="I527" s="78"/>
      <c r="J527" s="77"/>
      <c r="K527" s="78"/>
      <c r="L527" s="78"/>
      <c r="M527" s="78"/>
      <c r="N527" s="76"/>
      <c r="O527" s="78"/>
      <c r="P527" s="80"/>
      <c r="Q527" s="80"/>
      <c r="R527" s="78"/>
      <c r="S527" s="78"/>
      <c r="T527" s="78"/>
      <c r="U527" s="78"/>
      <c r="V527" s="78"/>
    </row>
    <row r="528" spans="1:22" x14ac:dyDescent="0.25">
      <c r="A528" s="78"/>
      <c r="B528" s="78"/>
      <c r="C528" s="78"/>
      <c r="D528" s="78"/>
      <c r="E528" s="78"/>
      <c r="F528" s="76"/>
      <c r="G528" s="78"/>
      <c r="H528" s="78"/>
      <c r="I528" s="78"/>
      <c r="J528" s="77"/>
      <c r="K528" s="78"/>
      <c r="L528" s="78"/>
      <c r="M528" s="78"/>
      <c r="N528" s="76"/>
      <c r="O528" s="78"/>
      <c r="P528" s="80"/>
      <c r="Q528" s="80"/>
      <c r="R528" s="78"/>
      <c r="S528" s="78"/>
      <c r="T528" s="78"/>
      <c r="U528" s="78"/>
      <c r="V528" s="78"/>
    </row>
    <row r="529" spans="1:22" x14ac:dyDescent="0.25">
      <c r="A529" s="78"/>
      <c r="B529" s="78"/>
      <c r="C529" s="78"/>
      <c r="D529" s="78"/>
      <c r="E529" s="78"/>
      <c r="F529" s="76"/>
      <c r="G529" s="78"/>
      <c r="H529" s="78"/>
      <c r="I529" s="78"/>
      <c r="J529" s="77"/>
      <c r="K529" s="78"/>
      <c r="L529" s="78"/>
      <c r="M529" s="78"/>
      <c r="N529" s="76"/>
      <c r="O529" s="78"/>
      <c r="P529" s="80"/>
      <c r="Q529" s="80"/>
      <c r="R529" s="78"/>
      <c r="S529" s="78"/>
      <c r="T529" s="78"/>
      <c r="U529" s="78"/>
      <c r="V529" s="78"/>
    </row>
    <row r="530" spans="1:22" x14ac:dyDescent="0.25">
      <c r="A530" s="78"/>
      <c r="B530" s="78"/>
      <c r="C530" s="78"/>
      <c r="D530" s="78"/>
      <c r="E530" s="78"/>
      <c r="F530" s="76"/>
      <c r="G530" s="78"/>
      <c r="H530" s="78"/>
      <c r="I530" s="78"/>
      <c r="J530" s="77"/>
      <c r="K530" s="78"/>
      <c r="L530" s="78"/>
      <c r="M530" s="78"/>
      <c r="N530" s="76"/>
      <c r="O530" s="78"/>
      <c r="P530" s="80"/>
      <c r="Q530" s="80"/>
      <c r="R530" s="78"/>
      <c r="S530" s="78"/>
      <c r="T530" s="78"/>
      <c r="U530" s="78"/>
      <c r="V530" s="78"/>
    </row>
    <row r="531" spans="1:22" x14ac:dyDescent="0.25">
      <c r="A531" s="78"/>
      <c r="B531" s="78"/>
      <c r="C531" s="78"/>
      <c r="D531" s="78"/>
      <c r="E531" s="78"/>
      <c r="F531" s="76"/>
      <c r="G531" s="78"/>
      <c r="H531" s="78"/>
      <c r="I531" s="78"/>
      <c r="J531" s="77"/>
      <c r="K531" s="78"/>
      <c r="L531" s="78"/>
      <c r="M531" s="78"/>
      <c r="N531" s="76"/>
      <c r="O531" s="78"/>
      <c r="P531" s="80"/>
      <c r="Q531" s="80"/>
      <c r="R531" s="78"/>
      <c r="S531" s="78"/>
      <c r="T531" s="78"/>
      <c r="U531" s="78"/>
      <c r="V531" s="78"/>
    </row>
    <row r="532" spans="1:22" x14ac:dyDescent="0.25">
      <c r="A532" s="78"/>
      <c r="B532" s="78"/>
      <c r="C532" s="78"/>
      <c r="D532" s="78"/>
      <c r="E532" s="78"/>
      <c r="F532" s="76"/>
      <c r="G532" s="78"/>
      <c r="H532" s="78"/>
      <c r="I532" s="78"/>
      <c r="J532" s="77"/>
      <c r="K532" s="78"/>
      <c r="L532" s="78"/>
      <c r="M532" s="78"/>
      <c r="N532" s="76"/>
      <c r="O532" s="78"/>
      <c r="P532" s="80"/>
      <c r="Q532" s="80"/>
      <c r="R532" s="78"/>
      <c r="S532" s="78"/>
      <c r="T532" s="78"/>
      <c r="U532" s="78"/>
      <c r="V532" s="78"/>
    </row>
    <row r="533" spans="1:22" x14ac:dyDescent="0.25">
      <c r="A533" s="78"/>
      <c r="B533" s="78"/>
      <c r="C533" s="78"/>
      <c r="D533" s="78"/>
      <c r="E533" s="78"/>
      <c r="F533" s="76"/>
      <c r="G533" s="78"/>
      <c r="H533" s="78"/>
      <c r="I533" s="78"/>
      <c r="J533" s="77"/>
      <c r="K533" s="78"/>
      <c r="L533" s="78"/>
      <c r="M533" s="78"/>
      <c r="N533" s="76"/>
      <c r="O533" s="78"/>
      <c r="P533" s="80"/>
      <c r="Q533" s="80"/>
      <c r="R533" s="78"/>
      <c r="S533" s="78"/>
      <c r="T533" s="78"/>
      <c r="U533" s="78"/>
      <c r="V533" s="78"/>
    </row>
    <row r="534" spans="1:22" x14ac:dyDescent="0.25">
      <c r="A534" s="78"/>
      <c r="B534" s="78"/>
      <c r="C534" s="78"/>
      <c r="D534" s="78"/>
      <c r="E534" s="78"/>
      <c r="F534" s="76"/>
      <c r="G534" s="78"/>
      <c r="H534" s="78"/>
      <c r="I534" s="78"/>
      <c r="J534" s="77"/>
      <c r="K534" s="78"/>
      <c r="L534" s="78"/>
      <c r="M534" s="78"/>
      <c r="N534" s="76"/>
      <c r="O534" s="78"/>
      <c r="P534" s="80"/>
      <c r="Q534" s="80"/>
      <c r="R534" s="78"/>
      <c r="S534" s="78"/>
      <c r="T534" s="78"/>
      <c r="U534" s="78"/>
      <c r="V534" s="78"/>
    </row>
    <row r="535" spans="1:22" x14ac:dyDescent="0.25">
      <c r="A535" s="78"/>
      <c r="B535" s="78"/>
      <c r="C535" s="78"/>
      <c r="D535" s="78"/>
      <c r="E535" s="78"/>
      <c r="F535" s="76"/>
      <c r="G535" s="78"/>
      <c r="H535" s="78"/>
      <c r="I535" s="78"/>
      <c r="J535" s="77"/>
      <c r="K535" s="78"/>
      <c r="L535" s="78"/>
      <c r="M535" s="78"/>
      <c r="N535" s="76"/>
      <c r="O535" s="78"/>
      <c r="P535" s="80"/>
      <c r="Q535" s="80"/>
      <c r="R535" s="78"/>
      <c r="S535" s="78"/>
      <c r="T535" s="78"/>
      <c r="U535" s="78"/>
      <c r="V535" s="78"/>
    </row>
    <row r="536" spans="1:22" x14ac:dyDescent="0.25">
      <c r="A536" s="78"/>
      <c r="B536" s="78"/>
      <c r="C536" s="78"/>
      <c r="D536" s="78"/>
      <c r="E536" s="78"/>
      <c r="F536" s="76"/>
      <c r="G536" s="78"/>
      <c r="H536" s="78"/>
      <c r="I536" s="78"/>
      <c r="J536" s="77"/>
      <c r="K536" s="78"/>
      <c r="L536" s="78"/>
      <c r="M536" s="78"/>
      <c r="N536" s="76"/>
      <c r="O536" s="78"/>
      <c r="P536" s="80"/>
      <c r="Q536" s="80"/>
      <c r="R536" s="78"/>
      <c r="S536" s="78"/>
      <c r="T536" s="78"/>
      <c r="U536" s="78"/>
      <c r="V536" s="78"/>
    </row>
    <row r="537" spans="1:22" x14ac:dyDescent="0.25">
      <c r="A537" s="78"/>
      <c r="B537" s="78"/>
      <c r="C537" s="78"/>
      <c r="D537" s="78"/>
      <c r="E537" s="78"/>
      <c r="F537" s="76"/>
      <c r="G537" s="78"/>
      <c r="H537" s="78"/>
      <c r="I537" s="78"/>
      <c r="J537" s="77"/>
      <c r="K537" s="78"/>
      <c r="L537" s="78"/>
      <c r="M537" s="78"/>
      <c r="N537" s="76"/>
      <c r="O537" s="78"/>
      <c r="P537" s="80"/>
      <c r="Q537" s="80"/>
      <c r="R537" s="78"/>
      <c r="S537" s="78"/>
      <c r="T537" s="78"/>
      <c r="U537" s="78"/>
      <c r="V537" s="78"/>
    </row>
    <row r="538" spans="1:22" x14ac:dyDescent="0.25">
      <c r="A538" s="78"/>
      <c r="B538" s="78"/>
      <c r="C538" s="78"/>
      <c r="D538" s="78"/>
      <c r="E538" s="78"/>
      <c r="F538" s="76"/>
      <c r="G538" s="78"/>
      <c r="H538" s="78"/>
      <c r="I538" s="78"/>
      <c r="J538" s="77"/>
      <c r="K538" s="78"/>
      <c r="L538" s="78"/>
      <c r="M538" s="78"/>
      <c r="N538" s="76"/>
      <c r="O538" s="78"/>
      <c r="P538" s="80"/>
      <c r="Q538" s="80"/>
      <c r="R538" s="78"/>
      <c r="S538" s="78"/>
      <c r="T538" s="78"/>
      <c r="U538" s="78"/>
      <c r="V538" s="78"/>
    </row>
    <row r="539" spans="1:22" x14ac:dyDescent="0.25">
      <c r="A539" s="78"/>
      <c r="B539" s="78"/>
      <c r="C539" s="78"/>
      <c r="D539" s="78"/>
      <c r="E539" s="78"/>
      <c r="F539" s="76"/>
      <c r="G539" s="78"/>
      <c r="H539" s="78"/>
      <c r="I539" s="78"/>
      <c r="J539" s="77"/>
      <c r="K539" s="78"/>
      <c r="L539" s="78"/>
      <c r="M539" s="78"/>
      <c r="N539" s="76"/>
      <c r="O539" s="78"/>
      <c r="P539" s="80"/>
      <c r="Q539" s="80"/>
      <c r="R539" s="78"/>
      <c r="S539" s="78"/>
      <c r="T539" s="78"/>
      <c r="U539" s="78"/>
      <c r="V539" s="78"/>
    </row>
    <row r="540" spans="1:22" x14ac:dyDescent="0.25">
      <c r="A540" s="78"/>
      <c r="B540" s="78"/>
      <c r="C540" s="78"/>
      <c r="D540" s="78"/>
      <c r="E540" s="78"/>
      <c r="F540" s="76"/>
      <c r="G540" s="78"/>
      <c r="H540" s="78"/>
      <c r="I540" s="78"/>
      <c r="J540" s="77"/>
      <c r="K540" s="78"/>
      <c r="L540" s="78"/>
      <c r="M540" s="78"/>
      <c r="N540" s="76"/>
      <c r="O540" s="78"/>
      <c r="P540" s="80"/>
      <c r="Q540" s="80"/>
      <c r="R540" s="78"/>
      <c r="S540" s="78"/>
      <c r="T540" s="78"/>
      <c r="U540" s="78"/>
      <c r="V540" s="78"/>
    </row>
    <row r="541" spans="1:22" x14ac:dyDescent="0.25">
      <c r="A541" s="78"/>
      <c r="B541" s="78"/>
      <c r="C541" s="78"/>
      <c r="D541" s="78"/>
      <c r="E541" s="78"/>
      <c r="F541" s="76"/>
      <c r="G541" s="78"/>
      <c r="H541" s="78"/>
      <c r="I541" s="78"/>
      <c r="J541" s="77"/>
      <c r="K541" s="78"/>
      <c r="L541" s="78"/>
      <c r="M541" s="78"/>
      <c r="N541" s="76"/>
      <c r="O541" s="78"/>
      <c r="P541" s="80"/>
      <c r="Q541" s="80"/>
      <c r="R541" s="78"/>
      <c r="S541" s="78"/>
      <c r="T541" s="78"/>
      <c r="U541" s="78"/>
      <c r="V541" s="78"/>
    </row>
    <row r="542" spans="1:22" x14ac:dyDescent="0.25">
      <c r="A542" s="78"/>
      <c r="B542" s="78"/>
      <c r="C542" s="78"/>
      <c r="D542" s="78"/>
      <c r="E542" s="78"/>
      <c r="F542" s="76"/>
      <c r="G542" s="78"/>
      <c r="H542" s="78"/>
      <c r="I542" s="78"/>
      <c r="J542" s="77"/>
      <c r="K542" s="78"/>
      <c r="L542" s="78"/>
      <c r="M542" s="78"/>
      <c r="N542" s="76"/>
      <c r="O542" s="78"/>
      <c r="P542" s="80"/>
      <c r="Q542" s="80"/>
      <c r="R542" s="78"/>
      <c r="S542" s="78"/>
      <c r="T542" s="78"/>
      <c r="U542" s="78"/>
      <c r="V542" s="78"/>
    </row>
    <row r="543" spans="1:22" x14ac:dyDescent="0.25">
      <c r="A543" s="78"/>
      <c r="B543" s="78"/>
      <c r="C543" s="78"/>
      <c r="D543" s="78"/>
      <c r="E543" s="78"/>
      <c r="F543" s="76"/>
      <c r="G543" s="78"/>
      <c r="H543" s="78"/>
      <c r="I543" s="78"/>
      <c r="J543" s="77"/>
      <c r="K543" s="78"/>
      <c r="L543" s="78"/>
      <c r="M543" s="78"/>
      <c r="N543" s="76"/>
      <c r="O543" s="78"/>
      <c r="P543" s="80"/>
      <c r="Q543" s="80"/>
      <c r="R543" s="78"/>
      <c r="S543" s="78"/>
      <c r="T543" s="78"/>
      <c r="U543" s="78"/>
      <c r="V543" s="78"/>
    </row>
    <row r="544" spans="1:22" x14ac:dyDescent="0.25">
      <c r="A544" s="78"/>
      <c r="B544" s="78"/>
      <c r="C544" s="78"/>
      <c r="D544" s="78"/>
      <c r="E544" s="78"/>
      <c r="F544" s="76"/>
      <c r="G544" s="78"/>
      <c r="H544" s="78"/>
      <c r="I544" s="78"/>
      <c r="J544" s="77"/>
      <c r="K544" s="78"/>
      <c r="L544" s="78"/>
      <c r="M544" s="78"/>
      <c r="N544" s="76"/>
      <c r="O544" s="78"/>
      <c r="P544" s="80"/>
      <c r="Q544" s="80"/>
      <c r="R544" s="78"/>
      <c r="S544" s="78"/>
      <c r="T544" s="78"/>
      <c r="U544" s="78"/>
      <c r="V544" s="78"/>
    </row>
    <row r="545" spans="1:22" x14ac:dyDescent="0.25">
      <c r="A545" s="78"/>
      <c r="B545" s="78"/>
      <c r="C545" s="78"/>
      <c r="D545" s="78"/>
      <c r="E545" s="78"/>
      <c r="F545" s="76"/>
      <c r="G545" s="78"/>
      <c r="H545" s="78"/>
      <c r="I545" s="78"/>
      <c r="J545" s="77"/>
      <c r="K545" s="78"/>
      <c r="L545" s="78"/>
      <c r="M545" s="78"/>
      <c r="N545" s="76"/>
      <c r="O545" s="78"/>
      <c r="P545" s="80"/>
      <c r="Q545" s="80"/>
      <c r="R545" s="78"/>
      <c r="S545" s="78"/>
      <c r="T545" s="78"/>
      <c r="U545" s="78"/>
      <c r="V545" s="78"/>
    </row>
    <row r="546" spans="1:22" x14ac:dyDescent="0.25">
      <c r="A546" s="78"/>
      <c r="B546" s="78"/>
      <c r="C546" s="78"/>
      <c r="D546" s="78"/>
      <c r="E546" s="78"/>
      <c r="F546" s="76"/>
      <c r="G546" s="78"/>
      <c r="H546" s="78"/>
      <c r="I546" s="78"/>
      <c r="J546" s="77"/>
      <c r="K546" s="78"/>
      <c r="L546" s="78"/>
      <c r="M546" s="78"/>
      <c r="N546" s="76"/>
      <c r="O546" s="78"/>
      <c r="P546" s="80"/>
      <c r="Q546" s="80"/>
      <c r="R546" s="78"/>
      <c r="S546" s="78"/>
      <c r="T546" s="78"/>
      <c r="U546" s="78"/>
      <c r="V546" s="78"/>
    </row>
    <row r="547" spans="1:22" x14ac:dyDescent="0.25">
      <c r="A547" s="78"/>
      <c r="B547" s="78"/>
      <c r="C547" s="78"/>
      <c r="D547" s="78"/>
      <c r="E547" s="78"/>
      <c r="F547" s="76"/>
      <c r="G547" s="78"/>
      <c r="H547" s="78"/>
      <c r="I547" s="78"/>
      <c r="J547" s="77"/>
      <c r="K547" s="78"/>
      <c r="L547" s="78"/>
      <c r="M547" s="78"/>
      <c r="N547" s="76"/>
      <c r="O547" s="78"/>
      <c r="P547" s="80"/>
      <c r="Q547" s="80"/>
      <c r="R547" s="78"/>
      <c r="S547" s="78"/>
      <c r="T547" s="78"/>
      <c r="U547" s="78"/>
      <c r="V547" s="78"/>
    </row>
    <row r="548" spans="1:22" x14ac:dyDescent="0.25">
      <c r="A548" s="78"/>
      <c r="B548" s="78"/>
      <c r="C548" s="78"/>
      <c r="D548" s="78"/>
      <c r="E548" s="78"/>
      <c r="F548" s="76"/>
      <c r="G548" s="78"/>
      <c r="H548" s="78"/>
      <c r="I548" s="78"/>
      <c r="J548" s="77"/>
      <c r="K548" s="78"/>
      <c r="L548" s="78"/>
      <c r="M548" s="78"/>
      <c r="N548" s="76"/>
      <c r="O548" s="78"/>
      <c r="P548" s="80"/>
      <c r="Q548" s="80"/>
      <c r="R548" s="78"/>
      <c r="S548" s="78"/>
      <c r="T548" s="78"/>
      <c r="U548" s="78"/>
      <c r="V548" s="78"/>
    </row>
    <row r="549" spans="1:22" x14ac:dyDescent="0.25">
      <c r="A549" s="78"/>
      <c r="B549" s="78"/>
      <c r="C549" s="78"/>
      <c r="D549" s="78"/>
      <c r="E549" s="78"/>
      <c r="F549" s="76"/>
      <c r="G549" s="78"/>
      <c r="H549" s="78"/>
      <c r="I549" s="78"/>
      <c r="J549" s="77"/>
      <c r="K549" s="78"/>
      <c r="L549" s="78"/>
      <c r="M549" s="78"/>
      <c r="N549" s="76"/>
      <c r="O549" s="78"/>
      <c r="P549" s="80"/>
      <c r="Q549" s="80"/>
      <c r="R549" s="78"/>
      <c r="S549" s="78"/>
      <c r="T549" s="78"/>
      <c r="U549" s="78"/>
      <c r="V549" s="78"/>
    </row>
    <row r="550" spans="1:22" x14ac:dyDescent="0.25">
      <c r="A550" s="78"/>
      <c r="B550" s="78"/>
      <c r="C550" s="78"/>
      <c r="D550" s="78"/>
      <c r="E550" s="78"/>
      <c r="F550" s="76"/>
      <c r="G550" s="78"/>
      <c r="H550" s="78"/>
      <c r="I550" s="78"/>
      <c r="J550" s="77"/>
      <c r="K550" s="78"/>
      <c r="L550" s="78"/>
      <c r="M550" s="78"/>
      <c r="N550" s="76"/>
      <c r="O550" s="78"/>
      <c r="P550" s="80"/>
      <c r="Q550" s="80"/>
      <c r="R550" s="78"/>
      <c r="S550" s="78"/>
      <c r="T550" s="78"/>
      <c r="U550" s="78"/>
      <c r="V550" s="78"/>
    </row>
    <row r="551" spans="1:22" x14ac:dyDescent="0.25">
      <c r="A551" s="78"/>
      <c r="B551" s="78"/>
      <c r="C551" s="78"/>
      <c r="D551" s="78"/>
      <c r="E551" s="78"/>
      <c r="F551" s="76"/>
      <c r="G551" s="78"/>
      <c r="H551" s="78"/>
      <c r="I551" s="78"/>
      <c r="J551" s="77"/>
      <c r="K551" s="78"/>
      <c r="L551" s="78"/>
      <c r="M551" s="78"/>
      <c r="N551" s="76"/>
      <c r="O551" s="78"/>
      <c r="P551" s="80"/>
      <c r="Q551" s="80"/>
      <c r="R551" s="78"/>
      <c r="S551" s="78"/>
      <c r="T551" s="78"/>
      <c r="U551" s="78"/>
      <c r="V551" s="78"/>
    </row>
    <row r="552" spans="1:22" x14ac:dyDescent="0.25">
      <c r="A552" s="78"/>
      <c r="B552" s="78"/>
      <c r="C552" s="78"/>
      <c r="D552" s="78"/>
      <c r="E552" s="78"/>
      <c r="F552" s="76"/>
      <c r="G552" s="78"/>
      <c r="H552" s="78"/>
      <c r="I552" s="78"/>
      <c r="J552" s="77"/>
      <c r="K552" s="78"/>
      <c r="L552" s="78"/>
      <c r="M552" s="78"/>
      <c r="N552" s="76"/>
      <c r="O552" s="78"/>
      <c r="P552" s="80"/>
      <c r="Q552" s="80"/>
      <c r="R552" s="78"/>
      <c r="S552" s="78"/>
      <c r="T552" s="78"/>
      <c r="U552" s="78"/>
      <c r="V552" s="78"/>
    </row>
    <row r="553" spans="1:22" x14ac:dyDescent="0.25">
      <c r="A553" s="78"/>
      <c r="B553" s="78"/>
      <c r="C553" s="78"/>
      <c r="D553" s="78"/>
      <c r="E553" s="78"/>
      <c r="F553" s="76"/>
      <c r="G553" s="78"/>
      <c r="H553" s="78"/>
      <c r="I553" s="78"/>
      <c r="J553" s="77"/>
      <c r="K553" s="78"/>
      <c r="L553" s="78"/>
      <c r="M553" s="78"/>
      <c r="N553" s="76"/>
      <c r="O553" s="78"/>
      <c r="P553" s="80"/>
      <c r="Q553" s="80"/>
      <c r="R553" s="78"/>
      <c r="S553" s="78"/>
      <c r="T553" s="78"/>
      <c r="U553" s="78"/>
      <c r="V553" s="78"/>
    </row>
    <row r="554" spans="1:22" x14ac:dyDescent="0.25">
      <c r="A554" s="78"/>
      <c r="B554" s="78"/>
      <c r="C554" s="78"/>
      <c r="D554" s="78"/>
      <c r="E554" s="78"/>
      <c r="F554" s="76"/>
      <c r="G554" s="78"/>
      <c r="H554" s="78"/>
      <c r="I554" s="78"/>
      <c r="J554" s="77"/>
      <c r="K554" s="78"/>
      <c r="L554" s="78"/>
      <c r="M554" s="78"/>
      <c r="N554" s="76"/>
      <c r="O554" s="78"/>
      <c r="P554" s="80"/>
      <c r="Q554" s="80"/>
      <c r="R554" s="78"/>
      <c r="S554" s="78"/>
      <c r="T554" s="78"/>
      <c r="U554" s="78"/>
      <c r="V554" s="78"/>
    </row>
    <row r="555" spans="1:22" x14ac:dyDescent="0.25">
      <c r="A555" s="78"/>
      <c r="B555" s="78"/>
      <c r="C555" s="78"/>
      <c r="D555" s="78"/>
      <c r="E555" s="78"/>
      <c r="F555" s="76"/>
      <c r="G555" s="78"/>
      <c r="H555" s="78"/>
      <c r="I555" s="78"/>
      <c r="J555" s="77"/>
      <c r="K555" s="78"/>
      <c r="L555" s="78"/>
      <c r="M555" s="78"/>
      <c r="N555" s="76"/>
      <c r="O555" s="78"/>
      <c r="P555" s="80"/>
      <c r="Q555" s="80"/>
      <c r="R555" s="78"/>
      <c r="S555" s="78"/>
      <c r="T555" s="78"/>
      <c r="U555" s="78"/>
      <c r="V555" s="78"/>
    </row>
    <row r="556" spans="1:22" x14ac:dyDescent="0.25">
      <c r="A556" s="78"/>
      <c r="B556" s="78"/>
      <c r="C556" s="78"/>
      <c r="D556" s="78"/>
      <c r="E556" s="78"/>
      <c r="F556" s="76"/>
      <c r="G556" s="78"/>
      <c r="H556" s="78"/>
      <c r="I556" s="78"/>
      <c r="J556" s="77"/>
      <c r="K556" s="78"/>
      <c r="L556" s="78"/>
      <c r="M556" s="78"/>
      <c r="N556" s="76"/>
      <c r="O556" s="78"/>
      <c r="P556" s="80"/>
      <c r="Q556" s="80"/>
      <c r="R556" s="78"/>
      <c r="S556" s="78"/>
      <c r="T556" s="78"/>
      <c r="U556" s="78"/>
      <c r="V556" s="78"/>
    </row>
    <row r="557" spans="1:22" x14ac:dyDescent="0.25">
      <c r="A557" s="78"/>
      <c r="B557" s="78"/>
      <c r="C557" s="78"/>
      <c r="D557" s="78"/>
      <c r="E557" s="78"/>
      <c r="F557" s="76"/>
      <c r="G557" s="78"/>
      <c r="H557" s="78"/>
      <c r="I557" s="78"/>
      <c r="J557" s="77"/>
      <c r="K557" s="78"/>
      <c r="L557" s="78"/>
      <c r="M557" s="78"/>
      <c r="N557" s="76"/>
      <c r="O557" s="78"/>
      <c r="P557" s="80"/>
      <c r="Q557" s="80"/>
      <c r="R557" s="78"/>
      <c r="S557" s="78"/>
      <c r="T557" s="78"/>
      <c r="U557" s="78"/>
      <c r="V557" s="78"/>
    </row>
    <row r="558" spans="1:22" x14ac:dyDescent="0.25">
      <c r="A558" s="78"/>
      <c r="B558" s="78"/>
      <c r="C558" s="78"/>
      <c r="D558" s="78"/>
      <c r="E558" s="78"/>
      <c r="F558" s="76"/>
      <c r="G558" s="78"/>
      <c r="H558" s="78"/>
      <c r="I558" s="78"/>
      <c r="J558" s="77"/>
      <c r="K558" s="78"/>
      <c r="L558" s="78"/>
      <c r="M558" s="78"/>
      <c r="N558" s="76"/>
      <c r="O558" s="78"/>
      <c r="P558" s="80"/>
      <c r="Q558" s="80"/>
      <c r="R558" s="78"/>
      <c r="S558" s="78"/>
      <c r="T558" s="78"/>
      <c r="U558" s="78"/>
      <c r="V558" s="78"/>
    </row>
    <row r="559" spans="1:22" x14ac:dyDescent="0.25">
      <c r="A559" s="78"/>
      <c r="B559" s="78"/>
      <c r="C559" s="78"/>
      <c r="D559" s="78"/>
      <c r="E559" s="78"/>
      <c r="F559" s="76"/>
      <c r="G559" s="78"/>
      <c r="H559" s="78"/>
      <c r="I559" s="78"/>
      <c r="J559" s="77"/>
      <c r="K559" s="78"/>
      <c r="L559" s="78"/>
      <c r="M559" s="78"/>
      <c r="N559" s="76"/>
      <c r="O559" s="78"/>
      <c r="P559" s="80"/>
      <c r="Q559" s="80"/>
      <c r="R559" s="78"/>
      <c r="S559" s="78"/>
      <c r="T559" s="78"/>
      <c r="U559" s="78"/>
      <c r="V559" s="78"/>
    </row>
    <row r="560" spans="1:22" x14ac:dyDescent="0.25">
      <c r="A560" s="78"/>
      <c r="B560" s="78"/>
      <c r="C560" s="78"/>
      <c r="D560" s="78"/>
      <c r="E560" s="78"/>
      <c r="F560" s="76"/>
      <c r="G560" s="78"/>
      <c r="H560" s="78"/>
      <c r="I560" s="78"/>
      <c r="J560" s="77"/>
      <c r="K560" s="78"/>
      <c r="L560" s="78"/>
      <c r="M560" s="78"/>
      <c r="N560" s="76"/>
      <c r="O560" s="78"/>
      <c r="P560" s="80"/>
      <c r="Q560" s="80"/>
      <c r="R560" s="78"/>
      <c r="S560" s="78"/>
      <c r="T560" s="78"/>
      <c r="U560" s="78"/>
      <c r="V560" s="78"/>
    </row>
    <row r="561" spans="1:22" x14ac:dyDescent="0.25">
      <c r="A561" s="78"/>
      <c r="B561" s="78"/>
      <c r="C561" s="78"/>
      <c r="D561" s="78"/>
      <c r="E561" s="78"/>
      <c r="F561" s="76"/>
      <c r="G561" s="78"/>
      <c r="H561" s="78"/>
      <c r="I561" s="78"/>
      <c r="J561" s="77"/>
      <c r="K561" s="78"/>
      <c r="L561" s="78"/>
      <c r="M561" s="78"/>
      <c r="N561" s="76"/>
      <c r="O561" s="78"/>
      <c r="P561" s="80"/>
      <c r="Q561" s="80"/>
      <c r="R561" s="78"/>
      <c r="S561" s="78"/>
      <c r="T561" s="78"/>
      <c r="U561" s="78"/>
      <c r="V561" s="78"/>
    </row>
    <row r="562" spans="1:22" x14ac:dyDescent="0.25">
      <c r="A562" s="78"/>
      <c r="B562" s="78"/>
      <c r="C562" s="78"/>
      <c r="D562" s="78"/>
      <c r="E562" s="78"/>
      <c r="F562" s="76"/>
      <c r="G562" s="78"/>
      <c r="H562" s="78"/>
      <c r="I562" s="78"/>
      <c r="J562" s="77"/>
      <c r="K562" s="78"/>
      <c r="L562" s="78"/>
      <c r="M562" s="78"/>
      <c r="N562" s="76"/>
      <c r="O562" s="78"/>
      <c r="P562" s="80"/>
      <c r="Q562" s="80"/>
      <c r="R562" s="78"/>
      <c r="S562" s="78"/>
      <c r="T562" s="78"/>
      <c r="U562" s="78"/>
      <c r="V562" s="78"/>
    </row>
    <row r="563" spans="1:22" x14ac:dyDescent="0.25">
      <c r="A563" s="78"/>
      <c r="B563" s="78"/>
      <c r="C563" s="78"/>
      <c r="D563" s="78"/>
      <c r="E563" s="78"/>
      <c r="F563" s="76"/>
      <c r="G563" s="78"/>
      <c r="H563" s="78"/>
      <c r="I563" s="78"/>
      <c r="J563" s="77"/>
      <c r="K563" s="78"/>
      <c r="L563" s="78"/>
      <c r="M563" s="78"/>
      <c r="N563" s="76"/>
      <c r="O563" s="78"/>
      <c r="P563" s="80"/>
      <c r="Q563" s="80"/>
      <c r="R563" s="78"/>
      <c r="S563" s="78"/>
      <c r="T563" s="78"/>
      <c r="U563" s="78"/>
      <c r="V563" s="78"/>
    </row>
    <row r="564" spans="1:22" x14ac:dyDescent="0.25">
      <c r="A564" s="78"/>
      <c r="B564" s="78"/>
      <c r="C564" s="78"/>
      <c r="D564" s="78"/>
      <c r="E564" s="78"/>
      <c r="F564" s="76"/>
      <c r="G564" s="78"/>
      <c r="H564" s="78"/>
      <c r="I564" s="78"/>
      <c r="J564" s="77"/>
      <c r="K564" s="78"/>
      <c r="L564" s="78"/>
      <c r="M564" s="78"/>
      <c r="N564" s="76"/>
      <c r="O564" s="78"/>
      <c r="P564" s="80"/>
      <c r="Q564" s="80"/>
      <c r="R564" s="78"/>
      <c r="S564" s="78"/>
      <c r="T564" s="78"/>
      <c r="U564" s="78"/>
      <c r="V564" s="78"/>
    </row>
    <row r="565" spans="1:22" x14ac:dyDescent="0.25">
      <c r="A565" s="78"/>
      <c r="B565" s="78"/>
      <c r="C565" s="78"/>
      <c r="D565" s="78"/>
      <c r="E565" s="78"/>
      <c r="F565" s="76"/>
      <c r="G565" s="78"/>
      <c r="H565" s="78"/>
      <c r="I565" s="78"/>
      <c r="J565" s="77"/>
      <c r="K565" s="78"/>
      <c r="L565" s="78"/>
      <c r="M565" s="78"/>
      <c r="N565" s="76"/>
      <c r="O565" s="78"/>
      <c r="P565" s="80"/>
      <c r="Q565" s="80"/>
      <c r="R565" s="78"/>
      <c r="S565" s="78"/>
      <c r="T565" s="78"/>
      <c r="U565" s="78"/>
      <c r="V565" s="78"/>
    </row>
    <row r="566" spans="1:22" x14ac:dyDescent="0.25">
      <c r="A566" s="78"/>
      <c r="B566" s="78"/>
      <c r="C566" s="78"/>
      <c r="D566" s="78"/>
      <c r="E566" s="78"/>
      <c r="F566" s="76"/>
      <c r="G566" s="78"/>
      <c r="H566" s="78"/>
      <c r="I566" s="78"/>
      <c r="J566" s="77"/>
      <c r="K566" s="78"/>
      <c r="L566" s="78"/>
      <c r="M566" s="78"/>
      <c r="N566" s="76"/>
      <c r="O566" s="78"/>
      <c r="P566" s="80"/>
      <c r="Q566" s="80"/>
      <c r="R566" s="78"/>
      <c r="S566" s="78"/>
      <c r="T566" s="78"/>
      <c r="U566" s="78"/>
      <c r="V566" s="78"/>
    </row>
    <row r="567" spans="1:22" x14ac:dyDescent="0.25">
      <c r="A567" s="78"/>
      <c r="B567" s="78"/>
      <c r="C567" s="78"/>
      <c r="D567" s="78"/>
      <c r="E567" s="78"/>
      <c r="F567" s="76"/>
      <c r="G567" s="78"/>
      <c r="H567" s="78"/>
      <c r="I567" s="78"/>
      <c r="J567" s="77"/>
      <c r="K567" s="78"/>
      <c r="L567" s="78"/>
      <c r="M567" s="78"/>
      <c r="N567" s="76"/>
      <c r="O567" s="78"/>
      <c r="P567" s="80"/>
      <c r="Q567" s="80"/>
      <c r="R567" s="78"/>
      <c r="S567" s="78"/>
      <c r="T567" s="78"/>
      <c r="U567" s="78"/>
      <c r="V567" s="78"/>
    </row>
    <row r="568" spans="1:22" x14ac:dyDescent="0.25">
      <c r="A568" s="78"/>
      <c r="B568" s="78"/>
      <c r="C568" s="78"/>
      <c r="D568" s="78"/>
      <c r="E568" s="78"/>
      <c r="F568" s="76"/>
      <c r="G568" s="78"/>
      <c r="H568" s="78"/>
      <c r="I568" s="78"/>
      <c r="J568" s="77"/>
      <c r="K568" s="78"/>
      <c r="L568" s="78"/>
      <c r="M568" s="78"/>
      <c r="N568" s="76"/>
      <c r="O568" s="78"/>
      <c r="P568" s="80"/>
      <c r="Q568" s="80"/>
      <c r="R568" s="78"/>
      <c r="S568" s="78"/>
      <c r="T568" s="78"/>
      <c r="U568" s="78"/>
      <c r="V568" s="78"/>
    </row>
    <row r="569" spans="1:22" x14ac:dyDescent="0.25">
      <c r="A569" s="78"/>
      <c r="B569" s="78"/>
      <c r="C569" s="78"/>
      <c r="D569" s="78"/>
      <c r="E569" s="78"/>
      <c r="F569" s="76"/>
      <c r="G569" s="78"/>
      <c r="H569" s="78"/>
      <c r="I569" s="78"/>
      <c r="J569" s="77"/>
      <c r="K569" s="78"/>
      <c r="L569" s="78"/>
      <c r="M569" s="78"/>
      <c r="N569" s="76"/>
      <c r="O569" s="78"/>
      <c r="P569" s="80"/>
      <c r="Q569" s="80"/>
      <c r="R569" s="78"/>
      <c r="S569" s="78"/>
      <c r="T569" s="78"/>
      <c r="U569" s="78"/>
      <c r="V569" s="78"/>
    </row>
    <row r="570" spans="1:22" x14ac:dyDescent="0.25">
      <c r="A570" s="78"/>
      <c r="B570" s="78"/>
      <c r="C570" s="78"/>
      <c r="D570" s="78"/>
      <c r="E570" s="78"/>
      <c r="F570" s="76"/>
      <c r="G570" s="78"/>
      <c r="H570" s="78"/>
      <c r="I570" s="78"/>
      <c r="J570" s="77"/>
      <c r="K570" s="78"/>
      <c r="L570" s="78"/>
      <c r="M570" s="78"/>
      <c r="N570" s="76"/>
      <c r="O570" s="78"/>
      <c r="P570" s="80"/>
      <c r="Q570" s="80"/>
      <c r="R570" s="78"/>
      <c r="S570" s="78"/>
      <c r="T570" s="78"/>
      <c r="U570" s="78"/>
      <c r="V570" s="78"/>
    </row>
    <row r="571" spans="1:22" x14ac:dyDescent="0.25">
      <c r="A571" s="78"/>
      <c r="B571" s="78"/>
      <c r="C571" s="78"/>
      <c r="D571" s="78"/>
      <c r="E571" s="78"/>
      <c r="F571" s="76"/>
      <c r="G571" s="78"/>
      <c r="H571" s="78"/>
      <c r="I571" s="78"/>
      <c r="J571" s="77"/>
      <c r="K571" s="78"/>
      <c r="L571" s="78"/>
      <c r="M571" s="78"/>
      <c r="N571" s="76"/>
      <c r="O571" s="78"/>
      <c r="P571" s="80"/>
      <c r="Q571" s="80"/>
      <c r="R571" s="78"/>
      <c r="S571" s="78"/>
      <c r="T571" s="78"/>
      <c r="U571" s="78"/>
      <c r="V571" s="78"/>
    </row>
    <row r="572" spans="1:22" x14ac:dyDescent="0.25">
      <c r="A572" s="78"/>
      <c r="B572" s="78"/>
      <c r="C572" s="78"/>
      <c r="D572" s="78"/>
      <c r="E572" s="78"/>
      <c r="F572" s="76"/>
      <c r="G572" s="78"/>
      <c r="H572" s="78"/>
      <c r="I572" s="78"/>
      <c r="J572" s="77"/>
      <c r="K572" s="78"/>
      <c r="L572" s="78"/>
      <c r="M572" s="78"/>
      <c r="N572" s="76"/>
      <c r="O572" s="78"/>
      <c r="P572" s="80"/>
      <c r="Q572" s="80"/>
      <c r="R572" s="78"/>
      <c r="S572" s="78"/>
      <c r="T572" s="78"/>
      <c r="U572" s="78"/>
      <c r="V572" s="78"/>
    </row>
    <row r="573" spans="1:22" x14ac:dyDescent="0.25">
      <c r="A573" s="78"/>
      <c r="B573" s="78"/>
      <c r="C573" s="78"/>
      <c r="D573" s="78"/>
      <c r="E573" s="78"/>
      <c r="F573" s="76"/>
      <c r="G573" s="78"/>
      <c r="H573" s="78"/>
      <c r="I573" s="78"/>
      <c r="J573" s="77"/>
      <c r="K573" s="78"/>
      <c r="L573" s="78"/>
      <c r="M573" s="78"/>
      <c r="N573" s="76"/>
      <c r="O573" s="78"/>
      <c r="P573" s="80"/>
      <c r="Q573" s="80"/>
      <c r="R573" s="78"/>
      <c r="S573" s="78"/>
      <c r="T573" s="78"/>
      <c r="U573" s="78"/>
      <c r="V573" s="78"/>
    </row>
    <row r="574" spans="1:22" x14ac:dyDescent="0.25">
      <c r="A574" s="78"/>
      <c r="B574" s="78"/>
      <c r="C574" s="78"/>
      <c r="D574" s="78"/>
      <c r="E574" s="78"/>
      <c r="F574" s="76"/>
      <c r="G574" s="78"/>
      <c r="H574" s="78"/>
      <c r="I574" s="78"/>
      <c r="J574" s="77"/>
      <c r="K574" s="78"/>
      <c r="L574" s="78"/>
      <c r="M574" s="78"/>
      <c r="N574" s="76"/>
      <c r="O574" s="78"/>
      <c r="P574" s="80"/>
      <c r="Q574" s="80"/>
      <c r="R574" s="78"/>
      <c r="S574" s="78"/>
      <c r="T574" s="78"/>
      <c r="U574" s="78"/>
      <c r="V574" s="78"/>
    </row>
    <row r="575" spans="1:22" x14ac:dyDescent="0.25">
      <c r="A575" s="78"/>
      <c r="B575" s="78"/>
      <c r="C575" s="78"/>
      <c r="D575" s="78"/>
      <c r="E575" s="78"/>
      <c r="F575" s="76"/>
      <c r="G575" s="78"/>
      <c r="H575" s="78"/>
      <c r="I575" s="78"/>
      <c r="J575" s="77"/>
      <c r="K575" s="78"/>
      <c r="L575" s="78"/>
      <c r="M575" s="78"/>
      <c r="N575" s="76"/>
      <c r="O575" s="78"/>
      <c r="P575" s="80"/>
      <c r="Q575" s="80"/>
      <c r="R575" s="78"/>
      <c r="S575" s="78"/>
      <c r="T575" s="78"/>
      <c r="U575" s="78"/>
      <c r="V575" s="78"/>
    </row>
    <row r="576" spans="1:22" x14ac:dyDescent="0.25">
      <c r="A576" s="78"/>
      <c r="B576" s="78"/>
      <c r="C576" s="78"/>
      <c r="D576" s="78"/>
      <c r="E576" s="78"/>
      <c r="F576" s="76"/>
      <c r="G576" s="78"/>
      <c r="H576" s="78"/>
      <c r="I576" s="78"/>
      <c r="J576" s="77"/>
      <c r="K576" s="78"/>
      <c r="L576" s="78"/>
      <c r="M576" s="78"/>
      <c r="N576" s="76"/>
      <c r="O576" s="78"/>
      <c r="P576" s="80"/>
      <c r="Q576" s="80"/>
      <c r="R576" s="78"/>
      <c r="S576" s="78"/>
      <c r="T576" s="78"/>
      <c r="U576" s="78"/>
      <c r="V576" s="78"/>
    </row>
    <row r="577" spans="1:22" x14ac:dyDescent="0.25">
      <c r="A577" s="78"/>
      <c r="B577" s="78"/>
      <c r="C577" s="78"/>
      <c r="D577" s="78"/>
      <c r="E577" s="78"/>
      <c r="F577" s="76"/>
      <c r="G577" s="78"/>
      <c r="H577" s="78"/>
      <c r="I577" s="78"/>
      <c r="J577" s="77"/>
      <c r="K577" s="78"/>
      <c r="L577" s="78"/>
      <c r="M577" s="78"/>
      <c r="N577" s="76"/>
      <c r="O577" s="78"/>
      <c r="P577" s="80"/>
      <c r="Q577" s="80"/>
      <c r="R577" s="78"/>
      <c r="S577" s="78"/>
      <c r="T577" s="78"/>
      <c r="U577" s="78"/>
      <c r="V577" s="78"/>
    </row>
    <row r="578" spans="1:22" x14ac:dyDescent="0.25">
      <c r="A578" s="78"/>
      <c r="B578" s="78"/>
      <c r="C578" s="78"/>
      <c r="D578" s="78"/>
      <c r="E578" s="78"/>
      <c r="F578" s="76"/>
      <c r="G578" s="78"/>
      <c r="H578" s="78"/>
      <c r="I578" s="78"/>
      <c r="J578" s="77"/>
      <c r="K578" s="78"/>
      <c r="L578" s="78"/>
      <c r="M578" s="78"/>
      <c r="N578" s="76"/>
      <c r="O578" s="78"/>
      <c r="P578" s="80"/>
      <c r="Q578" s="80"/>
      <c r="R578" s="78"/>
      <c r="S578" s="78"/>
      <c r="T578" s="78"/>
      <c r="U578" s="78"/>
      <c r="V578" s="78"/>
    </row>
    <row r="579" spans="1:22" x14ac:dyDescent="0.25">
      <c r="A579" s="78"/>
      <c r="B579" s="78"/>
      <c r="C579" s="78"/>
      <c r="D579" s="78"/>
      <c r="E579" s="78"/>
      <c r="F579" s="76"/>
      <c r="G579" s="78"/>
      <c r="H579" s="78"/>
      <c r="I579" s="78"/>
      <c r="J579" s="77"/>
      <c r="K579" s="78"/>
      <c r="L579" s="78"/>
      <c r="M579" s="78"/>
      <c r="N579" s="76"/>
      <c r="O579" s="78"/>
      <c r="P579" s="80"/>
      <c r="Q579" s="80"/>
      <c r="R579" s="78"/>
      <c r="S579" s="78"/>
      <c r="T579" s="78"/>
      <c r="U579" s="78"/>
      <c r="V579" s="78"/>
    </row>
    <row r="580" spans="1:22" x14ac:dyDescent="0.25">
      <c r="A580" s="78"/>
      <c r="B580" s="78"/>
      <c r="C580" s="78"/>
      <c r="D580" s="78"/>
      <c r="E580" s="78"/>
      <c r="F580" s="76"/>
      <c r="G580" s="78"/>
      <c r="H580" s="78"/>
      <c r="I580" s="78"/>
      <c r="J580" s="77"/>
      <c r="K580" s="78"/>
      <c r="L580" s="78"/>
      <c r="M580" s="78"/>
      <c r="N580" s="76"/>
      <c r="O580" s="78"/>
      <c r="P580" s="80"/>
      <c r="Q580" s="80"/>
      <c r="R580" s="78"/>
      <c r="S580" s="78"/>
      <c r="T580" s="78"/>
      <c r="U580" s="78"/>
      <c r="V580" s="78"/>
    </row>
    <row r="581" spans="1:22" x14ac:dyDescent="0.25">
      <c r="A581" s="78"/>
      <c r="B581" s="78"/>
      <c r="C581" s="78"/>
      <c r="D581" s="78"/>
      <c r="E581" s="78"/>
      <c r="F581" s="76"/>
      <c r="G581" s="78"/>
      <c r="H581" s="78"/>
      <c r="I581" s="78"/>
      <c r="J581" s="77"/>
      <c r="K581" s="78"/>
      <c r="L581" s="78"/>
      <c r="M581" s="78"/>
      <c r="N581" s="76"/>
      <c r="O581" s="78"/>
      <c r="P581" s="80"/>
      <c r="Q581" s="80"/>
      <c r="R581" s="78"/>
      <c r="S581" s="78"/>
      <c r="T581" s="78"/>
      <c r="U581" s="78"/>
      <c r="V581" s="78"/>
    </row>
    <row r="582" spans="1:22" x14ac:dyDescent="0.25">
      <c r="A582" s="78"/>
      <c r="B582" s="78"/>
      <c r="C582" s="78"/>
      <c r="D582" s="78"/>
      <c r="E582" s="78"/>
      <c r="F582" s="76"/>
      <c r="G582" s="78"/>
      <c r="H582" s="78"/>
      <c r="I582" s="78"/>
      <c r="J582" s="77"/>
      <c r="K582" s="78"/>
      <c r="L582" s="78"/>
      <c r="M582" s="78"/>
      <c r="N582" s="76"/>
      <c r="O582" s="78"/>
      <c r="P582" s="80"/>
      <c r="Q582" s="80"/>
      <c r="R582" s="78"/>
      <c r="S582" s="78"/>
      <c r="T582" s="78"/>
      <c r="U582" s="78"/>
      <c r="V582" s="78"/>
    </row>
    <row r="583" spans="1:22" x14ac:dyDescent="0.25">
      <c r="A583" s="78"/>
      <c r="B583" s="78"/>
      <c r="C583" s="78"/>
      <c r="D583" s="78"/>
      <c r="E583" s="78"/>
      <c r="F583" s="76"/>
      <c r="G583" s="78"/>
      <c r="H583" s="78"/>
      <c r="I583" s="78"/>
      <c r="J583" s="77"/>
      <c r="K583" s="78"/>
      <c r="L583" s="78"/>
      <c r="M583" s="78"/>
      <c r="N583" s="76"/>
      <c r="O583" s="78"/>
      <c r="P583" s="80"/>
      <c r="Q583" s="80"/>
      <c r="R583" s="78"/>
      <c r="S583" s="78"/>
      <c r="T583" s="78"/>
      <c r="U583" s="78"/>
      <c r="V583" s="78"/>
    </row>
    <row r="584" spans="1:22" x14ac:dyDescent="0.25">
      <c r="A584" s="78"/>
      <c r="B584" s="78"/>
      <c r="C584" s="78"/>
      <c r="D584" s="78"/>
      <c r="E584" s="78"/>
      <c r="F584" s="76"/>
      <c r="G584" s="78"/>
      <c r="H584" s="78"/>
      <c r="I584" s="78"/>
      <c r="J584" s="77"/>
      <c r="K584" s="78"/>
      <c r="L584" s="78"/>
      <c r="M584" s="78"/>
      <c r="N584" s="76"/>
      <c r="O584" s="78"/>
      <c r="P584" s="80"/>
      <c r="Q584" s="80"/>
      <c r="R584" s="78"/>
      <c r="S584" s="78"/>
      <c r="T584" s="78"/>
      <c r="U584" s="78"/>
      <c r="V584" s="78"/>
    </row>
    <row r="585" spans="1:22" x14ac:dyDescent="0.25">
      <c r="A585" s="78"/>
      <c r="B585" s="78"/>
      <c r="C585" s="78"/>
      <c r="D585" s="78"/>
      <c r="E585" s="78"/>
      <c r="F585" s="76"/>
      <c r="G585" s="78"/>
      <c r="H585" s="78"/>
      <c r="I585" s="78"/>
      <c r="J585" s="77"/>
      <c r="K585" s="78"/>
      <c r="L585" s="78"/>
      <c r="M585" s="78"/>
      <c r="N585" s="76"/>
      <c r="O585" s="78"/>
      <c r="P585" s="80"/>
      <c r="Q585" s="80"/>
      <c r="R585" s="78"/>
      <c r="S585" s="78"/>
      <c r="T585" s="78"/>
      <c r="U585" s="78"/>
      <c r="V585" s="78"/>
    </row>
    <row r="586" spans="1:22" x14ac:dyDescent="0.25">
      <c r="A586" s="78"/>
      <c r="B586" s="78"/>
      <c r="C586" s="78"/>
      <c r="D586" s="78"/>
      <c r="E586" s="78"/>
      <c r="F586" s="76"/>
      <c r="G586" s="78"/>
      <c r="H586" s="78"/>
      <c r="I586" s="78"/>
      <c r="J586" s="77"/>
      <c r="K586" s="78"/>
      <c r="L586" s="78"/>
      <c r="M586" s="78"/>
      <c r="N586" s="76"/>
      <c r="O586" s="78"/>
      <c r="P586" s="80"/>
      <c r="Q586" s="80"/>
      <c r="R586" s="78"/>
      <c r="S586" s="78"/>
      <c r="T586" s="78"/>
      <c r="U586" s="78"/>
      <c r="V586" s="78"/>
    </row>
    <row r="587" spans="1:22" x14ac:dyDescent="0.25">
      <c r="A587" s="78"/>
      <c r="B587" s="78"/>
      <c r="C587" s="78"/>
      <c r="D587" s="78"/>
      <c r="E587" s="78"/>
      <c r="F587" s="76"/>
      <c r="G587" s="78"/>
      <c r="H587" s="78"/>
      <c r="I587" s="78"/>
      <c r="J587" s="77"/>
      <c r="K587" s="78"/>
      <c r="L587" s="78"/>
      <c r="M587" s="78"/>
      <c r="N587" s="76"/>
      <c r="O587" s="78"/>
      <c r="P587" s="80"/>
      <c r="Q587" s="80"/>
      <c r="R587" s="78"/>
      <c r="S587" s="78"/>
      <c r="T587" s="78"/>
      <c r="U587" s="78"/>
      <c r="V587" s="78"/>
    </row>
    <row r="588" spans="1:22" x14ac:dyDescent="0.25">
      <c r="A588" s="78"/>
      <c r="B588" s="78"/>
      <c r="C588" s="78"/>
      <c r="D588" s="78"/>
      <c r="E588" s="78"/>
      <c r="F588" s="76"/>
      <c r="G588" s="78"/>
      <c r="H588" s="78"/>
      <c r="I588" s="78"/>
      <c r="J588" s="77"/>
      <c r="K588" s="78"/>
      <c r="L588" s="78"/>
      <c r="M588" s="78"/>
      <c r="N588" s="76"/>
      <c r="O588" s="78"/>
      <c r="P588" s="80"/>
      <c r="Q588" s="80"/>
      <c r="R588" s="78"/>
      <c r="S588" s="78"/>
      <c r="T588" s="78"/>
      <c r="U588" s="78"/>
      <c r="V588" s="78"/>
    </row>
    <row r="589" spans="1:22" x14ac:dyDescent="0.25">
      <c r="A589" s="78"/>
      <c r="B589" s="78"/>
      <c r="C589" s="78"/>
      <c r="D589" s="78"/>
      <c r="E589" s="78"/>
      <c r="F589" s="76"/>
      <c r="G589" s="78"/>
      <c r="H589" s="78"/>
      <c r="I589" s="78"/>
      <c r="J589" s="77"/>
      <c r="K589" s="78"/>
      <c r="L589" s="78"/>
      <c r="M589" s="78"/>
      <c r="N589" s="76"/>
      <c r="O589" s="78"/>
      <c r="P589" s="80"/>
      <c r="Q589" s="80"/>
      <c r="R589" s="78"/>
      <c r="S589" s="78"/>
      <c r="T589" s="78"/>
      <c r="U589" s="78"/>
      <c r="V589" s="78"/>
    </row>
    <row r="590" spans="1:22" x14ac:dyDescent="0.25">
      <c r="A590" s="78"/>
      <c r="B590" s="78"/>
      <c r="C590" s="78"/>
      <c r="D590" s="78"/>
      <c r="E590" s="78"/>
      <c r="F590" s="76"/>
      <c r="G590" s="78"/>
      <c r="H590" s="78"/>
      <c r="I590" s="78"/>
      <c r="J590" s="77"/>
      <c r="K590" s="78"/>
      <c r="L590" s="78"/>
      <c r="M590" s="78"/>
      <c r="N590" s="76"/>
      <c r="O590" s="78"/>
      <c r="P590" s="80"/>
      <c r="Q590" s="80"/>
      <c r="R590" s="78"/>
      <c r="S590" s="78"/>
      <c r="T590" s="78"/>
      <c r="U590" s="78"/>
      <c r="V590" s="78"/>
    </row>
    <row r="591" spans="1:22" x14ac:dyDescent="0.25">
      <c r="A591" s="78"/>
      <c r="B591" s="78"/>
      <c r="C591" s="78"/>
      <c r="D591" s="78"/>
      <c r="E591" s="78"/>
      <c r="F591" s="76"/>
      <c r="G591" s="78"/>
      <c r="H591" s="78"/>
      <c r="I591" s="78"/>
      <c r="J591" s="77"/>
      <c r="K591" s="78"/>
      <c r="L591" s="78"/>
      <c r="M591" s="78"/>
      <c r="N591" s="76"/>
      <c r="O591" s="78"/>
      <c r="P591" s="80"/>
      <c r="Q591" s="80"/>
      <c r="R591" s="78"/>
      <c r="S591" s="78"/>
      <c r="T591" s="78"/>
      <c r="U591" s="78"/>
      <c r="V591" s="78"/>
    </row>
    <row r="592" spans="1:22" x14ac:dyDescent="0.25">
      <c r="A592" s="78"/>
      <c r="B592" s="78"/>
      <c r="C592" s="78"/>
      <c r="D592" s="78"/>
      <c r="E592" s="78"/>
      <c r="F592" s="76"/>
      <c r="G592" s="78"/>
      <c r="H592" s="78"/>
      <c r="I592" s="78"/>
      <c r="J592" s="77"/>
      <c r="K592" s="78"/>
      <c r="L592" s="78"/>
      <c r="M592" s="78"/>
      <c r="N592" s="76"/>
      <c r="O592" s="78"/>
      <c r="P592" s="80"/>
      <c r="Q592" s="80"/>
      <c r="R592" s="78"/>
      <c r="S592" s="78"/>
      <c r="T592" s="78"/>
      <c r="U592" s="78"/>
      <c r="V592" s="78"/>
    </row>
    <row r="593" spans="1:22" x14ac:dyDescent="0.25">
      <c r="A593" s="78"/>
      <c r="B593" s="78"/>
      <c r="C593" s="78"/>
      <c r="D593" s="78"/>
      <c r="E593" s="78"/>
      <c r="F593" s="76"/>
      <c r="G593" s="78"/>
      <c r="H593" s="78"/>
      <c r="I593" s="78"/>
      <c r="J593" s="77"/>
      <c r="K593" s="78"/>
      <c r="L593" s="78"/>
      <c r="M593" s="78"/>
      <c r="N593" s="76"/>
      <c r="O593" s="78"/>
      <c r="P593" s="80"/>
      <c r="Q593" s="80"/>
      <c r="R593" s="78"/>
      <c r="S593" s="78"/>
      <c r="T593" s="78"/>
      <c r="U593" s="78"/>
      <c r="V593" s="78"/>
    </row>
    <row r="594" spans="1:22" x14ac:dyDescent="0.25">
      <c r="A594" s="78"/>
      <c r="B594" s="78"/>
      <c r="C594" s="78"/>
      <c r="D594" s="78"/>
      <c r="E594" s="78"/>
      <c r="F594" s="76"/>
      <c r="G594" s="78"/>
      <c r="H594" s="78"/>
      <c r="I594" s="78"/>
      <c r="J594" s="77"/>
      <c r="K594" s="78"/>
      <c r="L594" s="78"/>
      <c r="M594" s="78"/>
      <c r="N594" s="76"/>
      <c r="O594" s="78"/>
      <c r="P594" s="80"/>
      <c r="Q594" s="80"/>
      <c r="R594" s="78"/>
      <c r="S594" s="78"/>
      <c r="T594" s="78"/>
      <c r="U594" s="78"/>
      <c r="V594" s="78"/>
    </row>
    <row r="595" spans="1:22" x14ac:dyDescent="0.25">
      <c r="A595" s="78"/>
      <c r="B595" s="78"/>
      <c r="C595" s="78"/>
      <c r="D595" s="78"/>
      <c r="E595" s="78"/>
      <c r="F595" s="76"/>
      <c r="G595" s="78"/>
      <c r="H595" s="78"/>
      <c r="I595" s="78"/>
      <c r="J595" s="77"/>
      <c r="K595" s="78"/>
      <c r="L595" s="78"/>
      <c r="M595" s="78"/>
      <c r="N595" s="76"/>
      <c r="O595" s="78"/>
      <c r="P595" s="80"/>
      <c r="Q595" s="80"/>
      <c r="R595" s="78"/>
      <c r="S595" s="78"/>
      <c r="T595" s="78"/>
      <c r="U595" s="78"/>
      <c r="V595" s="78"/>
    </row>
    <row r="596" spans="1:22" x14ac:dyDescent="0.25">
      <c r="A596" s="78"/>
      <c r="B596" s="78"/>
      <c r="C596" s="78"/>
      <c r="D596" s="78"/>
      <c r="E596" s="78"/>
      <c r="F596" s="76"/>
      <c r="G596" s="78"/>
      <c r="H596" s="78"/>
      <c r="I596" s="78"/>
      <c r="J596" s="77"/>
      <c r="K596" s="78"/>
      <c r="L596" s="78"/>
      <c r="M596" s="78"/>
      <c r="N596" s="76"/>
      <c r="O596" s="78"/>
      <c r="P596" s="80"/>
      <c r="Q596" s="80"/>
      <c r="R596" s="78"/>
      <c r="S596" s="78"/>
      <c r="T596" s="78"/>
      <c r="U596" s="78"/>
      <c r="V596" s="78"/>
    </row>
    <row r="597" spans="1:22" x14ac:dyDescent="0.25">
      <c r="A597" s="78"/>
      <c r="B597" s="78"/>
      <c r="C597" s="78"/>
      <c r="D597" s="78"/>
      <c r="E597" s="78"/>
      <c r="F597" s="76"/>
      <c r="G597" s="78"/>
      <c r="H597" s="78"/>
      <c r="I597" s="78"/>
      <c r="J597" s="77"/>
      <c r="K597" s="78"/>
      <c r="L597" s="78"/>
      <c r="M597" s="78"/>
      <c r="N597" s="76"/>
      <c r="O597" s="78"/>
      <c r="P597" s="80"/>
      <c r="Q597" s="80"/>
      <c r="R597" s="78"/>
      <c r="S597" s="78"/>
      <c r="T597" s="78"/>
      <c r="U597" s="78"/>
      <c r="V597" s="78"/>
    </row>
    <row r="598" spans="1:22" x14ac:dyDescent="0.25">
      <c r="A598" s="78"/>
      <c r="B598" s="78"/>
      <c r="C598" s="78"/>
      <c r="D598" s="78"/>
      <c r="E598" s="78"/>
      <c r="F598" s="76"/>
      <c r="G598" s="78"/>
      <c r="H598" s="78"/>
      <c r="I598" s="78"/>
      <c r="J598" s="77"/>
      <c r="K598" s="78"/>
      <c r="L598" s="78"/>
      <c r="M598" s="78"/>
      <c r="N598" s="76"/>
      <c r="O598" s="78"/>
      <c r="P598" s="80"/>
      <c r="Q598" s="80"/>
      <c r="R598" s="78"/>
      <c r="S598" s="78"/>
      <c r="T598" s="78"/>
      <c r="U598" s="78"/>
      <c r="V598" s="78"/>
    </row>
    <row r="599" spans="1:22" x14ac:dyDescent="0.25">
      <c r="A599" s="78"/>
      <c r="B599" s="78"/>
      <c r="C599" s="78"/>
      <c r="D599" s="78"/>
      <c r="E599" s="78"/>
      <c r="F599" s="76"/>
      <c r="G599" s="78"/>
      <c r="H599" s="78"/>
      <c r="I599" s="78"/>
      <c r="J599" s="77"/>
      <c r="K599" s="78"/>
      <c r="L599" s="78"/>
      <c r="M599" s="78"/>
      <c r="N599" s="76"/>
      <c r="O599" s="78"/>
      <c r="P599" s="80"/>
      <c r="Q599" s="80"/>
      <c r="R599" s="78"/>
      <c r="S599" s="78"/>
      <c r="T599" s="78"/>
      <c r="U599" s="78"/>
      <c r="V599" s="78"/>
    </row>
    <row r="600" spans="1:22" x14ac:dyDescent="0.25">
      <c r="A600" s="78"/>
      <c r="B600" s="78"/>
      <c r="C600" s="78"/>
      <c r="D600" s="78"/>
      <c r="E600" s="78"/>
      <c r="F600" s="76"/>
      <c r="G600" s="78"/>
      <c r="H600" s="78"/>
      <c r="I600" s="78"/>
      <c r="J600" s="77"/>
      <c r="K600" s="78"/>
      <c r="L600" s="78"/>
      <c r="M600" s="78"/>
      <c r="N600" s="76"/>
      <c r="O600" s="78"/>
      <c r="P600" s="80"/>
      <c r="Q600" s="80"/>
      <c r="R600" s="78"/>
      <c r="S600" s="78"/>
      <c r="T600" s="78"/>
      <c r="U600" s="78"/>
      <c r="V600" s="78"/>
    </row>
    <row r="601" spans="1:22" x14ac:dyDescent="0.25">
      <c r="A601" s="78"/>
      <c r="B601" s="78"/>
      <c r="C601" s="78"/>
      <c r="D601" s="78"/>
      <c r="E601" s="78"/>
      <c r="F601" s="76"/>
      <c r="G601" s="78"/>
      <c r="H601" s="78"/>
      <c r="I601" s="78"/>
      <c r="J601" s="77"/>
      <c r="K601" s="78"/>
      <c r="L601" s="78"/>
      <c r="M601" s="78"/>
      <c r="N601" s="76"/>
      <c r="O601" s="78"/>
      <c r="P601" s="80"/>
      <c r="Q601" s="80"/>
      <c r="R601" s="78"/>
      <c r="S601" s="78"/>
      <c r="T601" s="78"/>
      <c r="U601" s="78"/>
      <c r="V601" s="78"/>
    </row>
    <row r="602" spans="1:22" x14ac:dyDescent="0.25">
      <c r="A602" s="78"/>
      <c r="B602" s="78"/>
      <c r="C602" s="78"/>
      <c r="D602" s="78"/>
      <c r="E602" s="78"/>
      <c r="F602" s="76"/>
      <c r="G602" s="78"/>
      <c r="H602" s="78"/>
      <c r="I602" s="78"/>
      <c r="J602" s="77"/>
      <c r="K602" s="78"/>
      <c r="L602" s="78"/>
      <c r="M602" s="78"/>
      <c r="N602" s="76"/>
      <c r="O602" s="78"/>
      <c r="P602" s="80"/>
      <c r="Q602" s="80"/>
      <c r="R602" s="78"/>
      <c r="S602" s="78"/>
      <c r="T602" s="78"/>
      <c r="U602" s="78"/>
      <c r="V602" s="78"/>
    </row>
    <row r="603" spans="1:22" x14ac:dyDescent="0.25">
      <c r="A603" s="78"/>
      <c r="B603" s="78"/>
      <c r="C603" s="78"/>
      <c r="D603" s="78"/>
      <c r="E603" s="78"/>
      <c r="F603" s="76"/>
      <c r="G603" s="78"/>
      <c r="H603" s="78"/>
      <c r="I603" s="78"/>
      <c r="J603" s="77"/>
      <c r="K603" s="78"/>
      <c r="L603" s="78"/>
      <c r="M603" s="78"/>
      <c r="N603" s="76"/>
      <c r="O603" s="78"/>
      <c r="P603" s="80"/>
      <c r="Q603" s="80"/>
      <c r="R603" s="78"/>
      <c r="S603" s="78"/>
      <c r="T603" s="78"/>
      <c r="U603" s="78"/>
      <c r="V603" s="78"/>
    </row>
    <row r="604" spans="1:22" x14ac:dyDescent="0.25">
      <c r="A604" s="78"/>
      <c r="B604" s="78"/>
      <c r="C604" s="78"/>
      <c r="D604" s="78"/>
      <c r="E604" s="78"/>
      <c r="F604" s="76"/>
      <c r="G604" s="78"/>
      <c r="H604" s="78"/>
      <c r="I604" s="78"/>
      <c r="J604" s="77"/>
      <c r="K604" s="78"/>
      <c r="L604" s="78"/>
      <c r="M604" s="78"/>
      <c r="N604" s="76"/>
      <c r="O604" s="78"/>
      <c r="P604" s="80"/>
      <c r="Q604" s="80"/>
      <c r="R604" s="78"/>
      <c r="S604" s="78"/>
      <c r="T604" s="78"/>
      <c r="U604" s="78"/>
      <c r="V604" s="78"/>
    </row>
    <row r="605" spans="1:22" x14ac:dyDescent="0.25">
      <c r="A605" s="78"/>
      <c r="B605" s="78"/>
      <c r="C605" s="78"/>
      <c r="D605" s="78"/>
      <c r="E605" s="78"/>
      <c r="F605" s="76"/>
      <c r="G605" s="78"/>
      <c r="H605" s="78"/>
      <c r="I605" s="78"/>
      <c r="J605" s="77"/>
      <c r="K605" s="78"/>
      <c r="L605" s="78"/>
      <c r="M605" s="78"/>
      <c r="N605" s="76"/>
      <c r="O605" s="78"/>
      <c r="P605" s="80"/>
      <c r="Q605" s="80"/>
      <c r="R605" s="78"/>
      <c r="S605" s="78"/>
      <c r="T605" s="78"/>
      <c r="U605" s="78"/>
      <c r="V605" s="78"/>
    </row>
    <row r="606" spans="1:22" x14ac:dyDescent="0.25">
      <c r="A606" s="78"/>
      <c r="B606" s="78"/>
      <c r="C606" s="78"/>
      <c r="D606" s="78"/>
      <c r="E606" s="78"/>
      <c r="F606" s="76"/>
      <c r="G606" s="78"/>
      <c r="H606" s="78"/>
      <c r="I606" s="78"/>
      <c r="J606" s="77"/>
      <c r="K606" s="78"/>
      <c r="L606" s="78"/>
      <c r="M606" s="78"/>
      <c r="N606" s="76"/>
      <c r="O606" s="78"/>
      <c r="P606" s="80"/>
      <c r="Q606" s="80"/>
      <c r="R606" s="78"/>
      <c r="S606" s="78"/>
      <c r="T606" s="78"/>
      <c r="U606" s="78"/>
      <c r="V606" s="78"/>
    </row>
    <row r="607" spans="1:22" x14ac:dyDescent="0.25">
      <c r="A607" s="78"/>
      <c r="B607" s="78"/>
      <c r="C607" s="78"/>
      <c r="D607" s="78"/>
      <c r="E607" s="78"/>
      <c r="F607" s="76"/>
      <c r="G607" s="78"/>
      <c r="H607" s="78"/>
      <c r="I607" s="78"/>
      <c r="J607" s="77"/>
      <c r="K607" s="78"/>
      <c r="L607" s="78"/>
      <c r="M607" s="78"/>
      <c r="N607" s="76"/>
      <c r="O607" s="78"/>
      <c r="P607" s="80"/>
      <c r="Q607" s="80"/>
      <c r="R607" s="78"/>
      <c r="S607" s="78"/>
      <c r="T607" s="78"/>
      <c r="U607" s="78"/>
      <c r="V607" s="78"/>
    </row>
    <row r="608" spans="1:22" x14ac:dyDescent="0.25">
      <c r="A608" s="78"/>
      <c r="B608" s="78"/>
      <c r="C608" s="78"/>
      <c r="D608" s="78"/>
      <c r="E608" s="78"/>
      <c r="F608" s="76"/>
      <c r="G608" s="78"/>
      <c r="H608" s="78"/>
      <c r="I608" s="78"/>
      <c r="J608" s="77"/>
      <c r="K608" s="78"/>
      <c r="L608" s="78"/>
      <c r="M608" s="78"/>
      <c r="N608" s="76"/>
      <c r="O608" s="78"/>
      <c r="P608" s="80"/>
      <c r="Q608" s="80"/>
      <c r="R608" s="78"/>
      <c r="S608" s="78"/>
      <c r="T608" s="78"/>
      <c r="U608" s="78"/>
      <c r="V608" s="78"/>
    </row>
    <row r="609" spans="1:22" x14ac:dyDescent="0.25">
      <c r="A609" s="78"/>
      <c r="B609" s="78"/>
      <c r="C609" s="78"/>
      <c r="D609" s="78"/>
      <c r="E609" s="78"/>
      <c r="F609" s="76"/>
      <c r="G609" s="78"/>
      <c r="H609" s="78"/>
      <c r="I609" s="78"/>
      <c r="J609" s="77"/>
      <c r="K609" s="78"/>
      <c r="L609" s="78"/>
      <c r="M609" s="78"/>
      <c r="N609" s="76"/>
      <c r="O609" s="78"/>
      <c r="P609" s="80"/>
      <c r="Q609" s="80"/>
      <c r="R609" s="78"/>
      <c r="S609" s="78"/>
      <c r="T609" s="78"/>
      <c r="U609" s="78"/>
      <c r="V609" s="78"/>
    </row>
    <row r="610" spans="1:22" x14ac:dyDescent="0.25">
      <c r="A610" s="78"/>
      <c r="B610" s="78"/>
      <c r="C610" s="78"/>
      <c r="D610" s="78"/>
      <c r="E610" s="78"/>
      <c r="F610" s="76"/>
      <c r="G610" s="78"/>
      <c r="H610" s="78"/>
      <c r="I610" s="78"/>
      <c r="J610" s="77"/>
      <c r="K610" s="78"/>
      <c r="L610" s="78"/>
      <c r="M610" s="78"/>
      <c r="N610" s="76"/>
      <c r="O610" s="78"/>
      <c r="P610" s="80"/>
      <c r="Q610" s="80"/>
      <c r="R610" s="78"/>
      <c r="S610" s="78"/>
      <c r="T610" s="78"/>
      <c r="U610" s="78"/>
      <c r="V610" s="78"/>
    </row>
    <row r="611" spans="1:22" x14ac:dyDescent="0.25">
      <c r="A611" s="78"/>
      <c r="B611" s="78"/>
      <c r="C611" s="78"/>
      <c r="D611" s="78"/>
      <c r="E611" s="78"/>
      <c r="F611" s="76"/>
      <c r="G611" s="78"/>
      <c r="H611" s="78"/>
      <c r="I611" s="78"/>
      <c r="J611" s="77"/>
      <c r="K611" s="78"/>
      <c r="L611" s="78"/>
      <c r="M611" s="78"/>
      <c r="N611" s="76"/>
      <c r="O611" s="78"/>
      <c r="P611" s="80"/>
      <c r="Q611" s="80"/>
      <c r="R611" s="78"/>
      <c r="S611" s="78"/>
      <c r="T611" s="78"/>
      <c r="U611" s="78"/>
      <c r="V611" s="78"/>
    </row>
    <row r="612" spans="1:22" x14ac:dyDescent="0.25">
      <c r="A612" s="78"/>
      <c r="B612" s="78"/>
      <c r="C612" s="78"/>
      <c r="D612" s="78"/>
      <c r="E612" s="78"/>
      <c r="F612" s="76"/>
      <c r="G612" s="78"/>
      <c r="H612" s="78"/>
      <c r="I612" s="78"/>
      <c r="J612" s="77"/>
      <c r="K612" s="78"/>
      <c r="L612" s="78"/>
      <c r="M612" s="78"/>
      <c r="N612" s="76"/>
      <c r="O612" s="78"/>
      <c r="P612" s="80"/>
      <c r="Q612" s="80"/>
      <c r="R612" s="78"/>
      <c r="S612" s="78"/>
      <c r="T612" s="78"/>
      <c r="U612" s="78"/>
      <c r="V612" s="78"/>
    </row>
    <row r="613" spans="1:22" x14ac:dyDescent="0.25">
      <c r="A613" s="78"/>
      <c r="B613" s="78"/>
      <c r="C613" s="78"/>
      <c r="D613" s="78"/>
      <c r="E613" s="78"/>
      <c r="F613" s="76"/>
      <c r="G613" s="78"/>
      <c r="H613" s="78"/>
      <c r="I613" s="78"/>
      <c r="J613" s="77"/>
      <c r="K613" s="78"/>
      <c r="L613" s="78"/>
      <c r="M613" s="78"/>
      <c r="N613" s="76"/>
      <c r="O613" s="78"/>
      <c r="P613" s="80"/>
      <c r="Q613" s="80"/>
      <c r="R613" s="78"/>
      <c r="S613" s="78"/>
      <c r="T613" s="78"/>
      <c r="U613" s="78"/>
      <c r="V613" s="78"/>
    </row>
    <row r="614" spans="1:22" x14ac:dyDescent="0.25">
      <c r="A614" s="78"/>
      <c r="B614" s="78"/>
      <c r="C614" s="78"/>
      <c r="D614" s="78"/>
      <c r="E614" s="78"/>
      <c r="F614" s="76"/>
      <c r="G614" s="78"/>
      <c r="H614" s="78"/>
      <c r="I614" s="78"/>
      <c r="J614" s="77"/>
      <c r="K614" s="78"/>
      <c r="L614" s="78"/>
      <c r="M614" s="78"/>
      <c r="N614" s="76"/>
      <c r="O614" s="78"/>
      <c r="P614" s="80"/>
      <c r="Q614" s="80"/>
      <c r="R614" s="78"/>
      <c r="S614" s="78"/>
      <c r="T614" s="78"/>
      <c r="U614" s="78"/>
      <c r="V614" s="78"/>
    </row>
    <row r="615" spans="1:22" x14ac:dyDescent="0.25">
      <c r="A615" s="78"/>
      <c r="B615" s="78"/>
      <c r="C615" s="78"/>
      <c r="D615" s="78"/>
      <c r="E615" s="78"/>
      <c r="F615" s="76"/>
      <c r="G615" s="78"/>
      <c r="H615" s="78"/>
      <c r="I615" s="78"/>
      <c r="J615" s="77"/>
      <c r="K615" s="78"/>
      <c r="L615" s="78"/>
      <c r="M615" s="78"/>
      <c r="N615" s="76"/>
      <c r="O615" s="78"/>
      <c r="P615" s="80"/>
      <c r="Q615" s="80"/>
      <c r="R615" s="78"/>
      <c r="S615" s="78"/>
      <c r="T615" s="78"/>
      <c r="U615" s="78"/>
      <c r="V615" s="78"/>
    </row>
    <row r="616" spans="1:22" x14ac:dyDescent="0.25">
      <c r="A616" s="78"/>
      <c r="B616" s="78"/>
      <c r="C616" s="78"/>
      <c r="D616" s="78"/>
      <c r="E616" s="78"/>
      <c r="F616" s="76"/>
      <c r="G616" s="78"/>
      <c r="H616" s="78"/>
      <c r="I616" s="78"/>
      <c r="J616" s="77"/>
      <c r="K616" s="78"/>
      <c r="L616" s="78"/>
      <c r="M616" s="78"/>
      <c r="N616" s="76"/>
      <c r="O616" s="78"/>
      <c r="P616" s="80"/>
      <c r="Q616" s="80"/>
      <c r="R616" s="78"/>
      <c r="S616" s="78"/>
      <c r="T616" s="78"/>
      <c r="U616" s="78"/>
      <c r="V616" s="78"/>
    </row>
    <row r="617" spans="1:22" x14ac:dyDescent="0.25">
      <c r="A617" s="78"/>
      <c r="B617" s="78"/>
      <c r="C617" s="78"/>
      <c r="D617" s="78"/>
      <c r="E617" s="78"/>
      <c r="F617" s="76"/>
      <c r="G617" s="78"/>
      <c r="H617" s="78"/>
      <c r="I617" s="78"/>
      <c r="J617" s="77"/>
      <c r="K617" s="78"/>
      <c r="L617" s="78"/>
      <c r="M617" s="78"/>
      <c r="N617" s="76"/>
      <c r="O617" s="78"/>
      <c r="P617" s="80"/>
      <c r="Q617" s="80"/>
      <c r="R617" s="78"/>
      <c r="S617" s="78"/>
      <c r="T617" s="78"/>
      <c r="U617" s="78"/>
      <c r="V617" s="78"/>
    </row>
    <row r="618" spans="1:22" x14ac:dyDescent="0.25">
      <c r="A618" s="78"/>
      <c r="B618" s="78"/>
      <c r="C618" s="78"/>
      <c r="D618" s="78"/>
      <c r="E618" s="78"/>
      <c r="F618" s="76"/>
      <c r="G618" s="78"/>
      <c r="H618" s="78"/>
      <c r="I618" s="78"/>
      <c r="J618" s="77"/>
      <c r="K618" s="78"/>
      <c r="L618" s="78"/>
      <c r="M618" s="78"/>
      <c r="N618" s="76"/>
      <c r="O618" s="78"/>
      <c r="P618" s="80"/>
      <c r="Q618" s="80"/>
      <c r="R618" s="78"/>
      <c r="S618" s="78"/>
      <c r="T618" s="78"/>
      <c r="U618" s="78"/>
      <c r="V618" s="78"/>
    </row>
    <row r="619" spans="1:22" x14ac:dyDescent="0.25">
      <c r="A619" s="78"/>
      <c r="B619" s="78"/>
      <c r="C619" s="78"/>
      <c r="D619" s="78"/>
      <c r="E619" s="78"/>
      <c r="F619" s="76"/>
      <c r="G619" s="78"/>
      <c r="H619" s="78"/>
      <c r="I619" s="78"/>
      <c r="J619" s="77"/>
      <c r="K619" s="78"/>
      <c r="L619" s="78"/>
      <c r="M619" s="78"/>
      <c r="N619" s="76"/>
      <c r="O619" s="78"/>
      <c r="P619" s="80"/>
      <c r="Q619" s="80"/>
      <c r="R619" s="78"/>
      <c r="S619" s="78"/>
      <c r="T619" s="78"/>
      <c r="U619" s="78"/>
      <c r="V619" s="78"/>
    </row>
    <row r="620" spans="1:22" x14ac:dyDescent="0.25">
      <c r="A620" s="78"/>
      <c r="B620" s="78"/>
      <c r="C620" s="78"/>
      <c r="D620" s="78"/>
      <c r="E620" s="78"/>
      <c r="F620" s="76"/>
      <c r="G620" s="78"/>
      <c r="H620" s="78"/>
      <c r="I620" s="78"/>
      <c r="J620" s="77"/>
      <c r="K620" s="78"/>
      <c r="L620" s="78"/>
      <c r="M620" s="78"/>
      <c r="N620" s="76"/>
      <c r="O620" s="78"/>
      <c r="P620" s="80"/>
      <c r="Q620" s="80"/>
      <c r="R620" s="78"/>
      <c r="S620" s="78"/>
      <c r="T620" s="78"/>
      <c r="U620" s="78"/>
      <c r="V620" s="78"/>
    </row>
    <row r="621" spans="1:22" x14ac:dyDescent="0.25">
      <c r="A621" s="78"/>
      <c r="B621" s="78"/>
      <c r="C621" s="78"/>
      <c r="D621" s="78"/>
      <c r="E621" s="78"/>
      <c r="F621" s="76"/>
      <c r="G621" s="78"/>
      <c r="H621" s="78"/>
      <c r="I621" s="78"/>
      <c r="J621" s="77"/>
      <c r="K621" s="78"/>
      <c r="L621" s="78"/>
      <c r="M621" s="78"/>
      <c r="N621" s="76"/>
      <c r="O621" s="78"/>
      <c r="P621" s="80"/>
      <c r="Q621" s="80"/>
      <c r="R621" s="78"/>
      <c r="S621" s="78"/>
      <c r="T621" s="78"/>
      <c r="U621" s="78"/>
      <c r="V621" s="78"/>
    </row>
    <row r="622" spans="1:22" x14ac:dyDescent="0.25">
      <c r="A622" s="78"/>
      <c r="B622" s="78"/>
      <c r="C622" s="78"/>
      <c r="D622" s="78"/>
      <c r="E622" s="78"/>
      <c r="F622" s="76"/>
      <c r="G622" s="78"/>
      <c r="H622" s="78"/>
      <c r="I622" s="78"/>
      <c r="J622" s="77"/>
      <c r="K622" s="78"/>
      <c r="L622" s="78"/>
      <c r="M622" s="78"/>
      <c r="N622" s="76"/>
      <c r="O622" s="78"/>
      <c r="P622" s="80"/>
      <c r="Q622" s="80"/>
      <c r="R622" s="78"/>
      <c r="S622" s="78"/>
      <c r="T622" s="78"/>
      <c r="U622" s="78"/>
      <c r="V622" s="78"/>
    </row>
    <row r="623" spans="1:22" x14ac:dyDescent="0.25">
      <c r="A623" s="78"/>
      <c r="B623" s="78"/>
      <c r="C623" s="78"/>
      <c r="D623" s="78"/>
      <c r="E623" s="78"/>
      <c r="F623" s="76"/>
      <c r="G623" s="78"/>
      <c r="H623" s="78"/>
      <c r="I623" s="78"/>
      <c r="J623" s="77"/>
      <c r="K623" s="78"/>
      <c r="L623" s="78"/>
      <c r="M623" s="78"/>
      <c r="N623" s="76"/>
      <c r="O623" s="78"/>
      <c r="P623" s="80"/>
      <c r="Q623" s="80"/>
      <c r="R623" s="78"/>
      <c r="S623" s="78"/>
      <c r="T623" s="78"/>
      <c r="U623" s="78"/>
      <c r="V623" s="78"/>
    </row>
    <row r="624" spans="1:22" x14ac:dyDescent="0.25">
      <c r="A624" s="78"/>
      <c r="B624" s="78"/>
      <c r="C624" s="78"/>
      <c r="D624" s="78"/>
      <c r="E624" s="78"/>
      <c r="F624" s="76"/>
      <c r="G624" s="78"/>
      <c r="H624" s="78"/>
      <c r="I624" s="78"/>
      <c r="J624" s="77"/>
      <c r="K624" s="78"/>
      <c r="L624" s="78"/>
      <c r="M624" s="78"/>
      <c r="N624" s="76"/>
      <c r="O624" s="78"/>
      <c r="P624" s="80"/>
      <c r="Q624" s="80"/>
      <c r="R624" s="78"/>
      <c r="S624" s="78"/>
      <c r="T624" s="78"/>
      <c r="U624" s="78"/>
      <c r="V624" s="78"/>
    </row>
    <row r="625" spans="1:22" x14ac:dyDescent="0.25">
      <c r="A625" s="78"/>
      <c r="B625" s="78"/>
      <c r="C625" s="78"/>
      <c r="D625" s="78"/>
      <c r="E625" s="78"/>
      <c r="F625" s="76"/>
      <c r="G625" s="78"/>
      <c r="H625" s="78"/>
      <c r="I625" s="78"/>
      <c r="J625" s="77"/>
      <c r="K625" s="78"/>
      <c r="L625" s="78"/>
      <c r="M625" s="78"/>
      <c r="N625" s="76"/>
      <c r="O625" s="78"/>
      <c r="P625" s="80"/>
      <c r="Q625" s="80"/>
      <c r="R625" s="78"/>
      <c r="S625" s="78"/>
      <c r="T625" s="78"/>
      <c r="U625" s="78"/>
      <c r="V625" s="78"/>
    </row>
    <row r="626" spans="1:22" x14ac:dyDescent="0.25">
      <c r="A626" s="78"/>
      <c r="B626" s="78"/>
      <c r="C626" s="78"/>
      <c r="D626" s="78"/>
      <c r="E626" s="78"/>
      <c r="F626" s="76"/>
      <c r="G626" s="78"/>
      <c r="H626" s="78"/>
      <c r="I626" s="78"/>
      <c r="J626" s="77"/>
      <c r="K626" s="78"/>
      <c r="L626" s="78"/>
      <c r="M626" s="78"/>
      <c r="N626" s="76"/>
      <c r="O626" s="78"/>
      <c r="P626" s="80"/>
      <c r="Q626" s="80"/>
      <c r="R626" s="78"/>
      <c r="S626" s="78"/>
      <c r="T626" s="78"/>
      <c r="U626" s="78"/>
      <c r="V626" s="78"/>
    </row>
    <row r="627" spans="1:22" x14ac:dyDescent="0.25">
      <c r="A627" s="78"/>
      <c r="B627" s="78"/>
      <c r="C627" s="78"/>
      <c r="D627" s="78"/>
      <c r="E627" s="78"/>
      <c r="F627" s="76"/>
      <c r="G627" s="78"/>
      <c r="H627" s="78"/>
      <c r="I627" s="78"/>
      <c r="J627" s="77"/>
      <c r="K627" s="78"/>
      <c r="L627" s="78"/>
      <c r="M627" s="78"/>
      <c r="N627" s="76"/>
      <c r="O627" s="78"/>
      <c r="P627" s="80"/>
      <c r="Q627" s="80"/>
      <c r="R627" s="78"/>
      <c r="S627" s="78"/>
      <c r="T627" s="78"/>
      <c r="U627" s="78"/>
      <c r="V627" s="78"/>
    </row>
    <row r="628" spans="1:22" x14ac:dyDescent="0.25">
      <c r="A628" s="78"/>
      <c r="B628" s="78"/>
      <c r="C628" s="78"/>
      <c r="D628" s="78"/>
      <c r="E628" s="78"/>
      <c r="F628" s="76"/>
      <c r="G628" s="78"/>
      <c r="H628" s="78"/>
      <c r="I628" s="78"/>
      <c r="J628" s="77"/>
      <c r="K628" s="78"/>
      <c r="L628" s="78"/>
      <c r="M628" s="78"/>
      <c r="N628" s="76"/>
      <c r="O628" s="78"/>
      <c r="P628" s="80"/>
      <c r="Q628" s="80"/>
      <c r="R628" s="78"/>
      <c r="S628" s="78"/>
      <c r="T628" s="78"/>
      <c r="U628" s="78"/>
      <c r="V628" s="78"/>
    </row>
    <row r="629" spans="1:22" x14ac:dyDescent="0.25">
      <c r="A629" s="78"/>
      <c r="B629" s="78"/>
      <c r="C629" s="78"/>
      <c r="D629" s="78"/>
      <c r="E629" s="78"/>
      <c r="F629" s="76"/>
      <c r="G629" s="78"/>
      <c r="H629" s="78"/>
      <c r="I629" s="78"/>
      <c r="J629" s="77"/>
      <c r="K629" s="78"/>
      <c r="L629" s="78"/>
      <c r="M629" s="78"/>
      <c r="N629" s="76"/>
      <c r="O629" s="78"/>
      <c r="P629" s="80"/>
      <c r="Q629" s="80"/>
      <c r="R629" s="78"/>
      <c r="S629" s="78"/>
      <c r="T629" s="78"/>
      <c r="U629" s="78"/>
      <c r="V629" s="78"/>
    </row>
    <row r="630" spans="1:22" x14ac:dyDescent="0.25">
      <c r="A630" s="78"/>
      <c r="B630" s="78"/>
      <c r="C630" s="78"/>
      <c r="D630" s="78"/>
      <c r="E630" s="78"/>
      <c r="F630" s="76"/>
      <c r="G630" s="78"/>
      <c r="H630" s="78"/>
      <c r="I630" s="78"/>
      <c r="J630" s="77"/>
      <c r="K630" s="78"/>
      <c r="L630" s="78"/>
      <c r="M630" s="78"/>
      <c r="N630" s="76"/>
      <c r="O630" s="78"/>
      <c r="P630" s="80"/>
      <c r="Q630" s="80"/>
      <c r="R630" s="78"/>
      <c r="S630" s="78"/>
      <c r="T630" s="78"/>
      <c r="U630" s="78"/>
      <c r="V630" s="78"/>
    </row>
    <row r="631" spans="1:22" x14ac:dyDescent="0.25">
      <c r="A631" s="78"/>
      <c r="B631" s="78"/>
      <c r="C631" s="78"/>
      <c r="D631" s="78"/>
      <c r="E631" s="78"/>
      <c r="F631" s="76"/>
      <c r="G631" s="78"/>
      <c r="H631" s="78"/>
      <c r="I631" s="78"/>
      <c r="J631" s="77"/>
      <c r="K631" s="78"/>
      <c r="L631" s="78"/>
      <c r="M631" s="78"/>
      <c r="N631" s="76"/>
      <c r="O631" s="78"/>
      <c r="P631" s="80"/>
      <c r="Q631" s="80"/>
      <c r="R631" s="78"/>
      <c r="S631" s="78"/>
      <c r="T631" s="78"/>
      <c r="U631" s="78"/>
      <c r="V631" s="78"/>
    </row>
    <row r="632" spans="1:22" x14ac:dyDescent="0.25">
      <c r="A632" s="78"/>
      <c r="B632" s="78"/>
      <c r="C632" s="78"/>
      <c r="D632" s="78"/>
      <c r="E632" s="78"/>
      <c r="F632" s="76"/>
      <c r="G632" s="78"/>
      <c r="H632" s="78"/>
      <c r="I632" s="78"/>
      <c r="J632" s="77"/>
      <c r="K632" s="78"/>
      <c r="L632" s="78"/>
      <c r="M632" s="78"/>
      <c r="N632" s="76"/>
      <c r="O632" s="78"/>
      <c r="P632" s="80"/>
      <c r="Q632" s="80"/>
      <c r="R632" s="78"/>
      <c r="S632" s="78"/>
      <c r="T632" s="78"/>
      <c r="U632" s="78"/>
      <c r="V632" s="78"/>
    </row>
    <row r="633" spans="1:22" x14ac:dyDescent="0.25">
      <c r="A633" s="78"/>
      <c r="B633" s="78"/>
      <c r="C633" s="78"/>
      <c r="D633" s="78"/>
      <c r="E633" s="78"/>
      <c r="F633" s="76"/>
      <c r="G633" s="78"/>
      <c r="H633" s="78"/>
      <c r="I633" s="78"/>
      <c r="J633" s="77"/>
      <c r="K633" s="78"/>
      <c r="L633" s="78"/>
      <c r="M633" s="78"/>
      <c r="N633" s="76"/>
      <c r="O633" s="78"/>
      <c r="P633" s="80"/>
      <c r="Q633" s="80"/>
      <c r="R633" s="78"/>
      <c r="S633" s="78"/>
      <c r="T633" s="78"/>
      <c r="U633" s="78"/>
      <c r="V633" s="78"/>
    </row>
    <row r="634" spans="1:22" x14ac:dyDescent="0.25">
      <c r="A634" s="78"/>
      <c r="B634" s="78"/>
      <c r="C634" s="78"/>
      <c r="D634" s="78"/>
      <c r="E634" s="78"/>
      <c r="F634" s="76"/>
      <c r="G634" s="78"/>
      <c r="H634" s="78"/>
      <c r="I634" s="78"/>
      <c r="J634" s="77"/>
      <c r="K634" s="78"/>
      <c r="L634" s="78"/>
      <c r="M634" s="78"/>
      <c r="N634" s="76"/>
      <c r="O634" s="78"/>
      <c r="P634" s="80"/>
      <c r="Q634" s="80"/>
      <c r="R634" s="78"/>
      <c r="S634" s="78"/>
      <c r="T634" s="78"/>
      <c r="U634" s="78"/>
      <c r="V634" s="78"/>
    </row>
    <row r="635" spans="1:22" x14ac:dyDescent="0.25">
      <c r="A635" s="78"/>
      <c r="B635" s="78"/>
      <c r="C635" s="78"/>
      <c r="D635" s="78"/>
      <c r="E635" s="78"/>
      <c r="F635" s="76"/>
      <c r="G635" s="78"/>
      <c r="H635" s="78"/>
      <c r="I635" s="78"/>
      <c r="J635" s="77"/>
      <c r="K635" s="78"/>
      <c r="L635" s="78"/>
      <c r="M635" s="78"/>
      <c r="N635" s="76"/>
      <c r="O635" s="78"/>
      <c r="P635" s="80"/>
      <c r="Q635" s="80"/>
      <c r="R635" s="78"/>
      <c r="S635" s="78"/>
      <c r="T635" s="78"/>
      <c r="U635" s="78"/>
      <c r="V635" s="78"/>
    </row>
    <row r="636" spans="1:22" x14ac:dyDescent="0.25">
      <c r="A636" s="78"/>
      <c r="B636" s="78"/>
      <c r="C636" s="78"/>
      <c r="D636" s="78"/>
      <c r="E636" s="78"/>
      <c r="F636" s="76"/>
      <c r="G636" s="78"/>
      <c r="H636" s="78"/>
      <c r="I636" s="78"/>
      <c r="J636" s="77"/>
      <c r="K636" s="78"/>
      <c r="L636" s="78"/>
      <c r="M636" s="78"/>
      <c r="N636" s="76"/>
      <c r="O636" s="78"/>
      <c r="P636" s="80"/>
      <c r="Q636" s="80"/>
      <c r="R636" s="78"/>
      <c r="S636" s="78"/>
      <c r="T636" s="78"/>
      <c r="U636" s="78"/>
      <c r="V636" s="78"/>
    </row>
    <row r="637" spans="1:22" x14ac:dyDescent="0.25">
      <c r="A637" s="78"/>
      <c r="B637" s="78"/>
      <c r="C637" s="78"/>
      <c r="D637" s="78"/>
      <c r="E637" s="78"/>
      <c r="F637" s="76"/>
      <c r="G637" s="78"/>
      <c r="H637" s="78"/>
      <c r="I637" s="78"/>
      <c r="J637" s="77"/>
      <c r="K637" s="78"/>
      <c r="L637" s="78"/>
      <c r="M637" s="78"/>
      <c r="N637" s="76"/>
      <c r="O637" s="78"/>
      <c r="P637" s="80"/>
      <c r="Q637" s="80"/>
      <c r="R637" s="78"/>
      <c r="S637" s="78"/>
      <c r="T637" s="78"/>
      <c r="U637" s="78"/>
      <c r="V637" s="78"/>
    </row>
    <row r="638" spans="1:22" x14ac:dyDescent="0.25">
      <c r="A638" s="78"/>
      <c r="B638" s="78"/>
      <c r="C638" s="78"/>
      <c r="D638" s="78"/>
      <c r="E638" s="78"/>
      <c r="F638" s="76"/>
      <c r="G638" s="78"/>
      <c r="H638" s="78"/>
      <c r="I638" s="78"/>
      <c r="J638" s="77"/>
      <c r="K638" s="78"/>
      <c r="L638" s="78"/>
      <c r="M638" s="78"/>
      <c r="N638" s="76"/>
      <c r="O638" s="78"/>
      <c r="P638" s="80"/>
      <c r="Q638" s="80"/>
      <c r="R638" s="78"/>
      <c r="S638" s="78"/>
      <c r="T638" s="78"/>
      <c r="U638" s="78"/>
      <c r="V638" s="78"/>
    </row>
    <row r="639" spans="1:22" x14ac:dyDescent="0.25">
      <c r="A639" s="78"/>
      <c r="B639" s="78"/>
      <c r="C639" s="78"/>
      <c r="D639" s="78"/>
      <c r="E639" s="78"/>
      <c r="F639" s="76"/>
      <c r="G639" s="78"/>
      <c r="H639" s="78"/>
      <c r="I639" s="78"/>
      <c r="J639" s="77"/>
      <c r="K639" s="78"/>
      <c r="L639" s="78"/>
      <c r="M639" s="78"/>
      <c r="N639" s="76"/>
      <c r="O639" s="78"/>
      <c r="P639" s="80"/>
      <c r="Q639" s="80"/>
      <c r="R639" s="78"/>
      <c r="S639" s="78"/>
      <c r="T639" s="78"/>
      <c r="U639" s="78"/>
      <c r="V639" s="78"/>
    </row>
    <row r="640" spans="1:22" x14ac:dyDescent="0.25">
      <c r="A640" s="78"/>
      <c r="B640" s="78"/>
      <c r="C640" s="78"/>
      <c r="D640" s="78"/>
      <c r="E640" s="78"/>
      <c r="F640" s="76"/>
      <c r="G640" s="78"/>
      <c r="H640" s="78"/>
      <c r="I640" s="78"/>
      <c r="J640" s="77"/>
      <c r="K640" s="78"/>
      <c r="L640" s="78"/>
      <c r="M640" s="78"/>
      <c r="N640" s="76"/>
      <c r="O640" s="78"/>
      <c r="P640" s="80"/>
      <c r="Q640" s="80"/>
      <c r="R640" s="78"/>
      <c r="S640" s="78"/>
      <c r="T640" s="78"/>
      <c r="U640" s="78"/>
      <c r="V640" s="78"/>
    </row>
    <row r="641" spans="1:22" x14ac:dyDescent="0.25">
      <c r="A641" s="78"/>
      <c r="B641" s="78"/>
      <c r="C641" s="78"/>
      <c r="D641" s="78"/>
      <c r="E641" s="78"/>
      <c r="F641" s="76"/>
      <c r="G641" s="78"/>
      <c r="H641" s="78"/>
      <c r="I641" s="78"/>
      <c r="J641" s="77"/>
      <c r="K641" s="78"/>
      <c r="L641" s="78"/>
      <c r="M641" s="78"/>
      <c r="N641" s="76"/>
      <c r="O641" s="78"/>
      <c r="P641" s="80"/>
      <c r="Q641" s="80"/>
      <c r="R641" s="78"/>
      <c r="S641" s="78"/>
      <c r="T641" s="78"/>
      <c r="U641" s="78"/>
      <c r="V641" s="78"/>
    </row>
    <row r="642" spans="1:22" x14ac:dyDescent="0.25">
      <c r="A642" s="78"/>
      <c r="B642" s="78"/>
      <c r="C642" s="78"/>
      <c r="D642" s="78"/>
      <c r="E642" s="78"/>
      <c r="F642" s="76"/>
      <c r="G642" s="78"/>
      <c r="H642" s="78"/>
      <c r="I642" s="78"/>
      <c r="J642" s="77"/>
      <c r="K642" s="78"/>
      <c r="L642" s="78"/>
      <c r="M642" s="78"/>
      <c r="N642" s="76"/>
      <c r="O642" s="78"/>
      <c r="P642" s="80"/>
      <c r="Q642" s="80"/>
      <c r="R642" s="78"/>
      <c r="S642" s="78"/>
      <c r="T642" s="78"/>
      <c r="U642" s="78"/>
      <c r="V642" s="78"/>
    </row>
    <row r="643" spans="1:22" x14ac:dyDescent="0.25">
      <c r="A643" s="78"/>
      <c r="B643" s="78"/>
      <c r="C643" s="78"/>
      <c r="D643" s="78"/>
      <c r="E643" s="78"/>
      <c r="F643" s="76"/>
      <c r="G643" s="78"/>
      <c r="H643" s="78"/>
      <c r="I643" s="78"/>
      <c r="J643" s="77"/>
      <c r="K643" s="78"/>
      <c r="L643" s="78"/>
      <c r="M643" s="78"/>
      <c r="N643" s="76"/>
      <c r="O643" s="78"/>
      <c r="P643" s="80"/>
      <c r="Q643" s="80"/>
      <c r="R643" s="78"/>
      <c r="S643" s="78"/>
      <c r="T643" s="78"/>
      <c r="U643" s="78"/>
      <c r="V643" s="78"/>
    </row>
    <row r="644" spans="1:22" x14ac:dyDescent="0.25">
      <c r="A644" s="78"/>
      <c r="B644" s="78"/>
      <c r="C644" s="78"/>
      <c r="D644" s="78"/>
      <c r="E644" s="78"/>
      <c r="F644" s="76"/>
      <c r="G644" s="78"/>
      <c r="H644" s="78"/>
      <c r="I644" s="78"/>
      <c r="J644" s="77"/>
      <c r="K644" s="78"/>
      <c r="L644" s="78"/>
      <c r="M644" s="78"/>
      <c r="N644" s="76"/>
      <c r="O644" s="78"/>
      <c r="P644" s="80"/>
      <c r="Q644" s="80"/>
      <c r="R644" s="78"/>
      <c r="S644" s="78"/>
      <c r="T644" s="78"/>
      <c r="U644" s="78"/>
      <c r="V644" s="78"/>
    </row>
    <row r="645" spans="1:22" x14ac:dyDescent="0.25">
      <c r="A645" s="78"/>
      <c r="B645" s="78"/>
      <c r="C645" s="78"/>
      <c r="D645" s="78"/>
      <c r="E645" s="78"/>
      <c r="F645" s="76"/>
      <c r="G645" s="78"/>
      <c r="H645" s="78"/>
      <c r="I645" s="78"/>
      <c r="J645" s="77"/>
      <c r="K645" s="78"/>
      <c r="L645" s="78"/>
      <c r="M645" s="78"/>
      <c r="N645" s="76"/>
      <c r="O645" s="78"/>
      <c r="P645" s="80"/>
      <c r="Q645" s="80"/>
      <c r="R645" s="78"/>
      <c r="S645" s="78"/>
      <c r="T645" s="78"/>
      <c r="U645" s="78"/>
      <c r="V645" s="78"/>
    </row>
    <row r="646" spans="1:22" x14ac:dyDescent="0.25">
      <c r="A646" s="78"/>
      <c r="B646" s="78"/>
      <c r="C646" s="78"/>
      <c r="D646" s="78"/>
      <c r="E646" s="78"/>
      <c r="F646" s="76"/>
      <c r="G646" s="78"/>
      <c r="H646" s="78"/>
      <c r="I646" s="78"/>
      <c r="J646" s="77"/>
      <c r="K646" s="78"/>
      <c r="L646" s="78"/>
      <c r="M646" s="78"/>
      <c r="N646" s="76"/>
      <c r="O646" s="78"/>
      <c r="P646" s="80"/>
      <c r="Q646" s="80"/>
      <c r="R646" s="78"/>
      <c r="S646" s="78"/>
      <c r="T646" s="78"/>
      <c r="U646" s="78"/>
      <c r="V646" s="78"/>
    </row>
    <row r="647" spans="1:22" x14ac:dyDescent="0.25">
      <c r="A647" s="78"/>
      <c r="B647" s="78"/>
      <c r="C647" s="78"/>
      <c r="D647" s="78"/>
      <c r="E647" s="78"/>
      <c r="F647" s="76"/>
      <c r="G647" s="78"/>
      <c r="H647" s="78"/>
      <c r="I647" s="78"/>
      <c r="J647" s="77"/>
      <c r="K647" s="78"/>
      <c r="L647" s="78"/>
      <c r="M647" s="78"/>
      <c r="N647" s="76"/>
      <c r="O647" s="78"/>
      <c r="P647" s="80"/>
      <c r="Q647" s="80"/>
      <c r="R647" s="78"/>
      <c r="S647" s="78"/>
      <c r="T647" s="78"/>
      <c r="U647" s="78"/>
      <c r="V647" s="78"/>
    </row>
    <row r="648" spans="1:22" x14ac:dyDescent="0.25">
      <c r="A648" s="78"/>
      <c r="B648" s="78"/>
      <c r="C648" s="78"/>
      <c r="D648" s="78"/>
      <c r="E648" s="78"/>
      <c r="F648" s="76"/>
      <c r="G648" s="78"/>
      <c r="H648" s="78"/>
      <c r="I648" s="78"/>
      <c r="J648" s="77"/>
      <c r="K648" s="78"/>
      <c r="L648" s="78"/>
      <c r="M648" s="78"/>
      <c r="N648" s="76"/>
      <c r="O648" s="78"/>
      <c r="P648" s="80"/>
      <c r="Q648" s="80"/>
      <c r="R648" s="78"/>
      <c r="S648" s="78"/>
      <c r="T648" s="78"/>
      <c r="U648" s="78"/>
      <c r="V648" s="78"/>
    </row>
    <row r="649" spans="1:22" x14ac:dyDescent="0.25">
      <c r="A649" s="78"/>
      <c r="B649" s="78"/>
      <c r="C649" s="78"/>
      <c r="D649" s="78"/>
      <c r="E649" s="78"/>
      <c r="F649" s="76"/>
      <c r="G649" s="78"/>
      <c r="H649" s="78"/>
      <c r="I649" s="78"/>
      <c r="J649" s="77"/>
      <c r="K649" s="78"/>
      <c r="L649" s="78"/>
      <c r="M649" s="78"/>
      <c r="N649" s="76"/>
      <c r="O649" s="78"/>
      <c r="P649" s="80"/>
      <c r="Q649" s="80"/>
      <c r="R649" s="78"/>
      <c r="S649" s="78"/>
      <c r="T649" s="78"/>
      <c r="U649" s="78"/>
      <c r="V649" s="78"/>
    </row>
    <row r="650" spans="1:22" x14ac:dyDescent="0.25">
      <c r="A650" s="78"/>
      <c r="B650" s="78"/>
      <c r="C650" s="78"/>
      <c r="D650" s="78"/>
      <c r="E650" s="78"/>
      <c r="F650" s="76"/>
      <c r="G650" s="78"/>
      <c r="H650" s="78"/>
      <c r="I650" s="78"/>
      <c r="J650" s="77"/>
      <c r="K650" s="78"/>
      <c r="L650" s="78"/>
      <c r="M650" s="78"/>
      <c r="N650" s="76"/>
      <c r="O650" s="78"/>
      <c r="P650" s="80"/>
      <c r="Q650" s="80"/>
      <c r="R650" s="78"/>
      <c r="S650" s="78"/>
      <c r="T650" s="78"/>
      <c r="U650" s="78"/>
      <c r="V650" s="78"/>
    </row>
    <row r="651" spans="1:22" x14ac:dyDescent="0.25">
      <c r="A651" s="78"/>
      <c r="B651" s="78"/>
      <c r="C651" s="78"/>
      <c r="D651" s="78"/>
      <c r="E651" s="78"/>
      <c r="F651" s="76"/>
      <c r="G651" s="78"/>
      <c r="H651" s="78"/>
      <c r="I651" s="78"/>
      <c r="J651" s="77"/>
      <c r="K651" s="78"/>
      <c r="L651" s="78"/>
      <c r="M651" s="78"/>
      <c r="N651" s="76"/>
      <c r="O651" s="78"/>
      <c r="P651" s="80"/>
      <c r="Q651" s="80"/>
      <c r="R651" s="78"/>
      <c r="S651" s="78"/>
      <c r="T651" s="78"/>
      <c r="U651" s="78"/>
      <c r="V651" s="78"/>
    </row>
    <row r="652" spans="1:22" x14ac:dyDescent="0.25">
      <c r="A652" s="78"/>
      <c r="B652" s="78"/>
      <c r="C652" s="78"/>
      <c r="D652" s="78"/>
      <c r="E652" s="78"/>
      <c r="F652" s="76"/>
      <c r="G652" s="78"/>
      <c r="H652" s="78"/>
      <c r="I652" s="78"/>
      <c r="J652" s="77"/>
      <c r="K652" s="78"/>
      <c r="L652" s="78"/>
      <c r="M652" s="78"/>
      <c r="N652" s="76"/>
      <c r="O652" s="78"/>
      <c r="P652" s="80"/>
      <c r="Q652" s="80"/>
      <c r="R652" s="78"/>
      <c r="S652" s="78"/>
      <c r="T652" s="78"/>
      <c r="U652" s="78"/>
      <c r="V652" s="78"/>
    </row>
    <row r="653" spans="1:22" x14ac:dyDescent="0.25">
      <c r="A653" s="78"/>
      <c r="B653" s="78"/>
      <c r="C653" s="78"/>
      <c r="D653" s="78"/>
      <c r="E653" s="78"/>
      <c r="F653" s="76"/>
      <c r="G653" s="78"/>
      <c r="H653" s="78"/>
      <c r="I653" s="78"/>
      <c r="J653" s="77"/>
      <c r="K653" s="78"/>
      <c r="L653" s="78"/>
      <c r="M653" s="78"/>
      <c r="N653" s="76"/>
      <c r="O653" s="78"/>
      <c r="P653" s="80"/>
      <c r="Q653" s="80"/>
      <c r="R653" s="78"/>
      <c r="S653" s="78"/>
      <c r="T653" s="78"/>
      <c r="U653" s="78"/>
      <c r="V653" s="78"/>
    </row>
    <row r="654" spans="1:22" x14ac:dyDescent="0.25">
      <c r="A654" s="78"/>
      <c r="B654" s="78"/>
      <c r="C654" s="78"/>
      <c r="D654" s="78"/>
      <c r="E654" s="78"/>
      <c r="F654" s="76"/>
      <c r="G654" s="78"/>
      <c r="H654" s="78"/>
      <c r="I654" s="78"/>
      <c r="J654" s="77"/>
      <c r="K654" s="78"/>
      <c r="L654" s="78"/>
      <c r="M654" s="78"/>
      <c r="N654" s="76"/>
      <c r="O654" s="78"/>
      <c r="P654" s="80"/>
      <c r="Q654" s="80"/>
      <c r="R654" s="78"/>
      <c r="S654" s="78"/>
      <c r="T654" s="78"/>
      <c r="U654" s="78"/>
      <c r="V654" s="78"/>
    </row>
    <row r="655" spans="1:22" x14ac:dyDescent="0.25">
      <c r="A655" s="78"/>
      <c r="B655" s="78"/>
      <c r="C655" s="78"/>
      <c r="D655" s="78"/>
      <c r="E655" s="78"/>
      <c r="F655" s="76"/>
      <c r="G655" s="78"/>
      <c r="H655" s="78"/>
      <c r="I655" s="78"/>
      <c r="J655" s="77"/>
      <c r="K655" s="78"/>
      <c r="L655" s="78"/>
      <c r="M655" s="78"/>
      <c r="N655" s="76"/>
      <c r="O655" s="78"/>
      <c r="P655" s="80"/>
      <c r="Q655" s="80"/>
      <c r="R655" s="78"/>
      <c r="S655" s="78"/>
      <c r="T655" s="78"/>
      <c r="U655" s="78"/>
      <c r="V655" s="78"/>
    </row>
    <row r="656" spans="1:22" x14ac:dyDescent="0.25">
      <c r="A656" s="78"/>
      <c r="B656" s="78"/>
      <c r="C656" s="78"/>
      <c r="D656" s="78"/>
      <c r="E656" s="78"/>
      <c r="F656" s="76"/>
      <c r="G656" s="78"/>
      <c r="H656" s="78"/>
      <c r="I656" s="78"/>
      <c r="J656" s="77"/>
      <c r="K656" s="78"/>
      <c r="L656" s="78"/>
      <c r="M656" s="78"/>
      <c r="N656" s="76"/>
      <c r="O656" s="78"/>
      <c r="P656" s="80"/>
      <c r="Q656" s="80"/>
      <c r="R656" s="78"/>
      <c r="S656" s="78"/>
      <c r="T656" s="78"/>
      <c r="U656" s="78"/>
      <c r="V656" s="78"/>
    </row>
    <row r="657" spans="1:22" x14ac:dyDescent="0.25">
      <c r="A657" s="78"/>
      <c r="B657" s="78"/>
      <c r="C657" s="78"/>
      <c r="D657" s="78"/>
      <c r="E657" s="78"/>
      <c r="F657" s="76"/>
      <c r="G657" s="78"/>
      <c r="H657" s="78"/>
      <c r="I657" s="78"/>
      <c r="J657" s="77"/>
      <c r="K657" s="78"/>
      <c r="L657" s="78"/>
      <c r="M657" s="78"/>
      <c r="N657" s="76"/>
      <c r="O657" s="78"/>
      <c r="P657" s="80"/>
      <c r="Q657" s="80"/>
      <c r="R657" s="78"/>
      <c r="S657" s="78"/>
      <c r="T657" s="78"/>
      <c r="U657" s="78"/>
      <c r="V657" s="78"/>
    </row>
    <row r="658" spans="1:22" x14ac:dyDescent="0.25">
      <c r="A658" s="78"/>
      <c r="B658" s="78"/>
      <c r="C658" s="78"/>
      <c r="D658" s="78"/>
      <c r="E658" s="78"/>
      <c r="F658" s="76"/>
      <c r="G658" s="78"/>
      <c r="H658" s="78"/>
      <c r="I658" s="78"/>
      <c r="J658" s="77"/>
      <c r="K658" s="78"/>
      <c r="L658" s="78"/>
      <c r="M658" s="78"/>
      <c r="N658" s="76"/>
      <c r="O658" s="78"/>
      <c r="P658" s="80"/>
      <c r="Q658" s="80"/>
      <c r="R658" s="78"/>
      <c r="S658" s="78"/>
      <c r="T658" s="78"/>
      <c r="U658" s="78"/>
      <c r="V658" s="78"/>
    </row>
    <row r="659" spans="1:22" x14ac:dyDescent="0.25">
      <c r="A659" s="78"/>
      <c r="B659" s="78"/>
      <c r="C659" s="78"/>
      <c r="D659" s="78"/>
      <c r="E659" s="78"/>
      <c r="F659" s="76"/>
      <c r="G659" s="78"/>
      <c r="H659" s="78"/>
      <c r="I659" s="78"/>
      <c r="J659" s="77"/>
      <c r="K659" s="78"/>
      <c r="L659" s="78"/>
      <c r="M659" s="78"/>
      <c r="N659" s="76"/>
      <c r="O659" s="78"/>
      <c r="P659" s="80"/>
      <c r="Q659" s="80"/>
      <c r="R659" s="78"/>
      <c r="S659" s="78"/>
      <c r="T659" s="78"/>
      <c r="U659" s="78"/>
      <c r="V659" s="78"/>
    </row>
    <row r="660" spans="1:22" x14ac:dyDescent="0.25">
      <c r="A660" s="78"/>
      <c r="B660" s="78"/>
      <c r="C660" s="78"/>
      <c r="D660" s="78"/>
      <c r="E660" s="78"/>
      <c r="F660" s="76"/>
      <c r="G660" s="78"/>
      <c r="H660" s="78"/>
      <c r="I660" s="78"/>
      <c r="J660" s="77"/>
      <c r="K660" s="78"/>
      <c r="L660" s="78"/>
      <c r="M660" s="78"/>
      <c r="N660" s="76"/>
      <c r="O660" s="78"/>
      <c r="P660" s="80"/>
      <c r="Q660" s="80"/>
      <c r="R660" s="78"/>
      <c r="S660" s="78"/>
      <c r="T660" s="78"/>
      <c r="U660" s="78"/>
      <c r="V660" s="78"/>
    </row>
    <row r="661" spans="1:22" x14ac:dyDescent="0.25">
      <c r="A661" s="78"/>
      <c r="B661" s="78"/>
      <c r="C661" s="78"/>
      <c r="D661" s="78"/>
      <c r="E661" s="78"/>
      <c r="F661" s="76"/>
      <c r="G661" s="78"/>
      <c r="H661" s="78"/>
      <c r="I661" s="78"/>
      <c r="J661" s="77"/>
      <c r="K661" s="78"/>
      <c r="L661" s="78"/>
      <c r="M661" s="78"/>
      <c r="N661" s="76"/>
      <c r="O661" s="78"/>
      <c r="P661" s="80"/>
      <c r="Q661" s="80"/>
      <c r="R661" s="78"/>
      <c r="S661" s="78"/>
      <c r="T661" s="78"/>
      <c r="U661" s="78"/>
      <c r="V661" s="78"/>
    </row>
    <row r="662" spans="1:22" x14ac:dyDescent="0.25">
      <c r="A662" s="78"/>
      <c r="B662" s="78"/>
      <c r="C662" s="78"/>
      <c r="D662" s="78"/>
      <c r="E662" s="78"/>
      <c r="F662" s="76"/>
      <c r="G662" s="78"/>
      <c r="H662" s="78"/>
      <c r="I662" s="78"/>
      <c r="J662" s="77"/>
      <c r="K662" s="78"/>
      <c r="L662" s="78"/>
      <c r="M662" s="78"/>
      <c r="N662" s="76"/>
      <c r="O662" s="78"/>
      <c r="P662" s="80"/>
      <c r="Q662" s="80"/>
      <c r="R662" s="78"/>
      <c r="S662" s="78"/>
      <c r="T662" s="78"/>
      <c r="U662" s="78"/>
      <c r="V662" s="78"/>
    </row>
    <row r="663" spans="1:22" x14ac:dyDescent="0.25">
      <c r="A663" s="78"/>
      <c r="B663" s="78"/>
      <c r="C663" s="78"/>
      <c r="D663" s="78"/>
      <c r="E663" s="78"/>
      <c r="F663" s="76"/>
      <c r="G663" s="78"/>
      <c r="H663" s="78"/>
      <c r="I663" s="78"/>
      <c r="J663" s="77"/>
      <c r="K663" s="78"/>
      <c r="L663" s="78"/>
      <c r="M663" s="78"/>
      <c r="N663" s="76"/>
      <c r="O663" s="78"/>
      <c r="P663" s="80"/>
      <c r="Q663" s="80"/>
      <c r="R663" s="78"/>
      <c r="S663" s="78"/>
      <c r="T663" s="78"/>
      <c r="U663" s="78"/>
      <c r="V663" s="78"/>
    </row>
    <row r="664" spans="1:22" x14ac:dyDescent="0.25">
      <c r="A664" s="78"/>
      <c r="B664" s="78"/>
      <c r="C664" s="78"/>
      <c r="D664" s="78"/>
      <c r="E664" s="78"/>
      <c r="F664" s="76"/>
      <c r="G664" s="78"/>
      <c r="H664" s="78"/>
      <c r="I664" s="78"/>
      <c r="J664" s="77"/>
      <c r="K664" s="78"/>
      <c r="L664" s="78"/>
      <c r="M664" s="78"/>
      <c r="N664" s="76"/>
      <c r="O664" s="78"/>
      <c r="P664" s="80"/>
      <c r="Q664" s="80"/>
      <c r="R664" s="78"/>
      <c r="S664" s="78"/>
      <c r="T664" s="78"/>
      <c r="U664" s="78"/>
      <c r="V664" s="78"/>
    </row>
    <row r="665" spans="1:22" x14ac:dyDescent="0.25">
      <c r="A665" s="78"/>
      <c r="B665" s="78"/>
      <c r="C665" s="78"/>
      <c r="D665" s="78"/>
      <c r="E665" s="78"/>
      <c r="F665" s="76"/>
      <c r="G665" s="78"/>
      <c r="H665" s="78"/>
      <c r="I665" s="78"/>
      <c r="J665" s="77"/>
      <c r="K665" s="78"/>
      <c r="L665" s="78"/>
      <c r="M665" s="78"/>
      <c r="N665" s="76"/>
      <c r="O665" s="78"/>
      <c r="P665" s="80"/>
      <c r="Q665" s="80"/>
      <c r="R665" s="78"/>
      <c r="S665" s="78"/>
      <c r="T665" s="78"/>
      <c r="U665" s="78"/>
      <c r="V665" s="78"/>
    </row>
    <row r="666" spans="1:22" x14ac:dyDescent="0.25">
      <c r="A666" s="78"/>
      <c r="B666" s="78"/>
      <c r="C666" s="78"/>
      <c r="D666" s="78"/>
      <c r="E666" s="78"/>
      <c r="F666" s="76"/>
      <c r="G666" s="78"/>
      <c r="H666" s="78"/>
      <c r="I666" s="78"/>
      <c r="J666" s="77"/>
      <c r="K666" s="78"/>
      <c r="L666" s="78"/>
      <c r="M666" s="78"/>
      <c r="N666" s="76"/>
      <c r="O666" s="78"/>
      <c r="P666" s="80"/>
      <c r="Q666" s="80"/>
      <c r="R666" s="78"/>
      <c r="S666" s="78"/>
      <c r="T666" s="78"/>
      <c r="U666" s="78"/>
      <c r="V666" s="78"/>
    </row>
    <row r="667" spans="1:22" x14ac:dyDescent="0.25">
      <c r="A667" s="78"/>
      <c r="B667" s="78"/>
      <c r="C667" s="78"/>
      <c r="D667" s="78"/>
      <c r="E667" s="78"/>
      <c r="F667" s="76"/>
      <c r="G667" s="78"/>
      <c r="H667" s="78"/>
      <c r="I667" s="78"/>
      <c r="J667" s="77"/>
      <c r="K667" s="78"/>
      <c r="L667" s="78"/>
      <c r="M667" s="78"/>
      <c r="N667" s="76"/>
      <c r="O667" s="78"/>
      <c r="P667" s="80"/>
      <c r="Q667" s="80"/>
      <c r="R667" s="78"/>
      <c r="S667" s="78"/>
      <c r="T667" s="78"/>
      <c r="U667" s="78"/>
      <c r="V667" s="78"/>
    </row>
    <row r="668" spans="1:22" x14ac:dyDescent="0.25">
      <c r="A668" s="78"/>
      <c r="B668" s="78"/>
      <c r="C668" s="78"/>
      <c r="D668" s="78"/>
      <c r="E668" s="78"/>
      <c r="F668" s="76"/>
      <c r="G668" s="78"/>
      <c r="H668" s="78"/>
      <c r="I668" s="78"/>
      <c r="J668" s="77"/>
      <c r="K668" s="78"/>
      <c r="L668" s="78"/>
      <c r="M668" s="78"/>
      <c r="N668" s="76"/>
      <c r="O668" s="78"/>
      <c r="P668" s="80"/>
      <c r="Q668" s="80"/>
      <c r="R668" s="78"/>
      <c r="S668" s="78"/>
      <c r="T668" s="78"/>
      <c r="U668" s="78"/>
      <c r="V668" s="78"/>
    </row>
    <row r="669" spans="1:22" x14ac:dyDescent="0.25">
      <c r="A669" s="78"/>
      <c r="B669" s="78"/>
      <c r="C669" s="78"/>
      <c r="D669" s="78"/>
      <c r="E669" s="78"/>
      <c r="F669" s="76"/>
      <c r="G669" s="78"/>
      <c r="H669" s="78"/>
      <c r="I669" s="78"/>
      <c r="J669" s="77"/>
      <c r="K669" s="78"/>
      <c r="L669" s="78"/>
      <c r="M669" s="78"/>
      <c r="N669" s="76"/>
      <c r="O669" s="78"/>
      <c r="P669" s="80"/>
      <c r="Q669" s="80"/>
      <c r="R669" s="78"/>
      <c r="S669" s="78"/>
      <c r="T669" s="78"/>
      <c r="U669" s="78"/>
      <c r="V669" s="78"/>
    </row>
    <row r="670" spans="1:22" x14ac:dyDescent="0.25">
      <c r="A670" s="78"/>
      <c r="B670" s="78"/>
      <c r="C670" s="78"/>
      <c r="D670" s="78"/>
      <c r="E670" s="78"/>
      <c r="F670" s="76"/>
      <c r="G670" s="78"/>
      <c r="H670" s="78"/>
      <c r="I670" s="78"/>
      <c r="J670" s="77"/>
      <c r="K670" s="78"/>
      <c r="L670" s="78"/>
      <c r="M670" s="78"/>
      <c r="N670" s="76"/>
      <c r="O670" s="78"/>
      <c r="P670" s="80"/>
      <c r="Q670" s="80"/>
      <c r="R670" s="78"/>
      <c r="S670" s="78"/>
      <c r="T670" s="78"/>
      <c r="U670" s="78"/>
      <c r="V670" s="78"/>
    </row>
    <row r="671" spans="1:22" x14ac:dyDescent="0.25">
      <c r="A671" s="78"/>
      <c r="B671" s="78"/>
      <c r="C671" s="78"/>
      <c r="D671" s="78"/>
      <c r="E671" s="78"/>
      <c r="F671" s="76"/>
      <c r="G671" s="78"/>
      <c r="H671" s="78"/>
      <c r="I671" s="78"/>
      <c r="J671" s="77"/>
      <c r="K671" s="78"/>
      <c r="L671" s="78"/>
      <c r="M671" s="78"/>
      <c r="N671" s="76"/>
      <c r="O671" s="78"/>
      <c r="P671" s="80"/>
      <c r="Q671" s="80"/>
      <c r="R671" s="78"/>
      <c r="S671" s="78"/>
      <c r="T671" s="78"/>
      <c r="U671" s="78"/>
      <c r="V671" s="78"/>
    </row>
    <row r="672" spans="1:22" x14ac:dyDescent="0.25">
      <c r="A672" s="78"/>
      <c r="B672" s="78"/>
      <c r="C672" s="78"/>
      <c r="D672" s="78"/>
      <c r="E672" s="78"/>
      <c r="F672" s="76"/>
      <c r="G672" s="78"/>
      <c r="H672" s="78"/>
      <c r="I672" s="78"/>
      <c r="J672" s="77"/>
      <c r="K672" s="78"/>
      <c r="L672" s="78"/>
      <c r="M672" s="78"/>
      <c r="N672" s="76"/>
      <c r="O672" s="78"/>
      <c r="P672" s="80"/>
      <c r="Q672" s="80"/>
      <c r="R672" s="78"/>
      <c r="S672" s="78"/>
      <c r="T672" s="78"/>
      <c r="U672" s="78"/>
      <c r="V672" s="78"/>
    </row>
    <row r="673" spans="1:22" x14ac:dyDescent="0.25">
      <c r="A673" s="78"/>
      <c r="B673" s="78"/>
      <c r="C673" s="78"/>
      <c r="D673" s="78"/>
      <c r="E673" s="78"/>
      <c r="F673" s="76"/>
      <c r="G673" s="78"/>
      <c r="H673" s="78"/>
      <c r="I673" s="78"/>
      <c r="J673" s="77"/>
      <c r="K673" s="78"/>
      <c r="L673" s="78"/>
      <c r="M673" s="78"/>
      <c r="N673" s="76"/>
      <c r="O673" s="78"/>
      <c r="P673" s="80"/>
      <c r="Q673" s="80"/>
      <c r="R673" s="78"/>
      <c r="S673" s="78"/>
      <c r="T673" s="78"/>
      <c r="U673" s="78"/>
      <c r="V673" s="78"/>
    </row>
    <row r="674" spans="1:22" x14ac:dyDescent="0.25">
      <c r="A674" s="78"/>
      <c r="B674" s="78"/>
      <c r="C674" s="78"/>
      <c r="D674" s="78"/>
      <c r="E674" s="78"/>
      <c r="F674" s="76"/>
      <c r="G674" s="78"/>
      <c r="H674" s="78"/>
      <c r="I674" s="78"/>
      <c r="J674" s="77"/>
      <c r="K674" s="78"/>
      <c r="L674" s="78"/>
      <c r="M674" s="78"/>
      <c r="N674" s="76"/>
      <c r="O674" s="78"/>
      <c r="P674" s="80"/>
      <c r="Q674" s="80"/>
      <c r="R674" s="78"/>
      <c r="S674" s="78"/>
      <c r="T674" s="78"/>
      <c r="U674" s="78"/>
      <c r="V674" s="78"/>
    </row>
    <row r="675" spans="1:22" x14ac:dyDescent="0.25">
      <c r="A675" s="78"/>
      <c r="B675" s="78"/>
      <c r="C675" s="78"/>
      <c r="D675" s="78"/>
      <c r="E675" s="78"/>
      <c r="F675" s="76"/>
      <c r="G675" s="78"/>
      <c r="H675" s="78"/>
      <c r="I675" s="78"/>
      <c r="J675" s="77"/>
      <c r="K675" s="78"/>
      <c r="L675" s="78"/>
      <c r="M675" s="78"/>
      <c r="N675" s="76"/>
      <c r="O675" s="78"/>
      <c r="P675" s="80"/>
      <c r="Q675" s="80"/>
      <c r="R675" s="78"/>
      <c r="S675" s="78"/>
      <c r="T675" s="78"/>
      <c r="U675" s="78"/>
      <c r="V675" s="78"/>
    </row>
    <row r="676" spans="1:22" x14ac:dyDescent="0.25">
      <c r="A676" s="78"/>
      <c r="B676" s="78"/>
      <c r="C676" s="78"/>
      <c r="D676" s="78"/>
      <c r="E676" s="78"/>
      <c r="F676" s="76"/>
      <c r="G676" s="78"/>
      <c r="H676" s="78"/>
      <c r="I676" s="78"/>
      <c r="J676" s="77"/>
      <c r="K676" s="78"/>
      <c r="L676" s="78"/>
      <c r="M676" s="78"/>
      <c r="N676" s="76"/>
      <c r="O676" s="78"/>
      <c r="P676" s="80"/>
      <c r="Q676" s="80"/>
      <c r="R676" s="78"/>
      <c r="S676" s="78"/>
      <c r="T676" s="78"/>
      <c r="U676" s="78"/>
      <c r="V676" s="78"/>
    </row>
    <row r="677" spans="1:22" x14ac:dyDescent="0.25">
      <c r="A677" s="78"/>
      <c r="B677" s="78"/>
      <c r="C677" s="78"/>
      <c r="D677" s="78"/>
      <c r="E677" s="78"/>
      <c r="F677" s="76"/>
      <c r="G677" s="78"/>
      <c r="H677" s="78"/>
      <c r="I677" s="78"/>
      <c r="J677" s="77"/>
      <c r="K677" s="78"/>
      <c r="L677" s="78"/>
      <c r="M677" s="78"/>
      <c r="N677" s="76"/>
      <c r="O677" s="78"/>
      <c r="P677" s="80"/>
      <c r="Q677" s="80"/>
      <c r="R677" s="78"/>
      <c r="S677" s="78"/>
      <c r="T677" s="78"/>
      <c r="U677" s="78"/>
      <c r="V677" s="78"/>
    </row>
    <row r="678" spans="1:22" x14ac:dyDescent="0.25">
      <c r="A678" s="78"/>
      <c r="B678" s="78"/>
      <c r="C678" s="78"/>
      <c r="D678" s="78"/>
      <c r="E678" s="78"/>
      <c r="F678" s="76"/>
      <c r="G678" s="78"/>
      <c r="H678" s="78"/>
      <c r="I678" s="78"/>
      <c r="J678" s="77"/>
      <c r="K678" s="78"/>
      <c r="L678" s="78"/>
      <c r="M678" s="78"/>
      <c r="N678" s="76"/>
      <c r="O678" s="78"/>
      <c r="P678" s="80"/>
      <c r="Q678" s="80"/>
      <c r="R678" s="78"/>
      <c r="S678" s="78"/>
      <c r="T678" s="78"/>
      <c r="U678" s="78"/>
      <c r="V678" s="78"/>
    </row>
    <row r="679" spans="1:22" x14ac:dyDescent="0.25">
      <c r="A679" s="78"/>
      <c r="B679" s="78"/>
      <c r="C679" s="78"/>
      <c r="D679" s="78"/>
      <c r="E679" s="78"/>
      <c r="F679" s="76"/>
      <c r="G679" s="78"/>
      <c r="H679" s="78"/>
      <c r="I679" s="78"/>
      <c r="J679" s="77"/>
      <c r="K679" s="78"/>
      <c r="L679" s="78"/>
      <c r="M679" s="78"/>
      <c r="N679" s="76"/>
      <c r="O679" s="78"/>
      <c r="P679" s="80"/>
      <c r="Q679" s="80"/>
      <c r="R679" s="78"/>
      <c r="S679" s="78"/>
      <c r="T679" s="78"/>
      <c r="U679" s="78"/>
      <c r="V679" s="78"/>
    </row>
    <row r="680" spans="1:22" x14ac:dyDescent="0.25">
      <c r="A680" s="78"/>
      <c r="B680" s="78"/>
      <c r="C680" s="78"/>
      <c r="D680" s="78"/>
      <c r="E680" s="78"/>
      <c r="F680" s="76"/>
      <c r="G680" s="78"/>
      <c r="H680" s="78"/>
      <c r="I680" s="78"/>
      <c r="J680" s="77"/>
      <c r="K680" s="78"/>
      <c r="L680" s="78"/>
      <c r="M680" s="78"/>
      <c r="N680" s="76"/>
      <c r="O680" s="78"/>
      <c r="P680" s="80"/>
      <c r="Q680" s="80"/>
      <c r="R680" s="78"/>
      <c r="S680" s="78"/>
      <c r="T680" s="78"/>
      <c r="U680" s="78"/>
      <c r="V680" s="78"/>
    </row>
    <row r="681" spans="1:22" x14ac:dyDescent="0.25">
      <c r="A681" s="78"/>
      <c r="B681" s="78"/>
      <c r="C681" s="78"/>
      <c r="D681" s="78"/>
      <c r="E681" s="78"/>
      <c r="F681" s="76"/>
      <c r="G681" s="78"/>
      <c r="H681" s="78"/>
      <c r="I681" s="78"/>
      <c r="J681" s="77"/>
      <c r="K681" s="78"/>
      <c r="L681" s="78"/>
      <c r="M681" s="78"/>
      <c r="N681" s="76"/>
      <c r="O681" s="78"/>
      <c r="P681" s="80"/>
      <c r="Q681" s="80"/>
      <c r="R681" s="78"/>
      <c r="S681" s="78"/>
      <c r="T681" s="78"/>
      <c r="U681" s="78"/>
      <c r="V681" s="78"/>
    </row>
    <row r="682" spans="1:22" x14ac:dyDescent="0.25">
      <c r="A682" s="78"/>
      <c r="B682" s="78"/>
      <c r="C682" s="78"/>
      <c r="D682" s="78"/>
      <c r="E682" s="78"/>
      <c r="F682" s="76"/>
      <c r="G682" s="78"/>
      <c r="H682" s="78"/>
      <c r="I682" s="78"/>
      <c r="J682" s="77"/>
      <c r="K682" s="78"/>
      <c r="L682" s="78"/>
      <c r="M682" s="78"/>
      <c r="N682" s="76"/>
      <c r="O682" s="78"/>
      <c r="P682" s="80"/>
      <c r="Q682" s="80"/>
      <c r="R682" s="78"/>
      <c r="S682" s="78"/>
      <c r="T682" s="78"/>
      <c r="U682" s="78"/>
      <c r="V682" s="78"/>
    </row>
    <row r="683" spans="1:22" x14ac:dyDescent="0.25">
      <c r="A683" s="78"/>
      <c r="B683" s="78"/>
      <c r="C683" s="78"/>
      <c r="D683" s="78"/>
      <c r="E683" s="78"/>
      <c r="F683" s="76"/>
      <c r="G683" s="78"/>
      <c r="H683" s="78"/>
      <c r="I683" s="78"/>
      <c r="J683" s="77"/>
      <c r="K683" s="78"/>
      <c r="L683" s="78"/>
      <c r="M683" s="78"/>
      <c r="N683" s="76"/>
      <c r="O683" s="78"/>
      <c r="P683" s="80"/>
      <c r="Q683" s="80"/>
      <c r="R683" s="78"/>
      <c r="S683" s="78"/>
      <c r="T683" s="78"/>
      <c r="U683" s="78"/>
      <c r="V683" s="78"/>
    </row>
    <row r="684" spans="1:22" x14ac:dyDescent="0.25">
      <c r="A684" s="78"/>
      <c r="B684" s="78"/>
      <c r="C684" s="78"/>
      <c r="D684" s="78"/>
      <c r="E684" s="78"/>
      <c r="F684" s="76"/>
      <c r="G684" s="78"/>
      <c r="H684" s="78"/>
      <c r="I684" s="78"/>
      <c r="J684" s="77"/>
      <c r="K684" s="78"/>
      <c r="L684" s="78"/>
      <c r="M684" s="78"/>
      <c r="N684" s="76"/>
      <c r="O684" s="78"/>
      <c r="P684" s="80"/>
      <c r="Q684" s="80"/>
      <c r="R684" s="78"/>
      <c r="S684" s="78"/>
      <c r="T684" s="78"/>
      <c r="U684" s="78"/>
      <c r="V684" s="78"/>
    </row>
    <row r="685" spans="1:22" x14ac:dyDescent="0.25">
      <c r="A685" s="78"/>
      <c r="B685" s="78"/>
      <c r="C685" s="78"/>
      <c r="D685" s="78"/>
      <c r="E685" s="78"/>
      <c r="F685" s="76"/>
      <c r="G685" s="78"/>
      <c r="H685" s="78"/>
      <c r="I685" s="78"/>
      <c r="J685" s="77"/>
      <c r="K685" s="78"/>
      <c r="L685" s="78"/>
      <c r="M685" s="78"/>
      <c r="N685" s="76"/>
      <c r="O685" s="78"/>
      <c r="P685" s="80"/>
      <c r="Q685" s="80"/>
      <c r="R685" s="78"/>
      <c r="S685" s="78"/>
      <c r="T685" s="78"/>
      <c r="U685" s="78"/>
      <c r="V685" s="78"/>
    </row>
    <row r="686" spans="1:22" x14ac:dyDescent="0.25">
      <c r="A686" s="78"/>
      <c r="B686" s="78"/>
      <c r="C686" s="78"/>
      <c r="D686" s="78"/>
      <c r="E686" s="78"/>
      <c r="F686" s="76"/>
      <c r="G686" s="78"/>
      <c r="H686" s="78"/>
      <c r="I686" s="78"/>
      <c r="J686" s="77"/>
      <c r="K686" s="78"/>
      <c r="L686" s="78"/>
      <c r="M686" s="78"/>
      <c r="N686" s="76"/>
      <c r="O686" s="78"/>
      <c r="P686" s="80"/>
      <c r="Q686" s="80"/>
      <c r="R686" s="78"/>
      <c r="S686" s="78"/>
      <c r="T686" s="78"/>
      <c r="U686" s="78"/>
      <c r="V686" s="78"/>
    </row>
    <row r="687" spans="1:22" x14ac:dyDescent="0.25">
      <c r="A687" s="78"/>
      <c r="B687" s="78"/>
      <c r="C687" s="78"/>
      <c r="D687" s="78"/>
      <c r="E687" s="78"/>
      <c r="F687" s="76"/>
      <c r="G687" s="78"/>
      <c r="H687" s="78"/>
      <c r="I687" s="78"/>
      <c r="J687" s="77"/>
      <c r="K687" s="78"/>
      <c r="L687" s="78"/>
      <c r="M687" s="78"/>
      <c r="N687" s="76"/>
      <c r="O687" s="78"/>
      <c r="P687" s="80"/>
      <c r="Q687" s="80"/>
      <c r="R687" s="78"/>
      <c r="S687" s="78"/>
      <c r="T687" s="78"/>
      <c r="U687" s="78"/>
      <c r="V687" s="78"/>
    </row>
    <row r="688" spans="1:22" x14ac:dyDescent="0.25">
      <c r="A688" s="78"/>
      <c r="B688" s="78"/>
      <c r="C688" s="78"/>
      <c r="D688" s="78"/>
      <c r="E688" s="78"/>
      <c r="F688" s="76"/>
      <c r="G688" s="78"/>
      <c r="H688" s="78"/>
      <c r="I688" s="78"/>
      <c r="J688" s="77"/>
      <c r="K688" s="78"/>
      <c r="L688" s="78"/>
      <c r="M688" s="78"/>
      <c r="N688" s="76"/>
      <c r="O688" s="78"/>
      <c r="P688" s="80"/>
      <c r="Q688" s="80"/>
      <c r="R688" s="78"/>
      <c r="S688" s="78"/>
      <c r="T688" s="78"/>
      <c r="U688" s="78"/>
      <c r="V688" s="78"/>
    </row>
    <row r="689" spans="1:22" x14ac:dyDescent="0.25">
      <c r="A689" s="78"/>
      <c r="B689" s="78"/>
      <c r="C689" s="78"/>
      <c r="D689" s="78"/>
      <c r="E689" s="78"/>
      <c r="F689" s="76"/>
      <c r="G689" s="78"/>
      <c r="H689" s="78"/>
      <c r="I689" s="78"/>
      <c r="J689" s="77"/>
      <c r="K689" s="78"/>
      <c r="L689" s="78"/>
      <c r="M689" s="78"/>
      <c r="N689" s="76"/>
      <c r="O689" s="78"/>
      <c r="P689" s="80"/>
      <c r="Q689" s="80"/>
      <c r="R689" s="78"/>
      <c r="S689" s="78"/>
      <c r="T689" s="78"/>
      <c r="U689" s="78"/>
      <c r="V689" s="78"/>
    </row>
    <row r="690" spans="1:22" x14ac:dyDescent="0.25">
      <c r="A690" s="78"/>
      <c r="B690" s="78"/>
      <c r="C690" s="78"/>
      <c r="D690" s="78"/>
      <c r="E690" s="78"/>
      <c r="F690" s="76"/>
      <c r="G690" s="78"/>
      <c r="H690" s="78"/>
      <c r="I690" s="78"/>
      <c r="J690" s="77"/>
      <c r="K690" s="78"/>
      <c r="L690" s="78"/>
      <c r="M690" s="78"/>
      <c r="N690" s="76"/>
      <c r="O690" s="78"/>
      <c r="P690" s="80"/>
      <c r="Q690" s="80"/>
      <c r="R690" s="78"/>
      <c r="S690" s="78"/>
      <c r="T690" s="78"/>
      <c r="U690" s="78"/>
      <c r="V690" s="78"/>
    </row>
    <row r="691" spans="1:22" x14ac:dyDescent="0.25">
      <c r="A691" s="78"/>
      <c r="B691" s="78"/>
      <c r="C691" s="78"/>
      <c r="D691" s="78"/>
      <c r="E691" s="78"/>
      <c r="F691" s="76"/>
      <c r="G691" s="78"/>
      <c r="H691" s="78"/>
      <c r="I691" s="78"/>
      <c r="J691" s="77"/>
      <c r="K691" s="78"/>
      <c r="L691" s="78"/>
      <c r="M691" s="78"/>
      <c r="N691" s="76"/>
      <c r="O691" s="78"/>
      <c r="P691" s="80"/>
      <c r="Q691" s="80"/>
      <c r="R691" s="78"/>
      <c r="S691" s="78"/>
      <c r="T691" s="78"/>
      <c r="U691" s="78"/>
      <c r="V691" s="78"/>
    </row>
    <row r="692" spans="1:22" x14ac:dyDescent="0.25">
      <c r="A692" s="78"/>
      <c r="B692" s="78"/>
      <c r="C692" s="78"/>
      <c r="D692" s="78"/>
      <c r="E692" s="78"/>
      <c r="F692" s="76"/>
      <c r="G692" s="78"/>
      <c r="H692" s="78"/>
      <c r="I692" s="78"/>
      <c r="J692" s="77"/>
      <c r="K692" s="78"/>
      <c r="L692" s="78"/>
      <c r="M692" s="78"/>
      <c r="N692" s="76"/>
      <c r="O692" s="78"/>
      <c r="P692" s="80"/>
      <c r="Q692" s="80"/>
      <c r="R692" s="78"/>
      <c r="S692" s="78"/>
      <c r="T692" s="78"/>
      <c r="U692" s="78"/>
      <c r="V692" s="78"/>
    </row>
    <row r="693" spans="1:22" x14ac:dyDescent="0.25">
      <c r="A693" s="78"/>
      <c r="B693" s="78"/>
      <c r="C693" s="78"/>
      <c r="D693" s="78"/>
      <c r="E693" s="78"/>
      <c r="F693" s="76"/>
      <c r="G693" s="78"/>
      <c r="H693" s="78"/>
      <c r="I693" s="78"/>
      <c r="J693" s="77"/>
      <c r="K693" s="78"/>
      <c r="L693" s="78"/>
      <c r="M693" s="78"/>
      <c r="N693" s="76"/>
      <c r="O693" s="78"/>
      <c r="P693" s="80"/>
      <c r="Q693" s="80"/>
      <c r="R693" s="78"/>
      <c r="S693" s="78"/>
      <c r="T693" s="78"/>
      <c r="U693" s="78"/>
      <c r="V693" s="78"/>
    </row>
    <row r="694" spans="1:22" x14ac:dyDescent="0.25">
      <c r="A694" s="78"/>
      <c r="B694" s="78"/>
      <c r="C694" s="78"/>
      <c r="D694" s="78"/>
      <c r="E694" s="78"/>
      <c r="F694" s="76"/>
      <c r="G694" s="78"/>
      <c r="H694" s="78"/>
      <c r="I694" s="78"/>
      <c r="J694" s="77"/>
      <c r="K694" s="78"/>
      <c r="L694" s="78"/>
      <c r="M694" s="78"/>
      <c r="N694" s="76"/>
      <c r="O694" s="78"/>
      <c r="P694" s="80"/>
      <c r="Q694" s="80"/>
      <c r="R694" s="78"/>
      <c r="S694" s="78"/>
      <c r="T694" s="78"/>
      <c r="U694" s="78"/>
      <c r="V694" s="78"/>
    </row>
    <row r="695" spans="1:22" x14ac:dyDescent="0.25">
      <c r="A695" s="78"/>
      <c r="B695" s="78"/>
      <c r="C695" s="78"/>
      <c r="D695" s="78"/>
      <c r="E695" s="78"/>
      <c r="F695" s="76"/>
      <c r="G695" s="78"/>
      <c r="H695" s="78"/>
      <c r="I695" s="78"/>
      <c r="J695" s="77"/>
      <c r="K695" s="78"/>
      <c r="L695" s="78"/>
      <c r="M695" s="78"/>
      <c r="N695" s="76"/>
      <c r="O695" s="78"/>
      <c r="P695" s="80"/>
      <c r="Q695" s="80"/>
      <c r="R695" s="78"/>
      <c r="S695" s="78"/>
      <c r="T695" s="78"/>
      <c r="U695" s="78"/>
      <c r="V695" s="78"/>
    </row>
    <row r="696" spans="1:22" x14ac:dyDescent="0.25">
      <c r="A696" s="78"/>
      <c r="B696" s="78"/>
      <c r="C696" s="78"/>
      <c r="D696" s="78"/>
      <c r="E696" s="78"/>
      <c r="F696" s="76"/>
      <c r="G696" s="78"/>
      <c r="H696" s="78"/>
      <c r="I696" s="78"/>
      <c r="J696" s="77"/>
      <c r="K696" s="78"/>
      <c r="L696" s="78"/>
      <c r="M696" s="78"/>
      <c r="N696" s="76"/>
      <c r="O696" s="78"/>
      <c r="P696" s="80"/>
      <c r="Q696" s="80"/>
      <c r="R696" s="78"/>
      <c r="S696" s="78"/>
      <c r="T696" s="78"/>
      <c r="U696" s="78"/>
      <c r="V696" s="78"/>
    </row>
    <row r="697" spans="1:22" x14ac:dyDescent="0.25">
      <c r="A697" s="78"/>
      <c r="B697" s="78"/>
      <c r="C697" s="78"/>
      <c r="D697" s="78"/>
      <c r="E697" s="78"/>
      <c r="F697" s="76"/>
      <c r="G697" s="78"/>
      <c r="H697" s="78"/>
      <c r="I697" s="78"/>
      <c r="J697" s="77"/>
      <c r="K697" s="78"/>
      <c r="L697" s="78"/>
      <c r="M697" s="78"/>
      <c r="N697" s="76"/>
      <c r="O697" s="78"/>
      <c r="P697" s="80"/>
      <c r="Q697" s="80"/>
      <c r="R697" s="78"/>
      <c r="S697" s="78"/>
      <c r="T697" s="78"/>
      <c r="U697" s="78"/>
      <c r="V697" s="78"/>
    </row>
    <row r="698" spans="1:22" x14ac:dyDescent="0.25">
      <c r="A698" s="78"/>
      <c r="B698" s="78"/>
      <c r="C698" s="78"/>
      <c r="D698" s="78"/>
      <c r="E698" s="78"/>
      <c r="F698" s="76"/>
      <c r="G698" s="78"/>
      <c r="H698" s="78"/>
      <c r="I698" s="78"/>
      <c r="J698" s="77"/>
      <c r="K698" s="78"/>
      <c r="L698" s="78"/>
      <c r="M698" s="78"/>
      <c r="N698" s="76"/>
      <c r="O698" s="78"/>
      <c r="P698" s="80"/>
      <c r="Q698" s="80"/>
      <c r="R698" s="78"/>
      <c r="S698" s="78"/>
      <c r="T698" s="78"/>
      <c r="U698" s="78"/>
      <c r="V698" s="78"/>
    </row>
    <row r="699" spans="1:22" x14ac:dyDescent="0.25">
      <c r="A699" s="78"/>
      <c r="B699" s="78"/>
      <c r="C699" s="78"/>
      <c r="D699" s="78"/>
      <c r="E699" s="78"/>
      <c r="F699" s="76"/>
      <c r="G699" s="78"/>
      <c r="H699" s="78"/>
      <c r="I699" s="78"/>
      <c r="J699" s="77"/>
      <c r="K699" s="78"/>
      <c r="L699" s="78"/>
      <c r="M699" s="78"/>
      <c r="N699" s="76"/>
      <c r="O699" s="78"/>
      <c r="P699" s="80"/>
      <c r="Q699" s="80"/>
      <c r="R699" s="78"/>
      <c r="S699" s="78"/>
      <c r="T699" s="78"/>
      <c r="U699" s="78"/>
      <c r="V699" s="78"/>
    </row>
    <row r="700" spans="1:22" x14ac:dyDescent="0.25">
      <c r="A700" s="78"/>
      <c r="B700" s="78"/>
      <c r="C700" s="78"/>
      <c r="D700" s="78"/>
      <c r="E700" s="78"/>
      <c r="F700" s="76"/>
      <c r="G700" s="78"/>
      <c r="H700" s="78"/>
      <c r="I700" s="78"/>
      <c r="J700" s="77"/>
      <c r="K700" s="78"/>
      <c r="L700" s="78"/>
      <c r="M700" s="78"/>
      <c r="N700" s="76"/>
      <c r="O700" s="78"/>
      <c r="P700" s="80"/>
      <c r="Q700" s="80"/>
      <c r="R700" s="78"/>
      <c r="S700" s="78"/>
      <c r="T700" s="78"/>
      <c r="U700" s="78"/>
      <c r="V700" s="78"/>
    </row>
    <row r="701" spans="1:22" x14ac:dyDescent="0.25">
      <c r="A701" s="78"/>
      <c r="B701" s="78"/>
      <c r="C701" s="78"/>
      <c r="D701" s="78"/>
      <c r="E701" s="78"/>
      <c r="F701" s="76"/>
      <c r="G701" s="78"/>
      <c r="H701" s="78"/>
      <c r="I701" s="78"/>
      <c r="J701" s="77"/>
      <c r="K701" s="78"/>
      <c r="L701" s="78"/>
      <c r="M701" s="78"/>
      <c r="N701" s="76"/>
      <c r="O701" s="78"/>
      <c r="P701" s="80"/>
      <c r="Q701" s="80"/>
      <c r="R701" s="78"/>
      <c r="S701" s="78"/>
      <c r="T701" s="78"/>
      <c r="U701" s="78"/>
      <c r="V701" s="78"/>
    </row>
    <row r="702" spans="1:22" x14ac:dyDescent="0.25">
      <c r="A702" s="78"/>
      <c r="B702" s="78"/>
      <c r="C702" s="78"/>
      <c r="D702" s="78"/>
      <c r="E702" s="78"/>
      <c r="F702" s="76"/>
      <c r="G702" s="78"/>
      <c r="H702" s="78"/>
      <c r="I702" s="78"/>
      <c r="J702" s="77"/>
      <c r="K702" s="78"/>
      <c r="L702" s="78"/>
      <c r="M702" s="78"/>
      <c r="N702" s="76"/>
      <c r="O702" s="78"/>
      <c r="P702" s="80"/>
      <c r="Q702" s="80"/>
      <c r="R702" s="78"/>
      <c r="S702" s="78"/>
      <c r="T702" s="78"/>
      <c r="U702" s="78"/>
      <c r="V702" s="78"/>
    </row>
    <row r="703" spans="1:22" x14ac:dyDescent="0.25">
      <c r="A703" s="78"/>
      <c r="B703" s="78"/>
      <c r="C703" s="78"/>
      <c r="D703" s="78"/>
      <c r="E703" s="78"/>
      <c r="F703" s="76"/>
      <c r="G703" s="78"/>
      <c r="H703" s="78"/>
      <c r="I703" s="78"/>
      <c r="J703" s="77"/>
      <c r="K703" s="78"/>
      <c r="L703" s="78"/>
      <c r="M703" s="78"/>
      <c r="N703" s="76"/>
      <c r="O703" s="78"/>
      <c r="P703" s="80"/>
      <c r="Q703" s="80"/>
      <c r="R703" s="78"/>
      <c r="S703" s="78"/>
      <c r="T703" s="78"/>
      <c r="U703" s="78"/>
      <c r="V703" s="78"/>
    </row>
    <row r="704" spans="1:22" x14ac:dyDescent="0.25">
      <c r="A704" s="78"/>
      <c r="B704" s="78"/>
      <c r="C704" s="78"/>
      <c r="D704" s="78"/>
      <c r="E704" s="78"/>
      <c r="F704" s="76"/>
      <c r="G704" s="78"/>
      <c r="H704" s="78"/>
      <c r="I704" s="78"/>
      <c r="J704" s="77"/>
      <c r="K704" s="78"/>
      <c r="L704" s="78"/>
      <c r="M704" s="78"/>
      <c r="N704" s="76"/>
      <c r="O704" s="78"/>
      <c r="P704" s="80"/>
      <c r="Q704" s="80"/>
      <c r="R704" s="78"/>
      <c r="S704" s="78"/>
      <c r="T704" s="78"/>
      <c r="U704" s="78"/>
      <c r="V704" s="78"/>
    </row>
    <row r="705" spans="1:22" x14ac:dyDescent="0.25">
      <c r="A705" s="78"/>
      <c r="B705" s="78"/>
      <c r="C705" s="78"/>
      <c r="D705" s="78"/>
      <c r="E705" s="78"/>
      <c r="F705" s="76"/>
      <c r="G705" s="78"/>
      <c r="H705" s="78"/>
      <c r="I705" s="78"/>
      <c r="J705" s="77"/>
      <c r="K705" s="78"/>
      <c r="L705" s="78"/>
      <c r="M705" s="78"/>
      <c r="N705" s="76"/>
      <c r="O705" s="78"/>
      <c r="P705" s="80"/>
      <c r="Q705" s="80"/>
      <c r="R705" s="78"/>
      <c r="S705" s="78"/>
      <c r="T705" s="78"/>
      <c r="U705" s="78"/>
      <c r="V705" s="78"/>
    </row>
    <row r="706" spans="1:22" x14ac:dyDescent="0.25">
      <c r="A706" s="78"/>
      <c r="B706" s="78"/>
      <c r="C706" s="78"/>
      <c r="D706" s="78"/>
      <c r="E706" s="78"/>
      <c r="F706" s="76"/>
      <c r="G706" s="78"/>
      <c r="H706" s="78"/>
      <c r="I706" s="78"/>
      <c r="J706" s="77"/>
      <c r="K706" s="78"/>
      <c r="L706" s="78"/>
      <c r="M706" s="78"/>
      <c r="N706" s="76"/>
      <c r="O706" s="78"/>
      <c r="P706" s="80"/>
      <c r="Q706" s="80"/>
      <c r="R706" s="78"/>
      <c r="S706" s="78"/>
      <c r="T706" s="78"/>
      <c r="U706" s="78"/>
      <c r="V706" s="78"/>
    </row>
    <row r="707" spans="1:22" x14ac:dyDescent="0.25">
      <c r="A707" s="78"/>
      <c r="B707" s="78"/>
      <c r="C707" s="78"/>
      <c r="D707" s="78"/>
      <c r="E707" s="78"/>
      <c r="F707" s="76"/>
      <c r="G707" s="78"/>
      <c r="H707" s="78"/>
      <c r="I707" s="78"/>
      <c r="J707" s="77"/>
      <c r="K707" s="78"/>
      <c r="L707" s="78"/>
      <c r="M707" s="78"/>
      <c r="N707" s="76"/>
      <c r="O707" s="78"/>
      <c r="P707" s="80"/>
      <c r="Q707" s="80"/>
      <c r="R707" s="78"/>
      <c r="S707" s="78"/>
      <c r="T707" s="78"/>
      <c r="U707" s="78"/>
      <c r="V707" s="78"/>
    </row>
    <row r="708" spans="1:22" x14ac:dyDescent="0.25">
      <c r="A708" s="78"/>
      <c r="B708" s="78"/>
      <c r="C708" s="78"/>
      <c r="D708" s="78"/>
      <c r="E708" s="78"/>
      <c r="F708" s="76"/>
      <c r="G708" s="78"/>
      <c r="H708" s="78"/>
      <c r="I708" s="78"/>
      <c r="J708" s="77"/>
      <c r="K708" s="78"/>
      <c r="L708" s="78"/>
      <c r="M708" s="78"/>
      <c r="N708" s="76"/>
      <c r="O708" s="78"/>
      <c r="P708" s="80"/>
      <c r="Q708" s="80"/>
      <c r="R708" s="78"/>
      <c r="S708" s="78"/>
      <c r="T708" s="78"/>
      <c r="U708" s="78"/>
      <c r="V708" s="78"/>
    </row>
    <row r="709" spans="1:22" x14ac:dyDescent="0.25">
      <c r="A709" s="78"/>
      <c r="B709" s="78"/>
      <c r="C709" s="78"/>
      <c r="D709" s="78"/>
      <c r="E709" s="78"/>
      <c r="F709" s="76"/>
      <c r="G709" s="78"/>
      <c r="H709" s="78"/>
      <c r="I709" s="78"/>
      <c r="J709" s="77"/>
      <c r="K709" s="78"/>
      <c r="L709" s="78"/>
      <c r="M709" s="78"/>
      <c r="N709" s="76"/>
      <c r="O709" s="78"/>
      <c r="P709" s="80"/>
      <c r="Q709" s="80"/>
      <c r="R709" s="78"/>
      <c r="S709" s="78"/>
      <c r="T709" s="78"/>
      <c r="U709" s="78"/>
      <c r="V709" s="78"/>
    </row>
    <row r="710" spans="1:22" x14ac:dyDescent="0.25">
      <c r="A710" s="78"/>
      <c r="B710" s="78"/>
      <c r="C710" s="78"/>
      <c r="D710" s="78"/>
      <c r="E710" s="78"/>
      <c r="F710" s="76"/>
      <c r="G710" s="78"/>
      <c r="H710" s="78"/>
      <c r="I710" s="78"/>
      <c r="J710" s="77"/>
      <c r="K710" s="78"/>
      <c r="L710" s="78"/>
      <c r="M710" s="78"/>
      <c r="N710" s="76"/>
      <c r="O710" s="78"/>
      <c r="P710" s="80"/>
      <c r="Q710" s="80"/>
      <c r="R710" s="78"/>
      <c r="S710" s="78"/>
      <c r="T710" s="78"/>
      <c r="U710" s="78"/>
      <c r="V710" s="78"/>
    </row>
    <row r="711" spans="1:22" x14ac:dyDescent="0.25">
      <c r="A711" s="78"/>
      <c r="B711" s="78"/>
      <c r="C711" s="78"/>
      <c r="D711" s="78"/>
      <c r="E711" s="78"/>
      <c r="F711" s="76"/>
      <c r="G711" s="78"/>
      <c r="H711" s="78"/>
      <c r="I711" s="78"/>
      <c r="J711" s="77"/>
      <c r="K711" s="78"/>
      <c r="L711" s="78"/>
      <c r="M711" s="78"/>
      <c r="N711" s="76"/>
      <c r="O711" s="78"/>
      <c r="P711" s="80"/>
      <c r="Q711" s="80"/>
      <c r="R711" s="78"/>
      <c r="S711" s="78"/>
      <c r="T711" s="78"/>
      <c r="U711" s="78"/>
      <c r="V711" s="78"/>
    </row>
    <row r="712" spans="1:22" x14ac:dyDescent="0.25">
      <c r="A712" s="78"/>
      <c r="B712" s="78"/>
      <c r="C712" s="78"/>
      <c r="D712" s="78"/>
      <c r="E712" s="78"/>
      <c r="F712" s="76"/>
      <c r="G712" s="78"/>
      <c r="H712" s="78"/>
      <c r="I712" s="78"/>
      <c r="J712" s="77"/>
      <c r="K712" s="78"/>
      <c r="L712" s="78"/>
      <c r="M712" s="78"/>
      <c r="N712" s="76"/>
      <c r="O712" s="78"/>
      <c r="P712" s="80"/>
      <c r="Q712" s="80"/>
      <c r="R712" s="78"/>
      <c r="S712" s="78"/>
      <c r="T712" s="78"/>
      <c r="U712" s="78"/>
      <c r="V712" s="78"/>
    </row>
    <row r="713" spans="1:22" x14ac:dyDescent="0.25">
      <c r="A713" s="78"/>
      <c r="B713" s="78"/>
      <c r="C713" s="78"/>
      <c r="D713" s="78"/>
      <c r="E713" s="78"/>
      <c r="F713" s="76"/>
      <c r="G713" s="78"/>
      <c r="H713" s="78"/>
      <c r="I713" s="78"/>
      <c r="J713" s="77"/>
      <c r="K713" s="78"/>
      <c r="L713" s="78"/>
      <c r="M713" s="78"/>
      <c r="N713" s="76"/>
      <c r="O713" s="78"/>
      <c r="P713" s="80"/>
      <c r="Q713" s="80"/>
      <c r="R713" s="78"/>
      <c r="S713" s="78"/>
      <c r="T713" s="78"/>
      <c r="U713" s="78"/>
      <c r="V713" s="78"/>
    </row>
    <row r="714" spans="1:22" x14ac:dyDescent="0.25">
      <c r="A714" s="78"/>
      <c r="B714" s="78"/>
      <c r="C714" s="78"/>
      <c r="D714" s="78"/>
      <c r="E714" s="78"/>
      <c r="F714" s="76"/>
      <c r="G714" s="78"/>
      <c r="H714" s="78"/>
      <c r="I714" s="78"/>
      <c r="J714" s="77"/>
      <c r="K714" s="78"/>
      <c r="L714" s="78"/>
      <c r="M714" s="78"/>
      <c r="N714" s="76"/>
      <c r="O714" s="78"/>
      <c r="P714" s="80"/>
      <c r="Q714" s="80"/>
      <c r="R714" s="78"/>
      <c r="S714" s="78"/>
      <c r="T714" s="78"/>
      <c r="U714" s="78"/>
      <c r="V714" s="78"/>
    </row>
    <row r="715" spans="1:22" x14ac:dyDescent="0.25">
      <c r="A715" s="78"/>
      <c r="B715" s="78"/>
      <c r="C715" s="78"/>
      <c r="D715" s="78"/>
      <c r="E715" s="78"/>
      <c r="F715" s="76"/>
      <c r="G715" s="78"/>
      <c r="H715" s="78"/>
      <c r="I715" s="78"/>
      <c r="J715" s="77"/>
      <c r="K715" s="78"/>
      <c r="L715" s="78"/>
      <c r="M715" s="78"/>
      <c r="N715" s="76"/>
      <c r="O715" s="78"/>
      <c r="P715" s="80"/>
      <c r="Q715" s="80"/>
      <c r="R715" s="78"/>
      <c r="S715" s="78"/>
      <c r="T715" s="78"/>
      <c r="U715" s="78"/>
      <c r="V715" s="78"/>
    </row>
    <row r="716" spans="1:22" x14ac:dyDescent="0.25">
      <c r="A716" s="78"/>
      <c r="B716" s="78"/>
      <c r="C716" s="78"/>
      <c r="D716" s="78"/>
      <c r="E716" s="78"/>
      <c r="F716" s="76"/>
      <c r="G716" s="78"/>
      <c r="H716" s="78"/>
      <c r="I716" s="78"/>
      <c r="J716" s="77"/>
      <c r="K716" s="78"/>
      <c r="L716" s="78"/>
      <c r="M716" s="78"/>
      <c r="N716" s="76"/>
      <c r="O716" s="78"/>
      <c r="P716" s="80"/>
      <c r="Q716" s="80"/>
      <c r="R716" s="78"/>
      <c r="S716" s="78"/>
      <c r="T716" s="78"/>
      <c r="U716" s="78"/>
      <c r="V716" s="78"/>
    </row>
    <row r="717" spans="1:22" x14ac:dyDescent="0.25">
      <c r="A717" s="78"/>
      <c r="B717" s="78"/>
      <c r="C717" s="78"/>
      <c r="D717" s="78"/>
      <c r="E717" s="78"/>
      <c r="F717" s="76"/>
      <c r="G717" s="78"/>
      <c r="H717" s="78"/>
      <c r="I717" s="78"/>
      <c r="J717" s="77"/>
      <c r="K717" s="78"/>
      <c r="L717" s="78"/>
      <c r="M717" s="78"/>
      <c r="N717" s="76"/>
      <c r="O717" s="78"/>
      <c r="P717" s="80"/>
      <c r="Q717" s="80"/>
      <c r="R717" s="78"/>
      <c r="S717" s="78"/>
      <c r="T717" s="78"/>
      <c r="U717" s="78"/>
      <c r="V717" s="78"/>
    </row>
    <row r="718" spans="1:22" x14ac:dyDescent="0.25">
      <c r="A718" s="78"/>
      <c r="B718" s="78"/>
      <c r="C718" s="78"/>
      <c r="D718" s="78"/>
      <c r="E718" s="78"/>
      <c r="F718" s="76"/>
      <c r="G718" s="78"/>
      <c r="H718" s="78"/>
      <c r="I718" s="78"/>
      <c r="J718" s="77"/>
      <c r="K718" s="78"/>
      <c r="L718" s="78"/>
      <c r="M718" s="78"/>
      <c r="N718" s="76"/>
      <c r="O718" s="78"/>
      <c r="P718" s="80"/>
      <c r="Q718" s="80"/>
      <c r="R718" s="78"/>
      <c r="S718" s="78"/>
      <c r="T718" s="78"/>
      <c r="U718" s="78"/>
      <c r="V718" s="78"/>
    </row>
    <row r="719" spans="1:22" x14ac:dyDescent="0.25">
      <c r="A719" s="78"/>
      <c r="B719" s="78"/>
      <c r="C719" s="78"/>
      <c r="D719" s="78"/>
      <c r="E719" s="78"/>
      <c r="F719" s="76"/>
      <c r="G719" s="78"/>
      <c r="H719" s="78"/>
      <c r="I719" s="78"/>
      <c r="J719" s="77"/>
      <c r="K719" s="78"/>
      <c r="L719" s="78"/>
      <c r="M719" s="78"/>
      <c r="N719" s="76"/>
      <c r="O719" s="78"/>
      <c r="P719" s="80"/>
      <c r="Q719" s="80"/>
      <c r="R719" s="78"/>
      <c r="S719" s="78"/>
      <c r="T719" s="78"/>
      <c r="U719" s="78"/>
      <c r="V719" s="78"/>
    </row>
    <row r="720" spans="1:22" x14ac:dyDescent="0.25">
      <c r="A720" s="78"/>
      <c r="B720" s="78"/>
      <c r="C720" s="78"/>
      <c r="D720" s="78"/>
      <c r="E720" s="78"/>
      <c r="F720" s="76"/>
      <c r="G720" s="78"/>
      <c r="H720" s="78"/>
      <c r="I720" s="78"/>
      <c r="J720" s="77"/>
      <c r="K720" s="78"/>
      <c r="L720" s="78"/>
      <c r="M720" s="78"/>
      <c r="N720" s="76"/>
      <c r="O720" s="78"/>
      <c r="P720" s="80"/>
      <c r="Q720" s="80"/>
      <c r="R720" s="78"/>
      <c r="S720" s="78"/>
      <c r="T720" s="78"/>
      <c r="U720" s="78"/>
      <c r="V720" s="78"/>
    </row>
    <row r="721" spans="1:22" x14ac:dyDescent="0.25">
      <c r="A721" s="78"/>
      <c r="B721" s="78"/>
      <c r="C721" s="78"/>
      <c r="D721" s="78"/>
      <c r="E721" s="78"/>
      <c r="F721" s="76"/>
      <c r="G721" s="78"/>
      <c r="H721" s="78"/>
      <c r="I721" s="78"/>
      <c r="J721" s="77"/>
      <c r="K721" s="78"/>
      <c r="L721" s="78"/>
      <c r="M721" s="78"/>
      <c r="N721" s="76"/>
      <c r="O721" s="78"/>
      <c r="P721" s="80"/>
      <c r="Q721" s="80"/>
      <c r="R721" s="78"/>
      <c r="S721" s="78"/>
      <c r="T721" s="78"/>
      <c r="U721" s="78"/>
      <c r="V721" s="78"/>
    </row>
    <row r="722" spans="1:22" x14ac:dyDescent="0.25">
      <c r="A722" s="78"/>
      <c r="B722" s="78"/>
      <c r="C722" s="78"/>
      <c r="D722" s="78"/>
      <c r="E722" s="78"/>
      <c r="F722" s="76"/>
      <c r="G722" s="78"/>
      <c r="H722" s="78"/>
      <c r="I722" s="78"/>
      <c r="J722" s="77"/>
      <c r="K722" s="78"/>
      <c r="L722" s="78"/>
      <c r="M722" s="78"/>
      <c r="N722" s="76"/>
      <c r="O722" s="78"/>
      <c r="P722" s="80"/>
      <c r="Q722" s="80"/>
      <c r="R722" s="78"/>
      <c r="S722" s="78"/>
      <c r="T722" s="78"/>
      <c r="U722" s="78"/>
      <c r="V722" s="78"/>
    </row>
    <row r="723" spans="1:22" x14ac:dyDescent="0.25">
      <c r="A723" s="78"/>
      <c r="B723" s="78"/>
      <c r="C723" s="78"/>
      <c r="D723" s="78"/>
      <c r="E723" s="78"/>
      <c r="F723" s="76"/>
      <c r="G723" s="78"/>
      <c r="H723" s="78"/>
      <c r="I723" s="78"/>
      <c r="J723" s="77"/>
      <c r="K723" s="78"/>
      <c r="L723" s="78"/>
      <c r="M723" s="78"/>
      <c r="N723" s="76"/>
      <c r="O723" s="78"/>
      <c r="P723" s="80"/>
      <c r="Q723" s="80"/>
      <c r="R723" s="78"/>
      <c r="S723" s="78"/>
      <c r="T723" s="78"/>
      <c r="U723" s="78"/>
      <c r="V723" s="78"/>
    </row>
    <row r="724" spans="1:22" x14ac:dyDescent="0.25">
      <c r="A724" s="78"/>
      <c r="B724" s="78"/>
      <c r="C724" s="78"/>
      <c r="D724" s="78"/>
      <c r="E724" s="78"/>
      <c r="F724" s="76"/>
      <c r="G724" s="78"/>
      <c r="H724" s="78"/>
      <c r="I724" s="78"/>
      <c r="J724" s="77"/>
      <c r="K724" s="78"/>
      <c r="L724" s="78"/>
      <c r="M724" s="78"/>
      <c r="N724" s="76"/>
      <c r="O724" s="78"/>
      <c r="P724" s="80"/>
      <c r="Q724" s="80"/>
      <c r="R724" s="78"/>
      <c r="S724" s="78"/>
      <c r="T724" s="78"/>
      <c r="U724" s="78"/>
      <c r="V724" s="78"/>
    </row>
    <row r="725" spans="1:22" x14ac:dyDescent="0.25">
      <c r="A725" s="78"/>
      <c r="B725" s="78"/>
      <c r="C725" s="78"/>
      <c r="D725" s="78"/>
      <c r="E725" s="78"/>
      <c r="F725" s="76"/>
      <c r="G725" s="78"/>
      <c r="H725" s="78"/>
      <c r="I725" s="78"/>
      <c r="J725" s="77"/>
      <c r="K725" s="78"/>
      <c r="L725" s="78"/>
      <c r="M725" s="78"/>
      <c r="N725" s="76"/>
      <c r="O725" s="78"/>
      <c r="P725" s="80"/>
      <c r="Q725" s="80"/>
      <c r="R725" s="78"/>
      <c r="S725" s="78"/>
      <c r="T725" s="78"/>
      <c r="U725" s="78"/>
      <c r="V725" s="78"/>
    </row>
    <row r="726" spans="1:22" x14ac:dyDescent="0.25">
      <c r="A726" s="78"/>
      <c r="B726" s="78"/>
      <c r="C726" s="78"/>
      <c r="D726" s="78"/>
      <c r="E726" s="78"/>
      <c r="F726" s="76"/>
      <c r="G726" s="78"/>
      <c r="H726" s="78"/>
      <c r="I726" s="78"/>
      <c r="J726" s="77"/>
      <c r="K726" s="78"/>
      <c r="L726" s="78"/>
      <c r="M726" s="78"/>
      <c r="N726" s="76"/>
      <c r="O726" s="78"/>
      <c r="P726" s="80"/>
      <c r="Q726" s="80"/>
      <c r="R726" s="78"/>
      <c r="S726" s="78"/>
      <c r="T726" s="78"/>
      <c r="U726" s="78"/>
      <c r="V726" s="78"/>
    </row>
    <row r="727" spans="1:22" x14ac:dyDescent="0.25">
      <c r="A727" s="78"/>
      <c r="B727" s="78"/>
      <c r="C727" s="78"/>
      <c r="D727" s="78"/>
      <c r="E727" s="78"/>
      <c r="F727" s="76"/>
      <c r="G727" s="78"/>
      <c r="H727" s="78"/>
      <c r="I727" s="78"/>
      <c r="J727" s="77"/>
      <c r="K727" s="78"/>
      <c r="L727" s="78"/>
      <c r="M727" s="78"/>
      <c r="N727" s="76"/>
      <c r="O727" s="78"/>
      <c r="P727" s="80"/>
      <c r="Q727" s="80"/>
      <c r="R727" s="78"/>
      <c r="S727" s="78"/>
      <c r="T727" s="78"/>
      <c r="U727" s="78"/>
      <c r="V727" s="78"/>
    </row>
    <row r="728" spans="1:22" x14ac:dyDescent="0.25">
      <c r="A728" s="78"/>
      <c r="B728" s="78"/>
      <c r="C728" s="78"/>
      <c r="D728" s="78"/>
      <c r="E728" s="78"/>
      <c r="F728" s="76"/>
      <c r="G728" s="78"/>
      <c r="H728" s="78"/>
      <c r="I728" s="78"/>
      <c r="J728" s="77"/>
      <c r="K728" s="78"/>
      <c r="L728" s="78"/>
      <c r="M728" s="78"/>
      <c r="N728" s="76"/>
      <c r="O728" s="78"/>
      <c r="P728" s="80"/>
      <c r="Q728" s="80"/>
      <c r="R728" s="78"/>
      <c r="S728" s="78"/>
      <c r="T728" s="78"/>
      <c r="U728" s="78"/>
      <c r="V728" s="78"/>
    </row>
    <row r="729" spans="1:22" x14ac:dyDescent="0.25">
      <c r="A729" s="78"/>
      <c r="B729" s="78"/>
      <c r="C729" s="78"/>
      <c r="D729" s="78"/>
      <c r="E729" s="78"/>
      <c r="F729" s="76"/>
      <c r="G729" s="78"/>
      <c r="H729" s="78"/>
      <c r="I729" s="78"/>
      <c r="J729" s="77"/>
      <c r="K729" s="78"/>
      <c r="L729" s="78"/>
      <c r="M729" s="78"/>
      <c r="N729" s="76"/>
      <c r="O729" s="78"/>
      <c r="P729" s="80"/>
      <c r="Q729" s="80"/>
      <c r="R729" s="78"/>
      <c r="S729" s="78"/>
      <c r="T729" s="78"/>
      <c r="U729" s="78"/>
      <c r="V729" s="78"/>
    </row>
    <row r="730" spans="1:22" x14ac:dyDescent="0.25">
      <c r="A730" s="78"/>
      <c r="B730" s="78"/>
      <c r="C730" s="78"/>
      <c r="D730" s="78"/>
      <c r="E730" s="78"/>
      <c r="F730" s="76"/>
      <c r="G730" s="78"/>
      <c r="H730" s="78"/>
      <c r="I730" s="78"/>
      <c r="J730" s="77"/>
      <c r="K730" s="78"/>
      <c r="L730" s="78"/>
      <c r="M730" s="78"/>
      <c r="N730" s="76"/>
      <c r="O730" s="78"/>
      <c r="P730" s="80"/>
      <c r="Q730" s="80"/>
      <c r="R730" s="78"/>
      <c r="S730" s="78"/>
      <c r="T730" s="78"/>
      <c r="U730" s="78"/>
      <c r="V730" s="78"/>
    </row>
    <row r="731" spans="1:22" x14ac:dyDescent="0.25">
      <c r="A731" s="78"/>
      <c r="B731" s="78"/>
      <c r="C731" s="78"/>
      <c r="D731" s="78"/>
      <c r="E731" s="78"/>
      <c r="F731" s="76"/>
      <c r="G731" s="78"/>
      <c r="H731" s="78"/>
      <c r="I731" s="78"/>
      <c r="J731" s="77"/>
      <c r="K731" s="78"/>
      <c r="L731" s="78"/>
      <c r="M731" s="78"/>
      <c r="N731" s="76"/>
      <c r="O731" s="78"/>
      <c r="P731" s="80"/>
      <c r="Q731" s="80"/>
      <c r="R731" s="78"/>
      <c r="S731" s="78"/>
      <c r="T731" s="78"/>
      <c r="U731" s="78"/>
      <c r="V731" s="78"/>
    </row>
    <row r="732" spans="1:22" x14ac:dyDescent="0.25">
      <c r="A732" s="78"/>
      <c r="B732" s="78"/>
      <c r="C732" s="78"/>
      <c r="D732" s="78"/>
      <c r="E732" s="78"/>
      <c r="F732" s="76"/>
      <c r="G732" s="78"/>
      <c r="H732" s="78"/>
      <c r="I732" s="78"/>
      <c r="J732" s="77"/>
      <c r="K732" s="78"/>
      <c r="L732" s="78"/>
      <c r="M732" s="78"/>
      <c r="N732" s="76"/>
      <c r="O732" s="78"/>
      <c r="P732" s="80"/>
      <c r="Q732" s="80"/>
      <c r="R732" s="78"/>
      <c r="S732" s="78"/>
      <c r="T732" s="78"/>
      <c r="U732" s="78"/>
      <c r="V732" s="78"/>
    </row>
    <row r="733" spans="1:22" x14ac:dyDescent="0.25">
      <c r="A733" s="78"/>
      <c r="B733" s="78"/>
      <c r="C733" s="78"/>
      <c r="D733" s="78"/>
      <c r="E733" s="78"/>
      <c r="F733" s="76"/>
      <c r="G733" s="78"/>
      <c r="H733" s="78"/>
      <c r="I733" s="78"/>
      <c r="J733" s="77"/>
      <c r="K733" s="78"/>
      <c r="L733" s="78"/>
      <c r="M733" s="78"/>
      <c r="N733" s="76"/>
      <c r="O733" s="78"/>
      <c r="P733" s="80"/>
      <c r="Q733" s="80"/>
      <c r="R733" s="78"/>
      <c r="S733" s="78"/>
      <c r="T733" s="78"/>
      <c r="U733" s="78"/>
      <c r="V733" s="78"/>
    </row>
    <row r="734" spans="1:22" x14ac:dyDescent="0.25">
      <c r="A734" s="78"/>
      <c r="B734" s="78"/>
      <c r="C734" s="78"/>
      <c r="D734" s="78"/>
      <c r="E734" s="78"/>
      <c r="F734" s="76"/>
      <c r="G734" s="78"/>
      <c r="H734" s="78"/>
      <c r="I734" s="78"/>
      <c r="J734" s="77"/>
      <c r="K734" s="78"/>
      <c r="L734" s="78"/>
      <c r="M734" s="78"/>
      <c r="N734" s="76"/>
      <c r="O734" s="78"/>
      <c r="P734" s="80"/>
      <c r="Q734" s="80"/>
      <c r="R734" s="78"/>
      <c r="S734" s="78"/>
      <c r="T734" s="78"/>
      <c r="U734" s="78"/>
      <c r="V734" s="78"/>
    </row>
    <row r="735" spans="1:22" x14ac:dyDescent="0.25">
      <c r="A735" s="78"/>
      <c r="B735" s="78"/>
      <c r="C735" s="78"/>
      <c r="D735" s="78"/>
      <c r="E735" s="78"/>
      <c r="F735" s="76"/>
      <c r="G735" s="78"/>
      <c r="H735" s="78"/>
      <c r="I735" s="78"/>
      <c r="J735" s="77"/>
      <c r="K735" s="78"/>
      <c r="L735" s="78"/>
      <c r="M735" s="78"/>
      <c r="N735" s="76"/>
      <c r="O735" s="78"/>
      <c r="P735" s="80"/>
      <c r="Q735" s="80"/>
      <c r="R735" s="78"/>
      <c r="S735" s="78"/>
      <c r="T735" s="78"/>
      <c r="U735" s="78"/>
      <c r="V735" s="78"/>
    </row>
    <row r="736" spans="1:22" x14ac:dyDescent="0.25">
      <c r="A736" s="78"/>
      <c r="B736" s="78"/>
      <c r="C736" s="78"/>
      <c r="D736" s="78"/>
      <c r="E736" s="78"/>
      <c r="F736" s="76"/>
      <c r="G736" s="78"/>
      <c r="H736" s="78"/>
      <c r="I736" s="78"/>
      <c r="J736" s="77"/>
      <c r="K736" s="78"/>
      <c r="L736" s="78"/>
      <c r="M736" s="78"/>
      <c r="N736" s="76"/>
      <c r="O736" s="78"/>
      <c r="P736" s="80"/>
      <c r="Q736" s="80"/>
      <c r="R736" s="78"/>
      <c r="S736" s="78"/>
      <c r="T736" s="78"/>
      <c r="U736" s="78"/>
      <c r="V736" s="78"/>
    </row>
    <row r="737" spans="1:22" x14ac:dyDescent="0.25">
      <c r="A737" s="78"/>
      <c r="B737" s="78"/>
      <c r="C737" s="78"/>
      <c r="D737" s="78"/>
      <c r="E737" s="78"/>
      <c r="F737" s="76"/>
      <c r="G737" s="78"/>
      <c r="H737" s="78"/>
      <c r="I737" s="78"/>
      <c r="J737" s="77"/>
      <c r="K737" s="78"/>
      <c r="L737" s="78"/>
      <c r="M737" s="78"/>
      <c r="N737" s="76"/>
      <c r="O737" s="78"/>
      <c r="P737" s="80"/>
      <c r="Q737" s="80"/>
      <c r="R737" s="78"/>
      <c r="S737" s="78"/>
      <c r="T737" s="78"/>
      <c r="U737" s="78"/>
      <c r="V737" s="78"/>
    </row>
    <row r="738" spans="1:22" x14ac:dyDescent="0.25">
      <c r="A738" s="78"/>
      <c r="B738" s="78"/>
      <c r="C738" s="78"/>
      <c r="D738" s="78"/>
      <c r="E738" s="78"/>
      <c r="F738" s="76"/>
      <c r="G738" s="78"/>
      <c r="H738" s="78"/>
      <c r="I738" s="78"/>
      <c r="J738" s="77"/>
      <c r="K738" s="78"/>
      <c r="L738" s="78"/>
      <c r="M738" s="78"/>
      <c r="N738" s="76"/>
      <c r="O738" s="78"/>
      <c r="P738" s="80"/>
      <c r="Q738" s="80"/>
      <c r="R738" s="78"/>
      <c r="S738" s="78"/>
      <c r="T738" s="78"/>
      <c r="U738" s="78"/>
      <c r="V738" s="78"/>
    </row>
    <row r="739" spans="1:22" x14ac:dyDescent="0.25">
      <c r="A739" s="78"/>
      <c r="B739" s="78"/>
      <c r="C739" s="78"/>
      <c r="D739" s="78"/>
      <c r="E739" s="78"/>
      <c r="F739" s="76"/>
      <c r="G739" s="78"/>
      <c r="H739" s="78"/>
      <c r="I739" s="78"/>
      <c r="J739" s="77"/>
      <c r="K739" s="78"/>
      <c r="L739" s="78"/>
      <c r="M739" s="78"/>
      <c r="N739" s="76"/>
      <c r="O739" s="78"/>
      <c r="P739" s="80"/>
      <c r="Q739" s="80"/>
      <c r="R739" s="78"/>
      <c r="S739" s="78"/>
      <c r="T739" s="78"/>
      <c r="U739" s="78"/>
      <c r="V739" s="78"/>
    </row>
    <row r="740" spans="1:22" x14ac:dyDescent="0.25">
      <c r="A740" s="78"/>
      <c r="B740" s="78"/>
      <c r="C740" s="78"/>
      <c r="D740" s="78"/>
      <c r="E740" s="78"/>
      <c r="F740" s="76"/>
      <c r="G740" s="78"/>
      <c r="H740" s="78"/>
      <c r="I740" s="78"/>
      <c r="J740" s="77"/>
      <c r="K740" s="78"/>
      <c r="L740" s="78"/>
      <c r="M740" s="78"/>
      <c r="N740" s="76"/>
      <c r="O740" s="78"/>
      <c r="P740" s="80"/>
      <c r="Q740" s="80"/>
      <c r="R740" s="78"/>
      <c r="S740" s="78"/>
      <c r="T740" s="78"/>
      <c r="U740" s="78"/>
      <c r="V740" s="78"/>
    </row>
    <row r="741" spans="1:22" x14ac:dyDescent="0.25">
      <c r="A741" s="78"/>
      <c r="B741" s="78"/>
      <c r="C741" s="78"/>
      <c r="D741" s="78"/>
      <c r="E741" s="78"/>
      <c r="F741" s="76"/>
      <c r="G741" s="78"/>
      <c r="H741" s="78"/>
      <c r="I741" s="78"/>
      <c r="J741" s="77"/>
      <c r="K741" s="78"/>
      <c r="L741" s="78"/>
      <c r="M741" s="78"/>
      <c r="N741" s="76"/>
      <c r="O741" s="78"/>
      <c r="P741" s="80"/>
      <c r="Q741" s="80"/>
      <c r="R741" s="78"/>
      <c r="S741" s="78"/>
      <c r="T741" s="78"/>
      <c r="U741" s="78"/>
      <c r="V741" s="78"/>
    </row>
    <row r="742" spans="1:22" x14ac:dyDescent="0.25">
      <c r="A742" s="78"/>
      <c r="B742" s="78"/>
      <c r="C742" s="78"/>
      <c r="D742" s="78"/>
      <c r="E742" s="78"/>
      <c r="F742" s="76"/>
      <c r="G742" s="78"/>
      <c r="H742" s="78"/>
      <c r="I742" s="78"/>
      <c r="J742" s="77"/>
      <c r="K742" s="78"/>
      <c r="L742" s="78"/>
      <c r="M742" s="78"/>
      <c r="N742" s="76"/>
      <c r="O742" s="78"/>
      <c r="P742" s="80"/>
      <c r="Q742" s="80"/>
      <c r="R742" s="78"/>
      <c r="S742" s="78"/>
      <c r="T742" s="78"/>
      <c r="U742" s="78"/>
      <c r="V742" s="78"/>
    </row>
    <row r="743" spans="1:22" x14ac:dyDescent="0.25">
      <c r="A743" s="78"/>
      <c r="B743" s="78"/>
      <c r="C743" s="78"/>
      <c r="D743" s="78"/>
      <c r="E743" s="78"/>
      <c r="F743" s="76"/>
      <c r="G743" s="78"/>
      <c r="H743" s="78"/>
      <c r="I743" s="78"/>
      <c r="J743" s="77"/>
      <c r="K743" s="78"/>
      <c r="L743" s="78"/>
      <c r="M743" s="78"/>
      <c r="N743" s="76"/>
      <c r="O743" s="78"/>
      <c r="P743" s="80"/>
      <c r="Q743" s="80"/>
      <c r="R743" s="78"/>
      <c r="S743" s="78"/>
      <c r="T743" s="78"/>
      <c r="U743" s="78"/>
      <c r="V743" s="78"/>
    </row>
    <row r="744" spans="1:22" x14ac:dyDescent="0.25">
      <c r="A744" s="78"/>
      <c r="B744" s="78"/>
      <c r="C744" s="78"/>
      <c r="D744" s="78"/>
      <c r="E744" s="78"/>
      <c r="F744" s="76"/>
      <c r="G744" s="78"/>
      <c r="H744" s="78"/>
      <c r="I744" s="78"/>
      <c r="J744" s="77"/>
      <c r="K744" s="78"/>
      <c r="L744" s="78"/>
      <c r="M744" s="78"/>
      <c r="N744" s="76"/>
      <c r="O744" s="78"/>
      <c r="P744" s="80"/>
      <c r="Q744" s="80"/>
      <c r="R744" s="78"/>
      <c r="S744" s="78"/>
      <c r="T744" s="78"/>
      <c r="U744" s="78"/>
      <c r="V744" s="78"/>
    </row>
    <row r="745" spans="1:22" x14ac:dyDescent="0.25">
      <c r="A745" s="78"/>
      <c r="B745" s="78"/>
      <c r="C745" s="78"/>
      <c r="D745" s="78"/>
      <c r="E745" s="78"/>
      <c r="F745" s="76"/>
      <c r="G745" s="78"/>
      <c r="H745" s="78"/>
      <c r="I745" s="78"/>
      <c r="J745" s="77"/>
      <c r="K745" s="78"/>
      <c r="L745" s="78"/>
      <c r="M745" s="78"/>
      <c r="N745" s="76"/>
      <c r="O745" s="78"/>
      <c r="P745" s="80"/>
      <c r="Q745" s="80"/>
      <c r="R745" s="78"/>
      <c r="S745" s="78"/>
      <c r="T745" s="78"/>
      <c r="U745" s="78"/>
      <c r="V745" s="78"/>
    </row>
    <row r="746" spans="1:22" x14ac:dyDescent="0.25">
      <c r="A746" s="78"/>
      <c r="B746" s="78"/>
      <c r="C746" s="78"/>
      <c r="D746" s="78"/>
      <c r="E746" s="78"/>
      <c r="F746" s="76"/>
      <c r="G746" s="78"/>
      <c r="H746" s="78"/>
      <c r="I746" s="78"/>
      <c r="J746" s="77"/>
      <c r="K746" s="78"/>
      <c r="L746" s="78"/>
      <c r="M746" s="78"/>
      <c r="N746" s="76"/>
      <c r="O746" s="78"/>
      <c r="P746" s="80"/>
      <c r="Q746" s="80"/>
      <c r="R746" s="78"/>
      <c r="S746" s="78"/>
      <c r="T746" s="78"/>
      <c r="U746" s="78"/>
      <c r="V746" s="78"/>
    </row>
    <row r="747" spans="1:22" x14ac:dyDescent="0.25">
      <c r="A747" s="78"/>
      <c r="B747" s="78"/>
      <c r="C747" s="78"/>
      <c r="D747" s="78"/>
      <c r="E747" s="78"/>
      <c r="F747" s="76"/>
      <c r="G747" s="78"/>
      <c r="H747" s="78"/>
      <c r="I747" s="78"/>
      <c r="J747" s="77"/>
      <c r="K747" s="78"/>
      <c r="L747" s="78"/>
      <c r="M747" s="78"/>
      <c r="N747" s="76"/>
      <c r="O747" s="78"/>
      <c r="P747" s="80"/>
      <c r="Q747" s="80"/>
      <c r="R747" s="78"/>
      <c r="S747" s="78"/>
      <c r="T747" s="78"/>
      <c r="U747" s="78"/>
      <c r="V747" s="78"/>
    </row>
    <row r="748" spans="1:22" x14ac:dyDescent="0.25">
      <c r="A748" s="78"/>
      <c r="B748" s="78"/>
      <c r="C748" s="78"/>
      <c r="D748" s="78"/>
      <c r="E748" s="78"/>
      <c r="F748" s="76"/>
      <c r="G748" s="78"/>
      <c r="H748" s="78"/>
      <c r="I748" s="78"/>
      <c r="J748" s="77"/>
      <c r="K748" s="78"/>
      <c r="L748" s="78"/>
      <c r="M748" s="78"/>
      <c r="N748" s="76"/>
      <c r="O748" s="78"/>
      <c r="P748" s="80"/>
      <c r="Q748" s="80"/>
      <c r="R748" s="78"/>
      <c r="S748" s="78"/>
      <c r="T748" s="78"/>
      <c r="U748" s="78"/>
      <c r="V748" s="78"/>
    </row>
    <row r="749" spans="1:22" x14ac:dyDescent="0.25">
      <c r="A749" s="78"/>
      <c r="B749" s="78"/>
      <c r="C749" s="78"/>
      <c r="D749" s="78"/>
      <c r="E749" s="78"/>
      <c r="F749" s="76"/>
      <c r="G749" s="78"/>
      <c r="H749" s="78"/>
      <c r="I749" s="78"/>
      <c r="J749" s="77"/>
      <c r="K749" s="78"/>
      <c r="L749" s="78"/>
      <c r="M749" s="78"/>
      <c r="N749" s="76"/>
      <c r="O749" s="78"/>
      <c r="P749" s="80"/>
      <c r="Q749" s="80"/>
      <c r="R749" s="78"/>
      <c r="S749" s="78"/>
      <c r="T749" s="78"/>
      <c r="U749" s="78"/>
      <c r="V749" s="78"/>
    </row>
    <row r="750" spans="1:22" x14ac:dyDescent="0.25">
      <c r="A750" s="78"/>
      <c r="B750" s="78"/>
      <c r="C750" s="78"/>
      <c r="D750" s="78"/>
      <c r="E750" s="78"/>
      <c r="F750" s="76"/>
      <c r="G750" s="78"/>
      <c r="H750" s="78"/>
      <c r="I750" s="78"/>
      <c r="J750" s="77"/>
      <c r="K750" s="78"/>
      <c r="L750" s="78"/>
      <c r="M750" s="78"/>
      <c r="N750" s="76"/>
      <c r="O750" s="78"/>
      <c r="P750" s="80"/>
      <c r="Q750" s="80"/>
      <c r="R750" s="78"/>
      <c r="S750" s="78"/>
      <c r="T750" s="78"/>
      <c r="U750" s="78"/>
      <c r="V750" s="78"/>
    </row>
    <row r="751" spans="1:22" x14ac:dyDescent="0.25">
      <c r="A751" s="78"/>
      <c r="B751" s="78"/>
      <c r="C751" s="78"/>
      <c r="D751" s="78"/>
      <c r="E751" s="78"/>
      <c r="F751" s="76"/>
      <c r="G751" s="78"/>
      <c r="H751" s="78"/>
      <c r="I751" s="78"/>
      <c r="J751" s="77"/>
      <c r="K751" s="78"/>
      <c r="L751" s="78"/>
      <c r="M751" s="78"/>
      <c r="N751" s="76"/>
      <c r="O751" s="78"/>
      <c r="P751" s="80"/>
      <c r="Q751" s="80"/>
      <c r="R751" s="78"/>
      <c r="S751" s="78"/>
      <c r="T751" s="78"/>
      <c r="U751" s="78"/>
      <c r="V751" s="78"/>
    </row>
    <row r="752" spans="1:22" x14ac:dyDescent="0.25">
      <c r="A752" s="78"/>
      <c r="B752" s="78"/>
      <c r="C752" s="78"/>
      <c r="D752" s="78"/>
      <c r="E752" s="78"/>
      <c r="F752" s="76"/>
      <c r="G752" s="78"/>
      <c r="H752" s="78"/>
      <c r="I752" s="78"/>
      <c r="J752" s="77"/>
      <c r="K752" s="78"/>
      <c r="L752" s="78"/>
      <c r="M752" s="78"/>
      <c r="N752" s="76"/>
      <c r="O752" s="78"/>
      <c r="P752" s="80"/>
      <c r="Q752" s="80"/>
      <c r="R752" s="78"/>
      <c r="S752" s="78"/>
      <c r="T752" s="78"/>
      <c r="U752" s="78"/>
      <c r="V752" s="78"/>
    </row>
    <row r="753" spans="1:22" x14ac:dyDescent="0.25">
      <c r="A753" s="78"/>
      <c r="B753" s="78"/>
      <c r="C753" s="78"/>
      <c r="D753" s="78"/>
      <c r="E753" s="78"/>
      <c r="F753" s="76"/>
      <c r="G753" s="78"/>
      <c r="H753" s="78"/>
      <c r="I753" s="78"/>
      <c r="J753" s="77"/>
      <c r="K753" s="78"/>
      <c r="L753" s="78"/>
      <c r="M753" s="78"/>
      <c r="N753" s="76"/>
      <c r="O753" s="78"/>
      <c r="P753" s="80"/>
      <c r="Q753" s="80"/>
      <c r="R753" s="78"/>
      <c r="S753" s="78"/>
      <c r="T753" s="78"/>
      <c r="U753" s="78"/>
      <c r="V753" s="78"/>
    </row>
    <row r="754" spans="1:22" x14ac:dyDescent="0.25">
      <c r="A754" s="78"/>
      <c r="B754" s="78"/>
      <c r="C754" s="78"/>
      <c r="D754" s="78"/>
      <c r="E754" s="78"/>
      <c r="F754" s="76"/>
      <c r="G754" s="78"/>
      <c r="H754" s="78"/>
      <c r="I754" s="78"/>
      <c r="J754" s="77"/>
      <c r="K754" s="78"/>
      <c r="L754" s="78"/>
      <c r="M754" s="78"/>
      <c r="N754" s="76"/>
      <c r="O754" s="78"/>
      <c r="P754" s="80"/>
      <c r="Q754" s="80"/>
      <c r="R754" s="78"/>
      <c r="S754" s="78"/>
      <c r="T754" s="78"/>
      <c r="U754" s="78"/>
      <c r="V754" s="78"/>
    </row>
    <row r="755" spans="1:22" x14ac:dyDescent="0.25">
      <c r="A755" s="78"/>
      <c r="B755" s="78"/>
      <c r="C755" s="78"/>
      <c r="D755" s="78"/>
      <c r="E755" s="78"/>
      <c r="F755" s="76"/>
      <c r="G755" s="78"/>
      <c r="H755" s="78"/>
      <c r="I755" s="78"/>
      <c r="J755" s="77"/>
      <c r="K755" s="78"/>
      <c r="L755" s="78"/>
      <c r="M755" s="78"/>
      <c r="N755" s="76"/>
      <c r="O755" s="78"/>
      <c r="P755" s="80"/>
      <c r="Q755" s="80"/>
      <c r="R755" s="78"/>
      <c r="S755" s="78"/>
      <c r="T755" s="78"/>
      <c r="U755" s="78"/>
      <c r="V755" s="78"/>
    </row>
    <row r="756" spans="1:22" x14ac:dyDescent="0.25">
      <c r="A756" s="78"/>
      <c r="B756" s="78"/>
      <c r="C756" s="78"/>
      <c r="D756" s="78"/>
      <c r="E756" s="78"/>
      <c r="F756" s="76"/>
      <c r="G756" s="78"/>
      <c r="H756" s="78"/>
      <c r="I756" s="78"/>
      <c r="J756" s="77"/>
      <c r="K756" s="78"/>
      <c r="L756" s="78"/>
      <c r="M756" s="78"/>
      <c r="N756" s="76"/>
      <c r="O756" s="78"/>
      <c r="P756" s="80"/>
      <c r="Q756" s="80"/>
      <c r="R756" s="78"/>
      <c r="S756" s="78"/>
      <c r="T756" s="78"/>
      <c r="U756" s="78"/>
      <c r="V756" s="78"/>
    </row>
    <row r="757" spans="1:22" x14ac:dyDescent="0.25">
      <c r="A757" s="78"/>
      <c r="B757" s="78"/>
      <c r="C757" s="78"/>
      <c r="D757" s="78"/>
      <c r="E757" s="78"/>
      <c r="F757" s="76"/>
      <c r="G757" s="78"/>
      <c r="H757" s="78"/>
      <c r="I757" s="78"/>
      <c r="J757" s="77"/>
      <c r="K757" s="78"/>
      <c r="L757" s="78"/>
      <c r="M757" s="78"/>
      <c r="N757" s="76"/>
      <c r="O757" s="78"/>
      <c r="P757" s="80"/>
      <c r="Q757" s="80"/>
      <c r="R757" s="78"/>
      <c r="S757" s="78"/>
      <c r="T757" s="78"/>
      <c r="U757" s="78"/>
      <c r="V757" s="78"/>
    </row>
    <row r="758" spans="1:22" x14ac:dyDescent="0.25">
      <c r="A758" s="78"/>
      <c r="B758" s="78"/>
      <c r="C758" s="78"/>
      <c r="D758" s="78"/>
      <c r="E758" s="78"/>
      <c r="F758" s="76"/>
      <c r="G758" s="78"/>
      <c r="H758" s="78"/>
      <c r="I758" s="78"/>
      <c r="J758" s="77"/>
      <c r="K758" s="78"/>
      <c r="L758" s="78"/>
      <c r="M758" s="78"/>
      <c r="N758" s="76"/>
      <c r="O758" s="78"/>
      <c r="P758" s="80"/>
      <c r="Q758" s="80"/>
      <c r="R758" s="78"/>
      <c r="S758" s="78"/>
      <c r="T758" s="78"/>
      <c r="U758" s="78"/>
      <c r="V758" s="78"/>
    </row>
    <row r="759" spans="1:22" x14ac:dyDescent="0.25">
      <c r="A759" s="78"/>
      <c r="B759" s="78"/>
      <c r="C759" s="78"/>
      <c r="D759" s="78"/>
      <c r="E759" s="78"/>
      <c r="F759" s="76"/>
      <c r="G759" s="78"/>
      <c r="H759" s="78"/>
      <c r="I759" s="78"/>
      <c r="J759" s="77"/>
      <c r="K759" s="78"/>
      <c r="L759" s="78"/>
      <c r="M759" s="78"/>
      <c r="N759" s="76"/>
      <c r="O759" s="78"/>
      <c r="P759" s="80"/>
      <c r="Q759" s="80"/>
      <c r="R759" s="78"/>
      <c r="S759" s="78"/>
      <c r="T759" s="78"/>
      <c r="U759" s="78"/>
      <c r="V759" s="78"/>
    </row>
    <row r="760" spans="1:22" x14ac:dyDescent="0.25">
      <c r="A760" s="78"/>
      <c r="B760" s="78"/>
      <c r="C760" s="78"/>
      <c r="D760" s="78"/>
      <c r="E760" s="78"/>
      <c r="F760" s="76"/>
      <c r="G760" s="78"/>
      <c r="H760" s="78"/>
      <c r="I760" s="78"/>
      <c r="J760" s="77"/>
      <c r="K760" s="78"/>
      <c r="L760" s="78"/>
      <c r="M760" s="78"/>
      <c r="N760" s="76"/>
      <c r="O760" s="78"/>
      <c r="P760" s="80"/>
      <c r="Q760" s="80"/>
      <c r="R760" s="78"/>
      <c r="S760" s="78"/>
      <c r="T760" s="78"/>
      <c r="U760" s="78"/>
      <c r="V760" s="78"/>
    </row>
    <row r="761" spans="1:22" x14ac:dyDescent="0.25">
      <c r="A761" s="78"/>
      <c r="B761" s="78"/>
      <c r="C761" s="78"/>
      <c r="D761" s="78"/>
      <c r="E761" s="78"/>
      <c r="F761" s="76"/>
      <c r="G761" s="78"/>
      <c r="H761" s="78"/>
      <c r="I761" s="78"/>
      <c r="J761" s="77"/>
      <c r="K761" s="78"/>
      <c r="L761" s="78"/>
      <c r="M761" s="78"/>
      <c r="N761" s="76"/>
      <c r="O761" s="78"/>
      <c r="P761" s="80"/>
      <c r="Q761" s="80"/>
      <c r="R761" s="78"/>
      <c r="S761" s="78"/>
      <c r="T761" s="78"/>
      <c r="U761" s="78"/>
      <c r="V761" s="78"/>
    </row>
    <row r="762" spans="1:22" x14ac:dyDescent="0.25">
      <c r="A762" s="78"/>
      <c r="B762" s="78"/>
      <c r="C762" s="78"/>
      <c r="D762" s="78"/>
      <c r="E762" s="78"/>
      <c r="F762" s="76"/>
      <c r="G762" s="78"/>
      <c r="H762" s="78"/>
      <c r="I762" s="78"/>
      <c r="J762" s="77"/>
      <c r="K762" s="78"/>
      <c r="L762" s="78"/>
      <c r="M762" s="78"/>
      <c r="N762" s="76"/>
      <c r="O762" s="78"/>
      <c r="P762" s="80"/>
      <c r="Q762" s="80"/>
      <c r="R762" s="78"/>
      <c r="S762" s="78"/>
      <c r="T762" s="78"/>
      <c r="U762" s="78"/>
      <c r="V762" s="78"/>
    </row>
    <row r="763" spans="1:22" x14ac:dyDescent="0.25">
      <c r="A763" s="78"/>
      <c r="B763" s="78"/>
      <c r="C763" s="78"/>
      <c r="D763" s="78"/>
      <c r="E763" s="78"/>
      <c r="F763" s="76"/>
      <c r="G763" s="78"/>
      <c r="H763" s="78"/>
      <c r="I763" s="78"/>
      <c r="J763" s="77"/>
      <c r="K763" s="78"/>
      <c r="L763" s="78"/>
      <c r="M763" s="78"/>
      <c r="N763" s="76"/>
      <c r="O763" s="78"/>
      <c r="P763" s="80"/>
      <c r="Q763" s="80"/>
      <c r="R763" s="78"/>
      <c r="S763" s="78"/>
      <c r="T763" s="78"/>
      <c r="U763" s="78"/>
      <c r="V763" s="78"/>
    </row>
    <row r="764" spans="1:22" x14ac:dyDescent="0.25">
      <c r="A764" s="78"/>
      <c r="B764" s="78"/>
      <c r="C764" s="78"/>
      <c r="D764" s="78"/>
      <c r="E764" s="78"/>
      <c r="F764" s="76"/>
      <c r="G764" s="78"/>
      <c r="H764" s="78"/>
      <c r="I764" s="78"/>
      <c r="J764" s="77"/>
      <c r="K764" s="78"/>
      <c r="L764" s="78"/>
      <c r="M764" s="78"/>
      <c r="N764" s="76"/>
      <c r="O764" s="78"/>
      <c r="P764" s="80"/>
      <c r="Q764" s="80"/>
      <c r="R764" s="78"/>
      <c r="S764" s="78"/>
      <c r="T764" s="78"/>
      <c r="U764" s="78"/>
      <c r="V764" s="78"/>
    </row>
    <row r="765" spans="1:22" x14ac:dyDescent="0.25">
      <c r="A765" s="78"/>
      <c r="B765" s="78"/>
      <c r="C765" s="78"/>
      <c r="D765" s="78"/>
      <c r="E765" s="78"/>
      <c r="F765" s="76"/>
      <c r="G765" s="78"/>
      <c r="H765" s="78"/>
      <c r="I765" s="78"/>
      <c r="J765" s="77"/>
      <c r="K765" s="78"/>
      <c r="L765" s="78"/>
      <c r="M765" s="78"/>
      <c r="N765" s="76"/>
      <c r="O765" s="78"/>
      <c r="P765" s="80"/>
      <c r="Q765" s="80"/>
      <c r="R765" s="78"/>
      <c r="S765" s="78"/>
      <c r="T765" s="78"/>
      <c r="U765" s="78"/>
      <c r="V765" s="78"/>
    </row>
    <row r="766" spans="1:22" x14ac:dyDescent="0.25">
      <c r="A766" s="78"/>
      <c r="B766" s="78"/>
      <c r="C766" s="78"/>
      <c r="D766" s="78"/>
      <c r="E766" s="78"/>
      <c r="F766" s="76"/>
      <c r="G766" s="78"/>
      <c r="H766" s="78"/>
      <c r="I766" s="78"/>
      <c r="J766" s="77"/>
      <c r="K766" s="78"/>
      <c r="L766" s="78"/>
      <c r="M766" s="78"/>
      <c r="N766" s="76"/>
      <c r="O766" s="78"/>
      <c r="P766" s="80"/>
      <c r="Q766" s="80"/>
      <c r="R766" s="78"/>
      <c r="S766" s="78"/>
      <c r="T766" s="78"/>
      <c r="U766" s="78"/>
      <c r="V766" s="78"/>
    </row>
    <row r="767" spans="1:22" x14ac:dyDescent="0.25">
      <c r="A767" s="78"/>
      <c r="B767" s="78"/>
      <c r="C767" s="78"/>
      <c r="D767" s="78"/>
      <c r="E767" s="78"/>
      <c r="F767" s="76"/>
      <c r="G767" s="78"/>
      <c r="H767" s="78"/>
      <c r="I767" s="78"/>
      <c r="J767" s="77"/>
      <c r="K767" s="78"/>
      <c r="L767" s="78"/>
      <c r="M767" s="78"/>
      <c r="N767" s="76"/>
      <c r="O767" s="78"/>
      <c r="P767" s="80"/>
      <c r="Q767" s="80"/>
      <c r="R767" s="78"/>
      <c r="S767" s="78"/>
      <c r="T767" s="78"/>
      <c r="U767" s="78"/>
      <c r="V767" s="78"/>
    </row>
    <row r="768" spans="1:22" x14ac:dyDescent="0.25">
      <c r="A768" s="78"/>
      <c r="B768" s="78"/>
      <c r="C768" s="78"/>
      <c r="D768" s="78"/>
      <c r="E768" s="78"/>
      <c r="F768" s="76"/>
      <c r="G768" s="78"/>
      <c r="H768" s="78"/>
      <c r="I768" s="78"/>
      <c r="J768" s="77"/>
      <c r="K768" s="78"/>
      <c r="L768" s="78"/>
      <c r="M768" s="78"/>
      <c r="N768" s="76"/>
      <c r="O768" s="78"/>
      <c r="P768" s="80"/>
      <c r="Q768" s="80"/>
      <c r="R768" s="78"/>
      <c r="S768" s="78"/>
      <c r="T768" s="78"/>
      <c r="U768" s="78"/>
      <c r="V768" s="78"/>
    </row>
    <row r="769" spans="1:22" x14ac:dyDescent="0.25">
      <c r="A769" s="78"/>
      <c r="B769" s="78"/>
      <c r="C769" s="78"/>
      <c r="D769" s="78"/>
      <c r="E769" s="78"/>
      <c r="F769" s="76"/>
      <c r="G769" s="78"/>
      <c r="H769" s="78"/>
      <c r="I769" s="78"/>
      <c r="J769" s="77"/>
      <c r="K769" s="78"/>
      <c r="L769" s="78"/>
      <c r="M769" s="78"/>
      <c r="N769" s="76"/>
      <c r="O769" s="78"/>
      <c r="P769" s="80"/>
      <c r="Q769" s="80"/>
      <c r="R769" s="78"/>
      <c r="S769" s="78"/>
      <c r="T769" s="78"/>
      <c r="U769" s="78"/>
      <c r="V769" s="78"/>
    </row>
    <row r="770" spans="1:22" x14ac:dyDescent="0.25">
      <c r="A770" s="78"/>
      <c r="B770" s="78"/>
      <c r="C770" s="78"/>
      <c r="D770" s="78"/>
      <c r="E770" s="78"/>
      <c r="F770" s="76"/>
      <c r="G770" s="78"/>
      <c r="H770" s="78"/>
      <c r="I770" s="78"/>
      <c r="J770" s="77"/>
      <c r="K770" s="78"/>
      <c r="L770" s="78"/>
      <c r="M770" s="78"/>
      <c r="N770" s="76"/>
      <c r="O770" s="78"/>
      <c r="P770" s="80"/>
      <c r="Q770" s="80"/>
      <c r="R770" s="78"/>
      <c r="S770" s="78"/>
      <c r="T770" s="78"/>
      <c r="U770" s="78"/>
      <c r="V770" s="78"/>
    </row>
    <row r="771" spans="1:22" x14ac:dyDescent="0.25">
      <c r="A771" s="78"/>
      <c r="B771" s="78"/>
      <c r="C771" s="78"/>
      <c r="D771" s="78"/>
      <c r="E771" s="78"/>
      <c r="F771" s="76"/>
      <c r="G771" s="78"/>
      <c r="H771" s="78"/>
      <c r="I771" s="78"/>
      <c r="J771" s="77"/>
      <c r="K771" s="78"/>
      <c r="L771" s="78"/>
      <c r="M771" s="78"/>
      <c r="N771" s="76"/>
      <c r="O771" s="78"/>
      <c r="P771" s="80"/>
      <c r="Q771" s="80"/>
      <c r="R771" s="78"/>
      <c r="S771" s="78"/>
      <c r="T771" s="78"/>
      <c r="U771" s="78"/>
      <c r="V771" s="78"/>
    </row>
    <row r="772" spans="1:22" x14ac:dyDescent="0.25">
      <c r="A772" s="78"/>
      <c r="B772" s="78"/>
      <c r="C772" s="78"/>
      <c r="D772" s="78"/>
      <c r="E772" s="78"/>
      <c r="F772" s="76"/>
      <c r="G772" s="78"/>
      <c r="H772" s="78"/>
      <c r="I772" s="78"/>
      <c r="J772" s="77"/>
      <c r="K772" s="78"/>
      <c r="L772" s="78"/>
      <c r="M772" s="78"/>
      <c r="N772" s="76"/>
      <c r="O772" s="78"/>
      <c r="P772" s="80"/>
      <c r="Q772" s="80"/>
      <c r="R772" s="78"/>
      <c r="S772" s="78"/>
      <c r="T772" s="78"/>
      <c r="U772" s="78"/>
      <c r="V772" s="78"/>
    </row>
    <row r="773" spans="1:22" x14ac:dyDescent="0.25">
      <c r="A773" s="78"/>
      <c r="B773" s="78"/>
      <c r="C773" s="78"/>
      <c r="D773" s="78"/>
      <c r="E773" s="78"/>
      <c r="F773" s="76"/>
      <c r="G773" s="78"/>
      <c r="H773" s="78"/>
      <c r="I773" s="78"/>
      <c r="J773" s="77"/>
      <c r="K773" s="78"/>
      <c r="L773" s="78"/>
      <c r="M773" s="78"/>
      <c r="N773" s="76"/>
      <c r="O773" s="78"/>
      <c r="P773" s="80"/>
      <c r="Q773" s="80"/>
      <c r="R773" s="78"/>
      <c r="S773" s="78"/>
      <c r="T773" s="78"/>
      <c r="U773" s="78"/>
      <c r="V773" s="78"/>
    </row>
    <row r="774" spans="1:22" x14ac:dyDescent="0.25">
      <c r="A774" s="78"/>
      <c r="B774" s="78"/>
      <c r="C774" s="78"/>
      <c r="D774" s="78"/>
      <c r="E774" s="78"/>
      <c r="F774" s="76"/>
      <c r="G774" s="78"/>
      <c r="H774" s="78"/>
      <c r="I774" s="78"/>
      <c r="J774" s="77"/>
      <c r="K774" s="78"/>
      <c r="L774" s="78"/>
      <c r="M774" s="78"/>
      <c r="N774" s="76"/>
      <c r="O774" s="78"/>
      <c r="P774" s="80"/>
      <c r="Q774" s="80"/>
      <c r="R774" s="78"/>
      <c r="S774" s="78"/>
      <c r="T774" s="78"/>
      <c r="U774" s="78"/>
      <c r="V774" s="78"/>
    </row>
    <row r="775" spans="1:22" x14ac:dyDescent="0.25">
      <c r="A775" s="78"/>
      <c r="B775" s="78"/>
      <c r="C775" s="78"/>
      <c r="D775" s="78"/>
      <c r="E775" s="78"/>
      <c r="F775" s="76"/>
      <c r="G775" s="78"/>
      <c r="H775" s="78"/>
      <c r="I775" s="78"/>
      <c r="J775" s="77"/>
      <c r="K775" s="78"/>
      <c r="L775" s="78"/>
      <c r="M775" s="78"/>
      <c r="N775" s="76"/>
      <c r="O775" s="78"/>
      <c r="P775" s="80"/>
      <c r="Q775" s="80"/>
      <c r="R775" s="78"/>
      <c r="S775" s="78"/>
      <c r="T775" s="78"/>
      <c r="U775" s="78"/>
      <c r="V775" s="78"/>
    </row>
    <row r="776" spans="1:22" x14ac:dyDescent="0.25">
      <c r="A776" s="78"/>
      <c r="B776" s="78"/>
      <c r="C776" s="78"/>
      <c r="D776" s="78"/>
      <c r="E776" s="78"/>
      <c r="F776" s="76"/>
      <c r="G776" s="78"/>
      <c r="H776" s="78"/>
      <c r="I776" s="78"/>
      <c r="J776" s="77"/>
      <c r="K776" s="78"/>
      <c r="L776" s="78"/>
      <c r="M776" s="78"/>
      <c r="N776" s="76"/>
      <c r="O776" s="78"/>
      <c r="P776" s="80"/>
      <c r="Q776" s="80"/>
      <c r="R776" s="78"/>
      <c r="S776" s="78"/>
      <c r="T776" s="78"/>
      <c r="U776" s="78"/>
      <c r="V776" s="78"/>
    </row>
    <row r="777" spans="1:22" x14ac:dyDescent="0.25">
      <c r="A777" s="78"/>
      <c r="B777" s="78"/>
      <c r="C777" s="78"/>
      <c r="D777" s="78"/>
      <c r="E777" s="78"/>
      <c r="F777" s="76"/>
      <c r="G777" s="78"/>
      <c r="H777" s="78"/>
      <c r="I777" s="78"/>
      <c r="J777" s="77"/>
      <c r="K777" s="78"/>
      <c r="L777" s="78"/>
      <c r="M777" s="78"/>
      <c r="N777" s="76"/>
      <c r="O777" s="78"/>
      <c r="P777" s="80"/>
      <c r="Q777" s="80"/>
      <c r="R777" s="78"/>
      <c r="S777" s="78"/>
      <c r="T777" s="78"/>
      <c r="U777" s="78"/>
      <c r="V777" s="78"/>
    </row>
    <row r="778" spans="1:22" x14ac:dyDescent="0.25">
      <c r="A778" s="78"/>
      <c r="B778" s="78"/>
      <c r="C778" s="78"/>
      <c r="D778" s="78"/>
      <c r="E778" s="78"/>
      <c r="F778" s="76"/>
      <c r="G778" s="78"/>
      <c r="H778" s="78"/>
      <c r="I778" s="78"/>
      <c r="J778" s="77"/>
      <c r="K778" s="78"/>
      <c r="L778" s="78"/>
      <c r="M778" s="78"/>
      <c r="N778" s="76"/>
      <c r="O778" s="78"/>
      <c r="P778" s="80"/>
      <c r="Q778" s="80"/>
      <c r="R778" s="78"/>
      <c r="S778" s="78"/>
      <c r="T778" s="78"/>
      <c r="U778" s="78"/>
      <c r="V778" s="78"/>
    </row>
    <row r="779" spans="1:22" x14ac:dyDescent="0.25">
      <c r="A779" s="78"/>
      <c r="B779" s="78"/>
      <c r="C779" s="78"/>
      <c r="D779" s="78"/>
      <c r="E779" s="78"/>
      <c r="F779" s="76"/>
      <c r="G779" s="78"/>
      <c r="H779" s="78"/>
      <c r="I779" s="78"/>
      <c r="J779" s="77"/>
      <c r="K779" s="78"/>
      <c r="L779" s="78"/>
      <c r="M779" s="78"/>
      <c r="N779" s="76"/>
      <c r="O779" s="78"/>
      <c r="P779" s="80"/>
      <c r="Q779" s="80"/>
      <c r="R779" s="78"/>
      <c r="S779" s="78"/>
      <c r="T779" s="78"/>
      <c r="U779" s="78"/>
      <c r="V779" s="78"/>
    </row>
    <row r="780" spans="1:22" x14ac:dyDescent="0.25">
      <c r="A780" s="78"/>
      <c r="B780" s="78"/>
      <c r="C780" s="78"/>
      <c r="D780" s="78"/>
      <c r="E780" s="78"/>
      <c r="F780" s="76"/>
      <c r="G780" s="78"/>
      <c r="H780" s="78"/>
      <c r="I780" s="78"/>
      <c r="J780" s="77"/>
      <c r="K780" s="78"/>
      <c r="L780" s="78"/>
      <c r="M780" s="78"/>
      <c r="N780" s="76"/>
      <c r="O780" s="78"/>
      <c r="P780" s="80"/>
      <c r="Q780" s="80"/>
      <c r="R780" s="78"/>
      <c r="S780" s="78"/>
      <c r="T780" s="78"/>
      <c r="U780" s="78"/>
      <c r="V780" s="78"/>
    </row>
    <row r="781" spans="1:22" x14ac:dyDescent="0.25">
      <c r="A781" s="78"/>
      <c r="B781" s="78"/>
      <c r="C781" s="78"/>
      <c r="D781" s="78"/>
      <c r="E781" s="78"/>
      <c r="F781" s="76"/>
      <c r="G781" s="78"/>
      <c r="H781" s="78"/>
      <c r="I781" s="78"/>
      <c r="J781" s="77"/>
      <c r="K781" s="78"/>
      <c r="L781" s="78"/>
      <c r="M781" s="78"/>
      <c r="N781" s="76"/>
      <c r="O781" s="78"/>
      <c r="P781" s="80"/>
      <c r="Q781" s="80"/>
      <c r="R781" s="78"/>
      <c r="S781" s="78"/>
      <c r="T781" s="78"/>
      <c r="U781" s="78"/>
      <c r="V781" s="78"/>
    </row>
    <row r="782" spans="1:22" x14ac:dyDescent="0.25">
      <c r="A782" s="78"/>
      <c r="B782" s="78"/>
      <c r="C782" s="78"/>
      <c r="D782" s="78"/>
      <c r="E782" s="78"/>
      <c r="F782" s="76"/>
      <c r="G782" s="78"/>
      <c r="H782" s="78"/>
      <c r="I782" s="78"/>
      <c r="J782" s="77"/>
      <c r="K782" s="78"/>
      <c r="L782" s="78"/>
      <c r="M782" s="78"/>
      <c r="N782" s="76"/>
      <c r="O782" s="78"/>
      <c r="P782" s="80"/>
      <c r="Q782" s="80"/>
      <c r="R782" s="78"/>
      <c r="S782" s="78"/>
      <c r="T782" s="78"/>
      <c r="U782" s="78"/>
      <c r="V782" s="78"/>
    </row>
    <row r="783" spans="1:22" x14ac:dyDescent="0.25">
      <c r="A783" s="78"/>
      <c r="B783" s="78"/>
      <c r="C783" s="78"/>
      <c r="D783" s="78"/>
      <c r="E783" s="78"/>
      <c r="F783" s="76"/>
      <c r="G783" s="78"/>
      <c r="H783" s="78"/>
      <c r="I783" s="78"/>
      <c r="J783" s="77"/>
      <c r="K783" s="78"/>
      <c r="L783" s="78"/>
      <c r="M783" s="78"/>
      <c r="N783" s="76"/>
      <c r="O783" s="78"/>
      <c r="P783" s="80"/>
      <c r="Q783" s="80"/>
      <c r="R783" s="78"/>
      <c r="S783" s="78"/>
      <c r="T783" s="78"/>
      <c r="U783" s="78"/>
      <c r="V783" s="78"/>
    </row>
    <row r="784" spans="1:22" x14ac:dyDescent="0.25">
      <c r="A784" s="78"/>
      <c r="B784" s="78"/>
      <c r="C784" s="78"/>
      <c r="D784" s="78"/>
      <c r="E784" s="78"/>
      <c r="F784" s="76"/>
      <c r="G784" s="78"/>
      <c r="H784" s="78"/>
      <c r="I784" s="78"/>
      <c r="J784" s="77"/>
      <c r="K784" s="78"/>
      <c r="L784" s="78"/>
      <c r="M784" s="78"/>
      <c r="N784" s="76"/>
      <c r="O784" s="78"/>
      <c r="P784" s="80"/>
      <c r="Q784" s="80"/>
      <c r="R784" s="78"/>
      <c r="S784" s="78"/>
      <c r="T784" s="78"/>
      <c r="U784" s="78"/>
      <c r="V784" s="78"/>
    </row>
    <row r="785" spans="1:22" x14ac:dyDescent="0.25">
      <c r="A785" s="78"/>
      <c r="B785" s="78"/>
      <c r="C785" s="78"/>
      <c r="D785" s="78"/>
      <c r="E785" s="78"/>
      <c r="F785" s="76"/>
      <c r="G785" s="78"/>
      <c r="H785" s="78"/>
      <c r="I785" s="78"/>
      <c r="J785" s="77"/>
      <c r="K785" s="78"/>
      <c r="L785" s="78"/>
      <c r="M785" s="78"/>
      <c r="N785" s="76"/>
      <c r="O785" s="78"/>
      <c r="P785" s="80"/>
      <c r="Q785" s="80"/>
      <c r="R785" s="78"/>
      <c r="S785" s="78"/>
      <c r="T785" s="78"/>
      <c r="U785" s="78"/>
      <c r="V785" s="78"/>
    </row>
    <row r="786" spans="1:22" x14ac:dyDescent="0.25">
      <c r="A786" s="78"/>
      <c r="B786" s="78"/>
      <c r="C786" s="78"/>
      <c r="D786" s="78"/>
      <c r="E786" s="78"/>
      <c r="F786" s="76"/>
      <c r="G786" s="78"/>
      <c r="H786" s="78"/>
      <c r="I786" s="78"/>
      <c r="J786" s="77"/>
      <c r="K786" s="78"/>
      <c r="L786" s="78"/>
      <c r="M786" s="78"/>
      <c r="N786" s="76"/>
      <c r="O786" s="78"/>
      <c r="P786" s="80"/>
      <c r="Q786" s="80"/>
      <c r="R786" s="78"/>
      <c r="S786" s="78"/>
      <c r="T786" s="78"/>
      <c r="U786" s="78"/>
      <c r="V786" s="78"/>
    </row>
    <row r="787" spans="1:22" x14ac:dyDescent="0.25">
      <c r="A787" s="78"/>
      <c r="B787" s="78"/>
      <c r="C787" s="78"/>
      <c r="D787" s="78"/>
      <c r="E787" s="78"/>
      <c r="F787" s="76"/>
      <c r="G787" s="78"/>
      <c r="H787" s="78"/>
      <c r="I787" s="78"/>
      <c r="J787" s="77"/>
      <c r="K787" s="78"/>
      <c r="L787" s="78"/>
      <c r="M787" s="78"/>
      <c r="N787" s="76"/>
      <c r="O787" s="78"/>
      <c r="P787" s="80"/>
      <c r="Q787" s="80"/>
      <c r="R787" s="78"/>
      <c r="S787" s="78"/>
      <c r="T787" s="78"/>
      <c r="U787" s="78"/>
      <c r="V787" s="78"/>
    </row>
    <row r="788" spans="1:22" x14ac:dyDescent="0.25">
      <c r="A788" s="78"/>
      <c r="B788" s="78"/>
      <c r="C788" s="78"/>
      <c r="D788" s="78"/>
      <c r="E788" s="78"/>
      <c r="F788" s="76"/>
      <c r="G788" s="78"/>
      <c r="H788" s="78"/>
      <c r="I788" s="78"/>
      <c r="J788" s="77"/>
      <c r="K788" s="78"/>
      <c r="L788" s="78"/>
      <c r="M788" s="78"/>
      <c r="N788" s="76"/>
      <c r="O788" s="78"/>
      <c r="P788" s="80"/>
      <c r="Q788" s="80"/>
      <c r="R788" s="78"/>
      <c r="S788" s="78"/>
      <c r="T788" s="78"/>
      <c r="U788" s="78"/>
      <c r="V788" s="78"/>
    </row>
    <row r="789" spans="1:22" x14ac:dyDescent="0.25">
      <c r="A789" s="78"/>
      <c r="B789" s="78"/>
      <c r="C789" s="78"/>
      <c r="D789" s="78"/>
      <c r="E789" s="78"/>
      <c r="F789" s="76"/>
      <c r="G789" s="78"/>
      <c r="H789" s="78"/>
      <c r="I789" s="78"/>
      <c r="J789" s="77"/>
      <c r="K789" s="78"/>
      <c r="L789" s="78"/>
      <c r="M789" s="78"/>
      <c r="N789" s="76"/>
      <c r="O789" s="78"/>
      <c r="P789" s="80"/>
      <c r="Q789" s="80"/>
      <c r="R789" s="78"/>
      <c r="S789" s="78"/>
      <c r="T789" s="78"/>
      <c r="U789" s="78"/>
      <c r="V789" s="78"/>
    </row>
    <row r="790" spans="1:22" x14ac:dyDescent="0.25">
      <c r="A790" s="78"/>
      <c r="B790" s="78"/>
      <c r="C790" s="78"/>
      <c r="D790" s="78"/>
      <c r="E790" s="78"/>
      <c r="F790" s="76"/>
      <c r="G790" s="78"/>
      <c r="H790" s="78"/>
      <c r="I790" s="78"/>
      <c r="J790" s="77"/>
      <c r="K790" s="78"/>
      <c r="L790" s="78"/>
      <c r="M790" s="78"/>
      <c r="N790" s="76"/>
      <c r="O790" s="78"/>
      <c r="P790" s="80"/>
      <c r="Q790" s="80"/>
      <c r="R790" s="78"/>
      <c r="S790" s="78"/>
      <c r="T790" s="78"/>
      <c r="U790" s="78"/>
      <c r="V790" s="78"/>
    </row>
    <row r="791" spans="1:22" x14ac:dyDescent="0.25">
      <c r="A791" s="78"/>
      <c r="B791" s="78"/>
      <c r="C791" s="78"/>
      <c r="D791" s="78"/>
      <c r="E791" s="78"/>
      <c r="F791" s="76"/>
      <c r="G791" s="78"/>
      <c r="H791" s="78"/>
      <c r="I791" s="78"/>
      <c r="J791" s="77"/>
      <c r="K791" s="78"/>
      <c r="L791" s="78"/>
      <c r="M791" s="78"/>
      <c r="N791" s="76"/>
      <c r="O791" s="78"/>
      <c r="P791" s="80"/>
      <c r="Q791" s="80"/>
      <c r="R791" s="78"/>
      <c r="S791" s="78"/>
      <c r="T791" s="78"/>
      <c r="U791" s="78"/>
      <c r="V791" s="78"/>
    </row>
    <row r="792" spans="1:22" x14ac:dyDescent="0.25">
      <c r="A792" s="78"/>
      <c r="B792" s="78"/>
      <c r="C792" s="78"/>
      <c r="D792" s="78"/>
      <c r="E792" s="78"/>
      <c r="F792" s="76"/>
      <c r="G792" s="78"/>
      <c r="H792" s="78"/>
      <c r="I792" s="78"/>
      <c r="J792" s="77"/>
      <c r="K792" s="78"/>
      <c r="L792" s="78"/>
      <c r="M792" s="78"/>
      <c r="N792" s="76"/>
      <c r="O792" s="78"/>
      <c r="P792" s="80"/>
      <c r="Q792" s="80"/>
      <c r="R792" s="78"/>
      <c r="S792" s="78"/>
      <c r="T792" s="78"/>
      <c r="U792" s="78"/>
      <c r="V792" s="78"/>
    </row>
    <row r="793" spans="1:22" x14ac:dyDescent="0.25">
      <c r="A793" s="78"/>
      <c r="B793" s="78"/>
      <c r="C793" s="78"/>
      <c r="D793" s="78"/>
      <c r="E793" s="78"/>
      <c r="F793" s="76"/>
      <c r="G793" s="78"/>
      <c r="H793" s="78"/>
      <c r="I793" s="78"/>
      <c r="J793" s="77"/>
      <c r="K793" s="78"/>
      <c r="L793" s="78"/>
      <c r="M793" s="78"/>
      <c r="N793" s="76"/>
      <c r="O793" s="78"/>
      <c r="P793" s="80"/>
      <c r="Q793" s="80"/>
      <c r="R793" s="78"/>
      <c r="S793" s="78"/>
      <c r="T793" s="78"/>
      <c r="U793" s="78"/>
      <c r="V793" s="78"/>
    </row>
    <row r="794" spans="1:22" x14ac:dyDescent="0.25">
      <c r="A794" s="78"/>
      <c r="B794" s="78"/>
      <c r="C794" s="78"/>
      <c r="D794" s="78"/>
      <c r="E794" s="78"/>
      <c r="F794" s="76"/>
      <c r="G794" s="78"/>
      <c r="H794" s="78"/>
      <c r="I794" s="78"/>
      <c r="J794" s="77"/>
      <c r="K794" s="78"/>
      <c r="L794" s="78"/>
      <c r="M794" s="78"/>
      <c r="N794" s="76"/>
      <c r="O794" s="78"/>
      <c r="P794" s="80"/>
      <c r="Q794" s="80"/>
      <c r="R794" s="78"/>
      <c r="S794" s="78"/>
      <c r="T794" s="78"/>
      <c r="U794" s="78"/>
      <c r="V794" s="78"/>
    </row>
    <row r="795" spans="1:22" x14ac:dyDescent="0.25">
      <c r="A795" s="78"/>
      <c r="B795" s="78"/>
      <c r="C795" s="78"/>
      <c r="D795" s="78"/>
      <c r="E795" s="78"/>
      <c r="F795" s="76"/>
      <c r="G795" s="78"/>
      <c r="H795" s="78"/>
      <c r="I795" s="78"/>
      <c r="J795" s="77"/>
      <c r="K795" s="78"/>
      <c r="L795" s="78"/>
      <c r="M795" s="78"/>
      <c r="N795" s="76"/>
      <c r="O795" s="78"/>
      <c r="P795" s="80"/>
      <c r="Q795" s="80"/>
      <c r="R795" s="78"/>
      <c r="S795" s="78"/>
      <c r="T795" s="78"/>
      <c r="U795" s="78"/>
      <c r="V795" s="78"/>
    </row>
    <row r="796" spans="1:22" x14ac:dyDescent="0.25">
      <c r="A796" s="78"/>
      <c r="B796" s="78"/>
      <c r="C796" s="78"/>
      <c r="D796" s="78"/>
      <c r="E796" s="78"/>
      <c r="F796" s="76"/>
      <c r="G796" s="78"/>
      <c r="H796" s="78"/>
      <c r="I796" s="78"/>
      <c r="J796" s="77"/>
      <c r="K796" s="78"/>
      <c r="L796" s="78"/>
      <c r="M796" s="78"/>
      <c r="N796" s="76"/>
      <c r="O796" s="78"/>
      <c r="P796" s="80"/>
      <c r="Q796" s="80"/>
      <c r="R796" s="78"/>
      <c r="S796" s="78"/>
      <c r="T796" s="78"/>
      <c r="U796" s="78"/>
      <c r="V796" s="78"/>
    </row>
    <row r="797" spans="1:22" x14ac:dyDescent="0.25">
      <c r="A797" s="78"/>
      <c r="B797" s="78"/>
      <c r="C797" s="78"/>
      <c r="D797" s="78"/>
      <c r="E797" s="78"/>
      <c r="F797" s="76"/>
      <c r="G797" s="78"/>
      <c r="H797" s="78"/>
      <c r="I797" s="78"/>
      <c r="J797" s="77"/>
      <c r="K797" s="78"/>
      <c r="L797" s="78"/>
      <c r="M797" s="78"/>
      <c r="N797" s="76"/>
      <c r="O797" s="78"/>
      <c r="P797" s="80"/>
      <c r="Q797" s="80"/>
      <c r="R797" s="78"/>
      <c r="S797" s="78"/>
      <c r="T797" s="78"/>
      <c r="U797" s="78"/>
      <c r="V797" s="78"/>
    </row>
    <row r="798" spans="1:22" x14ac:dyDescent="0.25">
      <c r="A798" s="78"/>
      <c r="B798" s="78"/>
      <c r="C798" s="78"/>
      <c r="D798" s="78"/>
      <c r="E798" s="78"/>
      <c r="F798" s="76"/>
      <c r="G798" s="78"/>
      <c r="H798" s="78"/>
      <c r="I798" s="78"/>
      <c r="J798" s="77"/>
      <c r="K798" s="78"/>
      <c r="L798" s="78"/>
      <c r="M798" s="78"/>
      <c r="N798" s="76"/>
      <c r="O798" s="78"/>
      <c r="P798" s="80"/>
      <c r="Q798" s="80"/>
      <c r="R798" s="78"/>
      <c r="S798" s="78"/>
      <c r="T798" s="78"/>
      <c r="U798" s="78"/>
      <c r="V798" s="78"/>
    </row>
    <row r="799" spans="1:22" x14ac:dyDescent="0.25">
      <c r="A799" s="78"/>
      <c r="B799" s="78"/>
      <c r="C799" s="78"/>
      <c r="D799" s="78"/>
      <c r="E799" s="78"/>
      <c r="F799" s="76"/>
      <c r="G799" s="78"/>
      <c r="H799" s="78"/>
      <c r="I799" s="78"/>
      <c r="J799" s="77"/>
      <c r="K799" s="78"/>
      <c r="L799" s="78"/>
      <c r="M799" s="78"/>
      <c r="N799" s="76"/>
      <c r="O799" s="78"/>
      <c r="P799" s="80"/>
      <c r="Q799" s="80"/>
      <c r="R799" s="78"/>
      <c r="S799" s="78"/>
      <c r="T799" s="78"/>
      <c r="U799" s="78"/>
      <c r="V799" s="78"/>
    </row>
    <row r="800" spans="1:22" x14ac:dyDescent="0.25">
      <c r="A800" s="78"/>
      <c r="B800" s="78"/>
      <c r="C800" s="78"/>
      <c r="D800" s="78"/>
      <c r="E800" s="78"/>
      <c r="F800" s="76"/>
      <c r="G800" s="78"/>
      <c r="H800" s="78"/>
      <c r="I800" s="78"/>
      <c r="J800" s="77"/>
      <c r="K800" s="78"/>
      <c r="L800" s="78"/>
      <c r="M800" s="78"/>
      <c r="N800" s="76"/>
      <c r="O800" s="78"/>
      <c r="P800" s="80"/>
      <c r="Q800" s="80"/>
      <c r="R800" s="78"/>
      <c r="S800" s="78"/>
      <c r="T800" s="78"/>
      <c r="U800" s="78"/>
      <c r="V800" s="78"/>
    </row>
    <row r="801" spans="1:22" x14ac:dyDescent="0.25">
      <c r="A801" s="78"/>
      <c r="B801" s="78"/>
      <c r="C801" s="78"/>
      <c r="D801" s="78"/>
      <c r="E801" s="78"/>
      <c r="F801" s="76"/>
      <c r="G801" s="78"/>
      <c r="H801" s="78"/>
      <c r="I801" s="78"/>
      <c r="J801" s="77"/>
      <c r="K801" s="78"/>
      <c r="L801" s="78"/>
      <c r="M801" s="78"/>
      <c r="N801" s="76"/>
      <c r="O801" s="78"/>
      <c r="P801" s="80"/>
      <c r="Q801" s="80"/>
      <c r="R801" s="78"/>
      <c r="S801" s="78"/>
      <c r="T801" s="78"/>
      <c r="U801" s="78"/>
      <c r="V801" s="78"/>
    </row>
    <row r="802" spans="1:22" x14ac:dyDescent="0.25">
      <c r="A802" s="78"/>
      <c r="B802" s="78"/>
      <c r="C802" s="78"/>
      <c r="D802" s="78"/>
      <c r="E802" s="78"/>
      <c r="F802" s="76"/>
      <c r="G802" s="78"/>
      <c r="H802" s="78"/>
      <c r="I802" s="78"/>
      <c r="J802" s="77"/>
      <c r="K802" s="78"/>
      <c r="L802" s="78"/>
      <c r="M802" s="78"/>
      <c r="N802" s="76"/>
      <c r="O802" s="78"/>
      <c r="P802" s="80"/>
      <c r="Q802" s="80"/>
      <c r="R802" s="78"/>
      <c r="S802" s="78"/>
      <c r="T802" s="78"/>
      <c r="U802" s="78"/>
      <c r="V802" s="78"/>
    </row>
    <row r="803" spans="1:22" x14ac:dyDescent="0.25">
      <c r="A803" s="78"/>
      <c r="B803" s="78"/>
      <c r="C803" s="78"/>
      <c r="D803" s="78"/>
      <c r="E803" s="78"/>
      <c r="F803" s="76"/>
      <c r="G803" s="78"/>
      <c r="H803" s="78"/>
      <c r="I803" s="78"/>
      <c r="J803" s="77"/>
      <c r="K803" s="78"/>
      <c r="L803" s="78"/>
      <c r="M803" s="78"/>
      <c r="N803" s="76"/>
      <c r="O803" s="78"/>
      <c r="P803" s="80"/>
      <c r="Q803" s="80"/>
      <c r="R803" s="78"/>
      <c r="S803" s="78"/>
      <c r="T803" s="78"/>
      <c r="U803" s="78"/>
      <c r="V803" s="78"/>
    </row>
    <row r="804" spans="1:22" x14ac:dyDescent="0.25">
      <c r="A804" s="78"/>
      <c r="B804" s="78"/>
      <c r="C804" s="78"/>
      <c r="D804" s="78"/>
      <c r="E804" s="78"/>
      <c r="F804" s="76"/>
      <c r="G804" s="78"/>
      <c r="H804" s="78"/>
      <c r="I804" s="78"/>
      <c r="J804" s="77"/>
      <c r="K804" s="78"/>
      <c r="L804" s="78"/>
      <c r="M804" s="78"/>
      <c r="N804" s="76"/>
      <c r="O804" s="78"/>
      <c r="P804" s="80"/>
      <c r="Q804" s="80"/>
      <c r="R804" s="78"/>
      <c r="S804" s="78"/>
      <c r="T804" s="78"/>
      <c r="U804" s="78"/>
      <c r="V804" s="78"/>
    </row>
    <row r="805" spans="1:22" x14ac:dyDescent="0.25">
      <c r="A805" s="78"/>
      <c r="B805" s="78"/>
      <c r="C805" s="78"/>
      <c r="D805" s="78"/>
      <c r="E805" s="78"/>
      <c r="F805" s="76"/>
      <c r="G805" s="78"/>
      <c r="H805" s="78"/>
      <c r="I805" s="78"/>
      <c r="J805" s="77"/>
      <c r="K805" s="78"/>
      <c r="L805" s="78"/>
      <c r="M805" s="78"/>
      <c r="N805" s="76"/>
      <c r="O805" s="78"/>
      <c r="P805" s="80"/>
      <c r="Q805" s="80"/>
      <c r="R805" s="78"/>
      <c r="S805" s="78"/>
      <c r="T805" s="78"/>
      <c r="U805" s="78"/>
      <c r="V805" s="78"/>
    </row>
    <row r="806" spans="1:22" x14ac:dyDescent="0.25">
      <c r="A806" s="78"/>
      <c r="B806" s="78"/>
      <c r="C806" s="78"/>
      <c r="D806" s="78"/>
      <c r="E806" s="78"/>
      <c r="F806" s="76"/>
      <c r="G806" s="78"/>
      <c r="H806" s="78"/>
      <c r="I806" s="78"/>
      <c r="J806" s="77"/>
      <c r="K806" s="78"/>
      <c r="L806" s="78"/>
      <c r="M806" s="78"/>
      <c r="N806" s="76"/>
      <c r="O806" s="78"/>
      <c r="P806" s="80"/>
      <c r="Q806" s="80"/>
      <c r="R806" s="78"/>
      <c r="S806" s="78"/>
      <c r="T806" s="78"/>
      <c r="U806" s="78"/>
      <c r="V806" s="78"/>
    </row>
    <row r="807" spans="1:22" x14ac:dyDescent="0.25">
      <c r="A807" s="78"/>
      <c r="B807" s="78"/>
      <c r="C807" s="78"/>
      <c r="D807" s="78"/>
      <c r="E807" s="78"/>
      <c r="F807" s="76"/>
      <c r="G807" s="78"/>
      <c r="H807" s="78"/>
      <c r="I807" s="78"/>
      <c r="J807" s="77"/>
      <c r="K807" s="78"/>
      <c r="L807" s="78"/>
      <c r="M807" s="78"/>
      <c r="N807" s="76"/>
      <c r="O807" s="78"/>
      <c r="P807" s="80"/>
      <c r="Q807" s="80"/>
      <c r="R807" s="78"/>
      <c r="S807" s="78"/>
      <c r="T807" s="78"/>
      <c r="U807" s="78"/>
      <c r="V807" s="78"/>
    </row>
    <row r="808" spans="1:22" x14ac:dyDescent="0.25">
      <c r="A808" s="78"/>
      <c r="B808" s="78"/>
      <c r="C808" s="78"/>
      <c r="D808" s="78"/>
      <c r="E808" s="78"/>
      <c r="F808" s="76"/>
      <c r="G808" s="78"/>
      <c r="H808" s="78"/>
      <c r="I808" s="78"/>
      <c r="J808" s="77"/>
      <c r="K808" s="78"/>
      <c r="L808" s="78"/>
      <c r="M808" s="78"/>
      <c r="N808" s="76"/>
      <c r="O808" s="78"/>
      <c r="P808" s="80"/>
      <c r="Q808" s="80"/>
      <c r="R808" s="78"/>
      <c r="S808" s="78"/>
      <c r="T808" s="78"/>
      <c r="U808" s="78"/>
      <c r="V808" s="78"/>
    </row>
    <row r="809" spans="1:22" x14ac:dyDescent="0.25">
      <c r="A809" s="78"/>
      <c r="B809" s="78"/>
      <c r="C809" s="78"/>
      <c r="D809" s="78"/>
      <c r="E809" s="78"/>
      <c r="F809" s="76"/>
      <c r="G809" s="78"/>
      <c r="H809" s="78"/>
      <c r="I809" s="78"/>
      <c r="J809" s="77"/>
      <c r="K809" s="78"/>
      <c r="L809" s="78"/>
      <c r="M809" s="78"/>
      <c r="N809" s="76"/>
      <c r="O809" s="78"/>
      <c r="P809" s="80"/>
      <c r="Q809" s="80"/>
      <c r="R809" s="78"/>
      <c r="S809" s="78"/>
      <c r="T809" s="78"/>
      <c r="U809" s="78"/>
      <c r="V809" s="78"/>
    </row>
    <row r="810" spans="1:22" x14ac:dyDescent="0.25">
      <c r="A810" s="78"/>
      <c r="B810" s="78"/>
      <c r="C810" s="78"/>
      <c r="D810" s="78"/>
      <c r="E810" s="78"/>
      <c r="F810" s="76"/>
      <c r="G810" s="78"/>
      <c r="H810" s="78"/>
      <c r="I810" s="78"/>
      <c r="J810" s="77"/>
      <c r="K810" s="78"/>
      <c r="L810" s="78"/>
      <c r="M810" s="78"/>
      <c r="N810" s="76"/>
      <c r="O810" s="78"/>
      <c r="P810" s="80"/>
      <c r="Q810" s="80"/>
      <c r="R810" s="78"/>
      <c r="S810" s="78"/>
      <c r="T810" s="78"/>
      <c r="U810" s="78"/>
      <c r="V810" s="78"/>
    </row>
    <row r="811" spans="1:22" x14ac:dyDescent="0.25">
      <c r="A811" s="78"/>
      <c r="B811" s="78"/>
      <c r="C811" s="78"/>
      <c r="D811" s="78"/>
      <c r="E811" s="78"/>
      <c r="F811" s="76"/>
      <c r="G811" s="78"/>
      <c r="H811" s="78"/>
      <c r="I811" s="78"/>
      <c r="J811" s="77"/>
      <c r="K811" s="78"/>
      <c r="L811" s="78"/>
      <c r="M811" s="78"/>
      <c r="N811" s="76"/>
      <c r="O811" s="78"/>
      <c r="P811" s="80"/>
      <c r="Q811" s="80"/>
      <c r="R811" s="78"/>
      <c r="S811" s="78"/>
      <c r="T811" s="78"/>
      <c r="U811" s="78"/>
      <c r="V811" s="78"/>
    </row>
    <row r="812" spans="1:22" x14ac:dyDescent="0.25">
      <c r="A812" s="78"/>
      <c r="B812" s="78"/>
      <c r="C812" s="78"/>
      <c r="D812" s="78"/>
      <c r="E812" s="78"/>
      <c r="F812" s="76"/>
      <c r="G812" s="78"/>
      <c r="H812" s="78"/>
      <c r="I812" s="78"/>
      <c r="J812" s="77"/>
      <c r="K812" s="78"/>
      <c r="L812" s="78"/>
      <c r="M812" s="78"/>
      <c r="N812" s="76"/>
      <c r="O812" s="78"/>
      <c r="P812" s="80"/>
      <c r="Q812" s="80"/>
      <c r="R812" s="78"/>
      <c r="S812" s="78"/>
      <c r="T812" s="78"/>
      <c r="U812" s="78"/>
      <c r="V812" s="78"/>
    </row>
    <row r="813" spans="1:22" x14ac:dyDescent="0.25">
      <c r="A813" s="78"/>
      <c r="B813" s="78"/>
      <c r="C813" s="78"/>
      <c r="D813" s="78"/>
      <c r="E813" s="78"/>
      <c r="F813" s="76"/>
      <c r="G813" s="78"/>
      <c r="H813" s="78"/>
      <c r="I813" s="78"/>
      <c r="J813" s="77"/>
      <c r="K813" s="78"/>
      <c r="L813" s="78"/>
      <c r="M813" s="78"/>
      <c r="N813" s="76"/>
      <c r="O813" s="78"/>
      <c r="P813" s="80"/>
      <c r="Q813" s="80"/>
      <c r="R813" s="78"/>
      <c r="S813" s="78"/>
      <c r="T813" s="78"/>
      <c r="U813" s="78"/>
      <c r="V813" s="78"/>
    </row>
    <row r="814" spans="1:22" x14ac:dyDescent="0.25">
      <c r="A814" s="78"/>
      <c r="B814" s="78"/>
      <c r="C814" s="78"/>
      <c r="D814" s="78"/>
      <c r="E814" s="78"/>
      <c r="F814" s="76"/>
      <c r="G814" s="78"/>
      <c r="H814" s="78"/>
      <c r="I814" s="78"/>
      <c r="J814" s="77"/>
      <c r="K814" s="78"/>
      <c r="L814" s="78"/>
      <c r="M814" s="78"/>
      <c r="N814" s="76"/>
      <c r="O814" s="78"/>
      <c r="P814" s="80"/>
      <c r="Q814" s="80"/>
      <c r="R814" s="78"/>
      <c r="S814" s="78"/>
      <c r="T814" s="78"/>
      <c r="U814" s="78"/>
      <c r="V814" s="78"/>
    </row>
    <row r="815" spans="1:22" x14ac:dyDescent="0.25">
      <c r="A815" s="78"/>
      <c r="B815" s="78"/>
      <c r="C815" s="78"/>
      <c r="D815" s="78"/>
      <c r="E815" s="78"/>
      <c r="F815" s="76"/>
      <c r="G815" s="78"/>
      <c r="H815" s="78"/>
      <c r="I815" s="78"/>
      <c r="J815" s="77"/>
      <c r="K815" s="78"/>
      <c r="L815" s="78"/>
      <c r="M815" s="78"/>
      <c r="N815" s="76"/>
      <c r="O815" s="78"/>
      <c r="P815" s="80"/>
      <c r="Q815" s="80"/>
      <c r="R815" s="78"/>
      <c r="S815" s="78"/>
      <c r="T815" s="78"/>
      <c r="U815" s="78"/>
      <c r="V815" s="78"/>
    </row>
    <row r="816" spans="1:22" x14ac:dyDescent="0.25">
      <c r="A816" s="78"/>
      <c r="B816" s="78"/>
      <c r="C816" s="78"/>
      <c r="D816" s="78"/>
      <c r="E816" s="78"/>
      <c r="F816" s="76"/>
      <c r="G816" s="78"/>
      <c r="H816" s="78"/>
      <c r="I816" s="78"/>
      <c r="J816" s="77"/>
      <c r="K816" s="78"/>
      <c r="L816" s="78"/>
      <c r="M816" s="78"/>
      <c r="N816" s="76"/>
      <c r="O816" s="78"/>
      <c r="P816" s="80"/>
      <c r="Q816" s="80"/>
      <c r="R816" s="78"/>
      <c r="S816" s="78"/>
      <c r="T816" s="78"/>
      <c r="U816" s="78"/>
      <c r="V816" s="78"/>
    </row>
    <row r="817" spans="1:22" x14ac:dyDescent="0.25">
      <c r="A817" s="78"/>
      <c r="B817" s="78"/>
      <c r="C817" s="78"/>
      <c r="D817" s="78"/>
      <c r="E817" s="78"/>
      <c r="F817" s="76"/>
      <c r="G817" s="78"/>
      <c r="H817" s="78"/>
      <c r="I817" s="78"/>
      <c r="J817" s="77"/>
      <c r="K817" s="78"/>
      <c r="L817" s="78"/>
      <c r="M817" s="78"/>
      <c r="N817" s="76"/>
      <c r="O817" s="78"/>
      <c r="P817" s="80"/>
      <c r="Q817" s="80"/>
      <c r="R817" s="78"/>
      <c r="S817" s="78"/>
      <c r="T817" s="78"/>
      <c r="U817" s="78"/>
      <c r="V817" s="78"/>
    </row>
    <row r="818" spans="1:22" x14ac:dyDescent="0.25">
      <c r="A818" s="78"/>
      <c r="B818" s="78"/>
      <c r="C818" s="78"/>
      <c r="D818" s="78"/>
      <c r="E818" s="78"/>
      <c r="F818" s="76"/>
      <c r="G818" s="78"/>
      <c r="H818" s="78"/>
      <c r="I818" s="78"/>
      <c r="J818" s="77"/>
      <c r="K818" s="78"/>
      <c r="L818" s="78"/>
      <c r="M818" s="78"/>
      <c r="N818" s="76"/>
      <c r="O818" s="78"/>
      <c r="P818" s="80"/>
      <c r="Q818" s="80"/>
      <c r="R818" s="78"/>
      <c r="S818" s="78"/>
      <c r="T818" s="78"/>
      <c r="U818" s="78"/>
      <c r="V818" s="78"/>
    </row>
    <row r="819" spans="1:22" x14ac:dyDescent="0.25">
      <c r="A819" s="78"/>
      <c r="B819" s="78"/>
      <c r="C819" s="78"/>
      <c r="D819" s="78"/>
      <c r="E819" s="78"/>
      <c r="F819" s="76"/>
      <c r="G819" s="78"/>
      <c r="H819" s="78"/>
      <c r="I819" s="78"/>
      <c r="J819" s="77"/>
      <c r="K819" s="78"/>
      <c r="L819" s="78"/>
      <c r="M819" s="78"/>
      <c r="N819" s="76"/>
      <c r="O819" s="78"/>
      <c r="P819" s="80"/>
      <c r="Q819" s="80"/>
      <c r="R819" s="78"/>
      <c r="S819" s="78"/>
      <c r="T819" s="78"/>
      <c r="U819" s="78"/>
      <c r="V819" s="78"/>
    </row>
    <row r="820" spans="1:22" x14ac:dyDescent="0.25">
      <c r="A820" s="78"/>
      <c r="B820" s="78"/>
      <c r="C820" s="78"/>
      <c r="D820" s="78"/>
      <c r="E820" s="78"/>
      <c r="F820" s="76"/>
      <c r="G820" s="78"/>
      <c r="H820" s="78"/>
      <c r="I820" s="78"/>
      <c r="J820" s="77"/>
      <c r="K820" s="78"/>
      <c r="L820" s="78"/>
      <c r="M820" s="78"/>
      <c r="N820" s="76"/>
      <c r="O820" s="78"/>
      <c r="P820" s="80"/>
      <c r="Q820" s="80"/>
      <c r="R820" s="78"/>
      <c r="S820" s="78"/>
      <c r="T820" s="78"/>
      <c r="U820" s="78"/>
      <c r="V820" s="78"/>
    </row>
    <row r="821" spans="1:22" x14ac:dyDescent="0.25">
      <c r="A821" s="78"/>
      <c r="B821" s="78"/>
      <c r="C821" s="78"/>
      <c r="D821" s="78"/>
      <c r="E821" s="78"/>
      <c r="F821" s="76"/>
      <c r="G821" s="78"/>
      <c r="H821" s="78"/>
      <c r="I821" s="78"/>
      <c r="J821" s="77"/>
      <c r="K821" s="78"/>
      <c r="L821" s="78"/>
      <c r="M821" s="78"/>
      <c r="N821" s="76"/>
      <c r="O821" s="78"/>
      <c r="P821" s="80"/>
      <c r="Q821" s="80"/>
      <c r="R821" s="78"/>
      <c r="S821" s="78"/>
      <c r="T821" s="78"/>
      <c r="U821" s="78"/>
      <c r="V821" s="78"/>
    </row>
    <row r="822" spans="1:22" x14ac:dyDescent="0.25">
      <c r="A822" s="78"/>
      <c r="B822" s="78"/>
      <c r="C822" s="78"/>
      <c r="D822" s="78"/>
      <c r="E822" s="78"/>
      <c r="F822" s="76"/>
      <c r="G822" s="78"/>
      <c r="H822" s="78"/>
      <c r="I822" s="78"/>
      <c r="J822" s="77"/>
      <c r="K822" s="78"/>
      <c r="L822" s="78"/>
      <c r="M822" s="78"/>
      <c r="N822" s="76"/>
      <c r="O822" s="78"/>
      <c r="P822" s="80"/>
      <c r="Q822" s="80"/>
      <c r="R822" s="78"/>
      <c r="S822" s="78"/>
      <c r="T822" s="78"/>
      <c r="U822" s="78"/>
      <c r="V822" s="78"/>
    </row>
    <row r="823" spans="1:22" x14ac:dyDescent="0.25">
      <c r="A823" s="78"/>
      <c r="B823" s="78"/>
      <c r="C823" s="78"/>
      <c r="D823" s="78"/>
      <c r="E823" s="78"/>
      <c r="F823" s="76"/>
      <c r="G823" s="78"/>
      <c r="H823" s="78"/>
      <c r="I823" s="78"/>
      <c r="J823" s="77"/>
      <c r="K823" s="78"/>
      <c r="L823" s="78"/>
      <c r="M823" s="78"/>
      <c r="N823" s="76"/>
      <c r="O823" s="78"/>
      <c r="P823" s="80"/>
      <c r="Q823" s="80"/>
      <c r="R823" s="78"/>
      <c r="S823" s="78"/>
      <c r="T823" s="78"/>
      <c r="U823" s="78"/>
      <c r="V823" s="78"/>
    </row>
    <row r="824" spans="1:22" x14ac:dyDescent="0.25">
      <c r="A824" s="78"/>
      <c r="B824" s="78"/>
      <c r="C824" s="78"/>
      <c r="D824" s="78"/>
      <c r="E824" s="78"/>
      <c r="F824" s="76"/>
      <c r="G824" s="78"/>
      <c r="H824" s="78"/>
      <c r="I824" s="78"/>
      <c r="J824" s="77"/>
      <c r="K824" s="78"/>
      <c r="L824" s="78"/>
      <c r="M824" s="78"/>
      <c r="N824" s="76"/>
      <c r="O824" s="78"/>
      <c r="P824" s="80"/>
      <c r="Q824" s="80"/>
      <c r="R824" s="78"/>
      <c r="S824" s="78"/>
      <c r="T824" s="78"/>
      <c r="U824" s="78"/>
      <c r="V824" s="78"/>
    </row>
    <row r="825" spans="1:22" x14ac:dyDescent="0.25">
      <c r="A825" s="78"/>
      <c r="B825" s="78"/>
      <c r="C825" s="78"/>
      <c r="D825" s="78"/>
      <c r="E825" s="78"/>
      <c r="F825" s="76"/>
      <c r="G825" s="78"/>
      <c r="H825" s="78"/>
      <c r="I825" s="78"/>
      <c r="J825" s="77"/>
      <c r="K825" s="78"/>
      <c r="L825" s="78"/>
      <c r="M825" s="78"/>
      <c r="N825" s="76"/>
      <c r="O825" s="78"/>
      <c r="P825" s="80"/>
      <c r="Q825" s="80"/>
      <c r="R825" s="78"/>
      <c r="S825" s="78"/>
      <c r="T825" s="78"/>
      <c r="U825" s="78"/>
      <c r="V825" s="78"/>
    </row>
    <row r="826" spans="1:22" x14ac:dyDescent="0.25">
      <c r="A826" s="78"/>
      <c r="B826" s="78"/>
      <c r="C826" s="78"/>
      <c r="D826" s="78"/>
      <c r="E826" s="78"/>
      <c r="F826" s="76"/>
      <c r="G826" s="78"/>
      <c r="H826" s="78"/>
      <c r="I826" s="78"/>
      <c r="J826" s="77"/>
      <c r="K826" s="78"/>
      <c r="L826" s="78"/>
      <c r="M826" s="78"/>
      <c r="N826" s="76"/>
      <c r="O826" s="78"/>
      <c r="P826" s="80"/>
      <c r="Q826" s="80"/>
      <c r="R826" s="78"/>
      <c r="S826" s="78"/>
      <c r="T826" s="78"/>
      <c r="U826" s="78"/>
      <c r="V826" s="78"/>
    </row>
    <row r="827" spans="1:22" x14ac:dyDescent="0.25">
      <c r="A827" s="78"/>
      <c r="B827" s="78"/>
      <c r="C827" s="78"/>
      <c r="D827" s="78"/>
      <c r="E827" s="78"/>
      <c r="F827" s="76"/>
      <c r="G827" s="78"/>
      <c r="H827" s="78"/>
      <c r="I827" s="78"/>
      <c r="J827" s="77"/>
      <c r="K827" s="78"/>
      <c r="L827" s="78"/>
      <c r="M827" s="78"/>
      <c r="N827" s="76"/>
      <c r="O827" s="78"/>
      <c r="P827" s="80"/>
      <c r="Q827" s="80"/>
      <c r="R827" s="78"/>
      <c r="S827" s="78"/>
      <c r="T827" s="78"/>
      <c r="U827" s="78"/>
      <c r="V827" s="78"/>
    </row>
    <row r="828" spans="1:22" x14ac:dyDescent="0.25">
      <c r="A828" s="78"/>
      <c r="B828" s="78"/>
      <c r="C828" s="78"/>
      <c r="D828" s="78"/>
      <c r="E828" s="78"/>
      <c r="F828" s="76"/>
      <c r="G828" s="78"/>
      <c r="H828" s="78"/>
      <c r="I828" s="78"/>
      <c r="J828" s="77"/>
      <c r="K828" s="78"/>
      <c r="L828" s="78"/>
      <c r="M828" s="78"/>
      <c r="N828" s="76"/>
      <c r="O828" s="78"/>
      <c r="P828" s="80"/>
      <c r="Q828" s="80"/>
      <c r="R828" s="78"/>
      <c r="S828" s="78"/>
      <c r="T828" s="78"/>
      <c r="U828" s="78"/>
      <c r="V828" s="78"/>
    </row>
    <row r="829" spans="1:22" x14ac:dyDescent="0.25">
      <c r="A829" s="78"/>
      <c r="B829" s="78"/>
      <c r="C829" s="78"/>
      <c r="D829" s="78"/>
      <c r="E829" s="78"/>
      <c r="F829" s="76"/>
      <c r="G829" s="78"/>
      <c r="H829" s="78"/>
      <c r="I829" s="78"/>
      <c r="J829" s="77"/>
      <c r="K829" s="78"/>
      <c r="L829" s="78"/>
      <c r="M829" s="78"/>
      <c r="N829" s="76"/>
      <c r="O829" s="78"/>
      <c r="P829" s="80"/>
      <c r="Q829" s="80"/>
      <c r="R829" s="78"/>
      <c r="S829" s="78"/>
      <c r="T829" s="78"/>
      <c r="U829" s="78"/>
      <c r="V829" s="78"/>
    </row>
    <row r="830" spans="1:22" x14ac:dyDescent="0.25">
      <c r="A830" s="78"/>
      <c r="B830" s="78"/>
      <c r="C830" s="78"/>
      <c r="D830" s="78"/>
      <c r="E830" s="78"/>
      <c r="F830" s="76"/>
      <c r="G830" s="78"/>
      <c r="H830" s="78"/>
      <c r="I830" s="78"/>
      <c r="J830" s="77"/>
      <c r="K830" s="78"/>
      <c r="L830" s="78"/>
      <c r="M830" s="78"/>
      <c r="N830" s="76"/>
      <c r="O830" s="78"/>
      <c r="P830" s="80"/>
      <c r="Q830" s="80"/>
      <c r="R830" s="78"/>
      <c r="S830" s="78"/>
      <c r="T830" s="78"/>
      <c r="U830" s="78"/>
      <c r="V830" s="78"/>
    </row>
    <row r="831" spans="1:22" x14ac:dyDescent="0.25">
      <c r="A831" s="78"/>
      <c r="B831" s="78"/>
      <c r="C831" s="78"/>
      <c r="D831" s="78"/>
      <c r="E831" s="78"/>
      <c r="F831" s="76"/>
      <c r="G831" s="78"/>
      <c r="H831" s="78"/>
      <c r="I831" s="78"/>
      <c r="J831" s="77"/>
      <c r="K831" s="78"/>
      <c r="L831" s="78"/>
      <c r="M831" s="78"/>
      <c r="N831" s="76"/>
      <c r="O831" s="78"/>
      <c r="P831" s="80"/>
      <c r="Q831" s="80"/>
      <c r="R831" s="78"/>
      <c r="S831" s="78"/>
      <c r="T831" s="78"/>
      <c r="U831" s="78"/>
      <c r="V831" s="78"/>
    </row>
    <row r="832" spans="1:22" x14ac:dyDescent="0.25">
      <c r="A832" s="78"/>
      <c r="B832" s="78"/>
      <c r="C832" s="78"/>
      <c r="D832" s="78"/>
      <c r="E832" s="78"/>
      <c r="F832" s="76"/>
      <c r="G832" s="78"/>
      <c r="H832" s="78"/>
      <c r="I832" s="78"/>
      <c r="J832" s="77"/>
      <c r="K832" s="78"/>
      <c r="L832" s="78"/>
      <c r="M832" s="78"/>
      <c r="N832" s="76"/>
      <c r="O832" s="78"/>
      <c r="P832" s="80"/>
      <c r="Q832" s="80"/>
      <c r="R832" s="78"/>
      <c r="S832" s="78"/>
      <c r="T832" s="78"/>
      <c r="U832" s="78"/>
      <c r="V832" s="78"/>
    </row>
    <row r="833" spans="1:22" x14ac:dyDescent="0.25">
      <c r="A833" s="78"/>
      <c r="B833" s="78"/>
      <c r="C833" s="78"/>
      <c r="D833" s="78"/>
      <c r="E833" s="78"/>
      <c r="F833" s="76"/>
      <c r="G833" s="78"/>
      <c r="H833" s="78"/>
      <c r="I833" s="78"/>
      <c r="J833" s="77"/>
      <c r="K833" s="78"/>
      <c r="L833" s="78"/>
      <c r="M833" s="78"/>
      <c r="N833" s="76"/>
      <c r="O833" s="78"/>
      <c r="P833" s="80"/>
      <c r="Q833" s="80"/>
      <c r="R833" s="78"/>
      <c r="S833" s="78"/>
      <c r="T833" s="78"/>
      <c r="U833" s="78"/>
      <c r="V833" s="78"/>
    </row>
    <row r="834" spans="1:22" x14ac:dyDescent="0.25">
      <c r="A834" s="78"/>
      <c r="B834" s="78"/>
      <c r="C834" s="78"/>
      <c r="D834" s="78"/>
      <c r="E834" s="78"/>
      <c r="F834" s="76"/>
      <c r="G834" s="78"/>
      <c r="H834" s="78"/>
      <c r="I834" s="78"/>
      <c r="J834" s="77"/>
      <c r="K834" s="78"/>
      <c r="L834" s="78"/>
      <c r="M834" s="78"/>
      <c r="N834" s="76"/>
      <c r="O834" s="78"/>
      <c r="P834" s="80"/>
      <c r="Q834" s="80"/>
      <c r="R834" s="78"/>
      <c r="S834" s="78"/>
      <c r="T834" s="78"/>
      <c r="U834" s="78"/>
      <c r="V834" s="78"/>
    </row>
    <row r="835" spans="1:22" x14ac:dyDescent="0.25">
      <c r="A835" s="78"/>
      <c r="B835" s="78"/>
      <c r="C835" s="78"/>
      <c r="D835" s="78"/>
      <c r="E835" s="78"/>
      <c r="F835" s="76"/>
      <c r="G835" s="78"/>
      <c r="H835" s="78"/>
      <c r="I835" s="78"/>
      <c r="J835" s="77"/>
      <c r="K835" s="78"/>
      <c r="L835" s="78"/>
      <c r="M835" s="78"/>
      <c r="N835" s="76"/>
      <c r="O835" s="78"/>
      <c r="P835" s="80"/>
      <c r="Q835" s="80"/>
      <c r="R835" s="78"/>
      <c r="S835" s="78"/>
      <c r="T835" s="78"/>
      <c r="U835" s="78"/>
      <c r="V835" s="78"/>
    </row>
    <row r="836" spans="1:22" x14ac:dyDescent="0.25">
      <c r="A836" s="78"/>
      <c r="B836" s="78"/>
      <c r="C836" s="78"/>
      <c r="D836" s="78"/>
      <c r="E836" s="78"/>
      <c r="F836" s="76"/>
      <c r="G836" s="78"/>
      <c r="H836" s="78"/>
      <c r="I836" s="78"/>
      <c r="J836" s="77"/>
      <c r="K836" s="78"/>
      <c r="L836" s="78"/>
      <c r="M836" s="78"/>
      <c r="N836" s="76"/>
      <c r="O836" s="78"/>
      <c r="P836" s="80"/>
      <c r="Q836" s="80"/>
      <c r="R836" s="78"/>
      <c r="S836" s="78"/>
      <c r="T836" s="78"/>
      <c r="U836" s="78"/>
      <c r="V836" s="78"/>
    </row>
    <row r="837" spans="1:22" x14ac:dyDescent="0.25">
      <c r="A837" s="78"/>
      <c r="B837" s="78"/>
      <c r="C837" s="78"/>
      <c r="D837" s="78"/>
      <c r="E837" s="78"/>
      <c r="F837" s="76"/>
      <c r="G837" s="78"/>
      <c r="H837" s="78"/>
      <c r="I837" s="78"/>
      <c r="J837" s="77"/>
      <c r="K837" s="78"/>
      <c r="L837" s="78"/>
      <c r="M837" s="78"/>
      <c r="N837" s="76"/>
      <c r="O837" s="78"/>
      <c r="P837" s="80"/>
      <c r="Q837" s="80"/>
      <c r="R837" s="78"/>
      <c r="S837" s="78"/>
      <c r="T837" s="78"/>
      <c r="U837" s="78"/>
      <c r="V837" s="78"/>
    </row>
    <row r="838" spans="1:22" x14ac:dyDescent="0.25">
      <c r="A838" s="78"/>
      <c r="B838" s="78"/>
      <c r="C838" s="78"/>
      <c r="D838" s="78"/>
      <c r="E838" s="78"/>
      <c r="F838" s="76"/>
      <c r="G838" s="78"/>
      <c r="H838" s="78"/>
      <c r="I838" s="78"/>
      <c r="J838" s="77"/>
      <c r="K838" s="78"/>
      <c r="L838" s="78"/>
      <c r="M838" s="78"/>
      <c r="N838" s="76"/>
      <c r="O838" s="78"/>
      <c r="P838" s="80"/>
      <c r="Q838" s="80"/>
      <c r="R838" s="78"/>
      <c r="S838" s="78"/>
      <c r="T838" s="78"/>
      <c r="U838" s="78"/>
      <c r="V838" s="78"/>
    </row>
    <row r="839" spans="1:22" x14ac:dyDescent="0.25">
      <c r="A839" s="78"/>
      <c r="B839" s="78"/>
      <c r="C839" s="78"/>
      <c r="D839" s="78"/>
      <c r="E839" s="78"/>
      <c r="F839" s="76"/>
      <c r="G839" s="78"/>
      <c r="H839" s="78"/>
      <c r="I839" s="78"/>
      <c r="J839" s="77"/>
      <c r="K839" s="78"/>
      <c r="L839" s="78"/>
      <c r="M839" s="78"/>
      <c r="N839" s="76"/>
      <c r="O839" s="78"/>
      <c r="P839" s="80"/>
      <c r="Q839" s="80"/>
      <c r="R839" s="78"/>
      <c r="S839" s="78"/>
      <c r="T839" s="78"/>
      <c r="U839" s="78"/>
      <c r="V839" s="78"/>
    </row>
    <row r="840" spans="1:22" x14ac:dyDescent="0.25">
      <c r="A840" s="78"/>
      <c r="B840" s="78"/>
      <c r="C840" s="78"/>
      <c r="D840" s="78"/>
      <c r="E840" s="78"/>
      <c r="F840" s="76"/>
      <c r="G840" s="78"/>
      <c r="H840" s="78"/>
      <c r="I840" s="78"/>
      <c r="J840" s="77"/>
      <c r="K840" s="78"/>
      <c r="L840" s="78"/>
      <c r="M840" s="78"/>
      <c r="N840" s="76"/>
      <c r="O840" s="78"/>
      <c r="P840" s="80"/>
      <c r="Q840" s="80"/>
      <c r="R840" s="78"/>
      <c r="S840" s="78"/>
      <c r="T840" s="78"/>
      <c r="U840" s="78"/>
      <c r="V840" s="78"/>
    </row>
    <row r="841" spans="1:22" x14ac:dyDescent="0.25">
      <c r="A841" s="78"/>
      <c r="B841" s="78"/>
      <c r="C841" s="78"/>
      <c r="D841" s="78"/>
      <c r="E841" s="78"/>
      <c r="F841" s="76"/>
      <c r="G841" s="78"/>
      <c r="H841" s="78"/>
      <c r="I841" s="78"/>
      <c r="J841" s="77"/>
      <c r="K841" s="78"/>
      <c r="L841" s="78"/>
      <c r="M841" s="78"/>
      <c r="N841" s="76"/>
      <c r="O841" s="78"/>
      <c r="P841" s="80"/>
      <c r="Q841" s="80"/>
      <c r="R841" s="78"/>
      <c r="S841" s="78"/>
      <c r="T841" s="78"/>
      <c r="U841" s="78"/>
      <c r="V841" s="78"/>
    </row>
    <row r="842" spans="1:22" x14ac:dyDescent="0.25">
      <c r="A842" s="78"/>
      <c r="B842" s="78"/>
      <c r="C842" s="78"/>
      <c r="D842" s="78"/>
      <c r="E842" s="78"/>
      <c r="F842" s="76"/>
      <c r="G842" s="78"/>
      <c r="H842" s="78"/>
      <c r="I842" s="78"/>
      <c r="J842" s="77"/>
      <c r="K842" s="78"/>
      <c r="L842" s="78"/>
      <c r="M842" s="78"/>
      <c r="N842" s="76"/>
      <c r="O842" s="78"/>
      <c r="P842" s="80"/>
      <c r="Q842" s="80"/>
      <c r="R842" s="78"/>
      <c r="S842" s="78"/>
      <c r="T842" s="78"/>
      <c r="U842" s="78"/>
      <c r="V842" s="78"/>
    </row>
    <row r="843" spans="1:22" x14ac:dyDescent="0.25">
      <c r="A843" s="78"/>
      <c r="B843" s="78"/>
      <c r="C843" s="78"/>
      <c r="D843" s="78"/>
      <c r="E843" s="78"/>
      <c r="F843" s="76"/>
      <c r="G843" s="78"/>
      <c r="H843" s="78"/>
      <c r="I843" s="78"/>
      <c r="J843" s="77"/>
      <c r="K843" s="78"/>
      <c r="L843" s="78"/>
      <c r="M843" s="78"/>
      <c r="N843" s="76"/>
      <c r="O843" s="78"/>
      <c r="P843" s="80"/>
      <c r="Q843" s="80"/>
      <c r="R843" s="78"/>
      <c r="S843" s="78"/>
      <c r="T843" s="78"/>
      <c r="U843" s="78"/>
      <c r="V843" s="78"/>
    </row>
    <row r="844" spans="1:22" x14ac:dyDescent="0.25">
      <c r="A844" s="78"/>
      <c r="B844" s="78"/>
      <c r="C844" s="78"/>
      <c r="D844" s="78"/>
      <c r="E844" s="78"/>
      <c r="F844" s="76"/>
      <c r="G844" s="78"/>
      <c r="H844" s="78"/>
      <c r="I844" s="78"/>
      <c r="J844" s="77"/>
      <c r="K844" s="78"/>
      <c r="L844" s="78"/>
      <c r="M844" s="78"/>
      <c r="N844" s="76"/>
      <c r="O844" s="78"/>
      <c r="P844" s="80"/>
      <c r="Q844" s="80"/>
      <c r="R844" s="78"/>
      <c r="S844" s="78"/>
      <c r="T844" s="78"/>
      <c r="U844" s="78"/>
      <c r="V844" s="78"/>
    </row>
    <row r="845" spans="1:22" x14ac:dyDescent="0.25">
      <c r="A845" s="78"/>
      <c r="B845" s="78"/>
      <c r="C845" s="78"/>
      <c r="D845" s="78"/>
      <c r="E845" s="78"/>
      <c r="F845" s="76"/>
      <c r="G845" s="78"/>
      <c r="H845" s="78"/>
      <c r="I845" s="78"/>
      <c r="J845" s="77"/>
      <c r="K845" s="78"/>
      <c r="L845" s="78"/>
      <c r="M845" s="78"/>
      <c r="N845" s="76"/>
      <c r="O845" s="78"/>
      <c r="P845" s="80"/>
      <c r="Q845" s="80"/>
      <c r="R845" s="78"/>
      <c r="S845" s="78"/>
      <c r="T845" s="78"/>
      <c r="U845" s="78"/>
      <c r="V845" s="78"/>
    </row>
    <row r="846" spans="1:22" x14ac:dyDescent="0.25">
      <c r="A846" s="78"/>
      <c r="B846" s="78"/>
      <c r="C846" s="78"/>
      <c r="D846" s="78"/>
      <c r="E846" s="78"/>
      <c r="F846" s="76"/>
      <c r="G846" s="78"/>
      <c r="H846" s="78"/>
      <c r="I846" s="78"/>
      <c r="J846" s="77"/>
      <c r="K846" s="78"/>
      <c r="L846" s="78"/>
      <c r="M846" s="78"/>
      <c r="N846" s="76"/>
      <c r="O846" s="78"/>
      <c r="P846" s="80"/>
      <c r="Q846" s="80"/>
      <c r="R846" s="78"/>
      <c r="S846" s="78"/>
      <c r="T846" s="78"/>
      <c r="U846" s="78"/>
      <c r="V846" s="78"/>
    </row>
    <row r="847" spans="1:22" x14ac:dyDescent="0.25">
      <c r="A847" s="78"/>
      <c r="B847" s="78"/>
      <c r="C847" s="78"/>
      <c r="D847" s="78"/>
      <c r="E847" s="78"/>
      <c r="F847" s="76"/>
      <c r="G847" s="78"/>
      <c r="H847" s="78"/>
      <c r="I847" s="78"/>
      <c r="J847" s="77"/>
      <c r="K847" s="78"/>
      <c r="L847" s="78"/>
      <c r="M847" s="78"/>
      <c r="N847" s="76"/>
      <c r="O847" s="78"/>
      <c r="P847" s="80"/>
      <c r="Q847" s="80"/>
      <c r="R847" s="78"/>
      <c r="S847" s="78"/>
      <c r="T847" s="78"/>
      <c r="U847" s="78"/>
      <c r="V847" s="78"/>
    </row>
    <row r="848" spans="1:22" x14ac:dyDescent="0.25">
      <c r="A848" s="78"/>
      <c r="B848" s="78"/>
      <c r="C848" s="78"/>
      <c r="D848" s="78"/>
      <c r="E848" s="78"/>
      <c r="F848" s="76"/>
      <c r="G848" s="78"/>
      <c r="H848" s="78"/>
      <c r="I848" s="78"/>
      <c r="J848" s="77"/>
      <c r="K848" s="78"/>
      <c r="L848" s="78"/>
      <c r="M848" s="78"/>
      <c r="N848" s="76"/>
      <c r="O848" s="78"/>
      <c r="P848" s="80"/>
      <c r="Q848" s="80"/>
      <c r="R848" s="78"/>
      <c r="S848" s="78"/>
      <c r="T848" s="78"/>
      <c r="U848" s="78"/>
      <c r="V848" s="78"/>
    </row>
    <row r="849" spans="1:22" x14ac:dyDescent="0.25">
      <c r="A849" s="78"/>
      <c r="B849" s="78"/>
      <c r="C849" s="78"/>
      <c r="D849" s="78"/>
      <c r="E849" s="78"/>
      <c r="F849" s="76"/>
      <c r="G849" s="78"/>
      <c r="H849" s="78"/>
      <c r="I849" s="78"/>
      <c r="J849" s="77"/>
      <c r="K849" s="78"/>
      <c r="L849" s="78"/>
      <c r="M849" s="78"/>
      <c r="N849" s="76"/>
      <c r="O849" s="78"/>
      <c r="P849" s="80"/>
      <c r="Q849" s="80"/>
      <c r="R849" s="78"/>
      <c r="S849" s="78"/>
      <c r="T849" s="78"/>
      <c r="U849" s="78"/>
      <c r="V849" s="78"/>
    </row>
    <row r="850" spans="1:22" x14ac:dyDescent="0.25">
      <c r="A850" s="78"/>
      <c r="B850" s="78"/>
      <c r="C850" s="78"/>
      <c r="D850" s="78"/>
      <c r="E850" s="78"/>
      <c r="F850" s="76"/>
      <c r="G850" s="78"/>
      <c r="H850" s="78"/>
      <c r="I850" s="78"/>
      <c r="J850" s="77"/>
      <c r="K850" s="78"/>
      <c r="L850" s="78"/>
      <c r="M850" s="78"/>
      <c r="N850" s="76"/>
      <c r="O850" s="78"/>
      <c r="P850" s="80"/>
      <c r="Q850" s="80"/>
      <c r="R850" s="78"/>
      <c r="S850" s="78"/>
      <c r="T850" s="78"/>
      <c r="U850" s="78"/>
      <c r="V850" s="78"/>
    </row>
    <row r="851" spans="1:22" x14ac:dyDescent="0.25">
      <c r="A851" s="78"/>
      <c r="B851" s="78"/>
      <c r="C851" s="78"/>
      <c r="D851" s="78"/>
      <c r="E851" s="78"/>
      <c r="F851" s="76"/>
      <c r="G851" s="78"/>
      <c r="H851" s="78"/>
      <c r="I851" s="78"/>
      <c r="J851" s="77"/>
      <c r="K851" s="78"/>
      <c r="L851" s="78"/>
      <c r="M851" s="78"/>
      <c r="N851" s="76"/>
      <c r="O851" s="78"/>
      <c r="P851" s="80"/>
      <c r="Q851" s="80"/>
      <c r="R851" s="78"/>
      <c r="S851" s="78"/>
      <c r="T851" s="78"/>
      <c r="U851" s="78"/>
      <c r="V851" s="78"/>
    </row>
    <row r="852" spans="1:22" x14ac:dyDescent="0.25">
      <c r="A852" s="78"/>
      <c r="B852" s="78"/>
      <c r="C852" s="78"/>
      <c r="D852" s="78"/>
      <c r="E852" s="78"/>
      <c r="F852" s="76"/>
      <c r="G852" s="78"/>
      <c r="H852" s="78"/>
      <c r="I852" s="78"/>
      <c r="J852" s="77"/>
      <c r="K852" s="78"/>
      <c r="L852" s="78"/>
      <c r="M852" s="78"/>
      <c r="N852" s="76"/>
      <c r="O852" s="78"/>
      <c r="P852" s="80"/>
      <c r="Q852" s="80"/>
      <c r="R852" s="78"/>
      <c r="S852" s="78"/>
      <c r="T852" s="78"/>
      <c r="U852" s="78"/>
      <c r="V852" s="78"/>
    </row>
    <row r="853" spans="1:22" x14ac:dyDescent="0.25">
      <c r="A853" s="78"/>
      <c r="B853" s="78"/>
      <c r="C853" s="78"/>
      <c r="D853" s="78"/>
      <c r="E853" s="78"/>
      <c r="F853" s="76"/>
      <c r="G853" s="78"/>
      <c r="H853" s="78"/>
      <c r="I853" s="78"/>
      <c r="J853" s="77"/>
      <c r="K853" s="78"/>
      <c r="L853" s="78"/>
      <c r="M853" s="78"/>
      <c r="N853" s="76"/>
      <c r="O853" s="78"/>
      <c r="P853" s="80"/>
      <c r="Q853" s="80"/>
      <c r="R853" s="78"/>
      <c r="S853" s="78"/>
      <c r="T853" s="78"/>
      <c r="U853" s="78"/>
      <c r="V853" s="78"/>
    </row>
    <row r="854" spans="1:22" x14ac:dyDescent="0.25">
      <c r="A854" s="78"/>
      <c r="B854" s="78"/>
      <c r="C854" s="78"/>
      <c r="D854" s="78"/>
      <c r="E854" s="78"/>
      <c r="F854" s="76"/>
      <c r="G854" s="78"/>
      <c r="H854" s="78"/>
      <c r="I854" s="78"/>
      <c r="J854" s="77"/>
      <c r="K854" s="78"/>
      <c r="L854" s="78"/>
      <c r="M854" s="78"/>
      <c r="N854" s="76"/>
      <c r="O854" s="78"/>
      <c r="P854" s="80"/>
      <c r="Q854" s="80"/>
      <c r="R854" s="78"/>
      <c r="S854" s="78"/>
      <c r="T854" s="78"/>
      <c r="U854" s="78"/>
      <c r="V854" s="78"/>
    </row>
    <row r="855" spans="1:22" x14ac:dyDescent="0.25">
      <c r="A855" s="78"/>
      <c r="B855" s="78"/>
      <c r="C855" s="78"/>
      <c r="D855" s="78"/>
      <c r="E855" s="78"/>
      <c r="F855" s="76"/>
      <c r="G855" s="78"/>
      <c r="H855" s="78"/>
      <c r="I855" s="78"/>
      <c r="J855" s="77"/>
      <c r="K855" s="78"/>
      <c r="L855" s="78"/>
      <c r="M855" s="78"/>
      <c r="N855" s="76"/>
      <c r="O855" s="78"/>
      <c r="P855" s="80"/>
      <c r="Q855" s="80"/>
      <c r="R855" s="78"/>
      <c r="S855" s="78"/>
      <c r="T855" s="78"/>
      <c r="U855" s="78"/>
      <c r="V855" s="78"/>
    </row>
    <row r="856" spans="1:22" x14ac:dyDescent="0.25">
      <c r="A856" s="78"/>
      <c r="B856" s="78"/>
      <c r="C856" s="78"/>
      <c r="D856" s="78"/>
      <c r="E856" s="78"/>
      <c r="F856" s="76"/>
      <c r="G856" s="78"/>
      <c r="H856" s="78"/>
      <c r="I856" s="78"/>
      <c r="J856" s="77"/>
      <c r="K856" s="78"/>
      <c r="L856" s="78"/>
      <c r="M856" s="78"/>
      <c r="N856" s="76"/>
      <c r="O856" s="78"/>
      <c r="P856" s="80"/>
      <c r="Q856" s="80"/>
      <c r="R856" s="78"/>
      <c r="S856" s="78"/>
      <c r="T856" s="78"/>
      <c r="U856" s="78"/>
      <c r="V856" s="78"/>
    </row>
    <row r="857" spans="1:22" x14ac:dyDescent="0.25">
      <c r="A857" s="78"/>
      <c r="B857" s="78"/>
      <c r="C857" s="78"/>
      <c r="D857" s="78"/>
      <c r="E857" s="78"/>
      <c r="F857" s="76"/>
      <c r="G857" s="78"/>
      <c r="H857" s="78"/>
      <c r="I857" s="78"/>
      <c r="J857" s="77"/>
      <c r="K857" s="78"/>
      <c r="L857" s="78"/>
      <c r="M857" s="78"/>
      <c r="N857" s="76"/>
      <c r="O857" s="78"/>
      <c r="P857" s="80"/>
      <c r="Q857" s="80"/>
      <c r="R857" s="78"/>
      <c r="S857" s="78"/>
      <c r="T857" s="78"/>
      <c r="U857" s="78"/>
      <c r="V857" s="78"/>
    </row>
    <row r="858" spans="1:22" x14ac:dyDescent="0.25">
      <c r="A858" s="78"/>
      <c r="B858" s="78"/>
      <c r="C858" s="78"/>
      <c r="D858" s="78"/>
      <c r="E858" s="78"/>
      <c r="F858" s="76"/>
      <c r="G858" s="78"/>
      <c r="H858" s="78"/>
      <c r="I858" s="78"/>
      <c r="J858" s="77"/>
      <c r="K858" s="78"/>
      <c r="L858" s="78"/>
      <c r="M858" s="78"/>
      <c r="N858" s="76"/>
      <c r="O858" s="78"/>
      <c r="P858" s="80"/>
      <c r="Q858" s="80"/>
      <c r="R858" s="78"/>
      <c r="S858" s="78"/>
      <c r="T858" s="78"/>
      <c r="U858" s="78"/>
      <c r="V858" s="78"/>
    </row>
    <row r="859" spans="1:22" x14ac:dyDescent="0.25">
      <c r="A859" s="78"/>
      <c r="B859" s="78"/>
      <c r="C859" s="78"/>
      <c r="D859" s="78"/>
      <c r="E859" s="78"/>
      <c r="F859" s="76"/>
      <c r="G859" s="78"/>
      <c r="H859" s="78"/>
      <c r="I859" s="78"/>
      <c r="J859" s="77"/>
      <c r="K859" s="78"/>
      <c r="L859" s="78"/>
      <c r="M859" s="78"/>
      <c r="N859" s="76"/>
      <c r="O859" s="78"/>
      <c r="P859" s="80"/>
      <c r="Q859" s="80"/>
      <c r="R859" s="78"/>
      <c r="S859" s="78"/>
      <c r="T859" s="78"/>
      <c r="U859" s="78"/>
      <c r="V859" s="78"/>
    </row>
    <row r="860" spans="1:22" x14ac:dyDescent="0.25">
      <c r="A860" s="78"/>
      <c r="B860" s="78"/>
      <c r="C860" s="78"/>
      <c r="D860" s="78"/>
      <c r="E860" s="78"/>
      <c r="F860" s="76"/>
      <c r="G860" s="78"/>
      <c r="H860" s="78"/>
      <c r="I860" s="78"/>
      <c r="J860" s="77"/>
      <c r="K860" s="78"/>
      <c r="L860" s="78"/>
      <c r="M860" s="78"/>
      <c r="N860" s="76"/>
      <c r="O860" s="78"/>
      <c r="P860" s="80"/>
      <c r="Q860" s="80"/>
      <c r="R860" s="78"/>
      <c r="S860" s="78"/>
      <c r="T860" s="78"/>
      <c r="U860" s="78"/>
      <c r="V860" s="78"/>
    </row>
    <row r="861" spans="1:22" x14ac:dyDescent="0.25">
      <c r="A861" s="78"/>
      <c r="B861" s="78"/>
      <c r="C861" s="78"/>
      <c r="D861" s="78"/>
      <c r="E861" s="78"/>
      <c r="F861" s="76"/>
      <c r="G861" s="78"/>
      <c r="H861" s="78"/>
      <c r="I861" s="78"/>
      <c r="J861" s="77"/>
      <c r="K861" s="78"/>
      <c r="L861" s="78"/>
      <c r="M861" s="78"/>
      <c r="N861" s="76"/>
      <c r="O861" s="78"/>
      <c r="P861" s="80"/>
      <c r="Q861" s="80"/>
      <c r="R861" s="78"/>
      <c r="S861" s="78"/>
      <c r="T861" s="78"/>
      <c r="U861" s="78"/>
      <c r="V861" s="78"/>
    </row>
    <row r="862" spans="1:22" x14ac:dyDescent="0.25">
      <c r="A862" s="78"/>
      <c r="B862" s="78"/>
      <c r="C862" s="78"/>
      <c r="D862" s="78"/>
      <c r="E862" s="78"/>
      <c r="F862" s="76"/>
      <c r="G862" s="78"/>
      <c r="H862" s="78"/>
      <c r="I862" s="78"/>
      <c r="J862" s="77"/>
      <c r="K862" s="78"/>
      <c r="L862" s="78"/>
      <c r="M862" s="78"/>
      <c r="N862" s="76"/>
      <c r="O862" s="78"/>
      <c r="P862" s="80"/>
      <c r="Q862" s="80"/>
      <c r="R862" s="78"/>
      <c r="S862" s="78"/>
      <c r="T862" s="78"/>
      <c r="U862" s="78"/>
      <c r="V862" s="78"/>
    </row>
    <row r="863" spans="1:22" x14ac:dyDescent="0.25">
      <c r="A863" s="78"/>
      <c r="B863" s="78"/>
      <c r="C863" s="78"/>
      <c r="D863" s="78"/>
      <c r="E863" s="78"/>
      <c r="F863" s="76"/>
      <c r="G863" s="78"/>
      <c r="H863" s="78"/>
      <c r="I863" s="78"/>
      <c r="J863" s="77"/>
      <c r="K863" s="78"/>
      <c r="L863" s="78"/>
      <c r="M863" s="78"/>
      <c r="N863" s="76"/>
      <c r="O863" s="78"/>
      <c r="P863" s="80"/>
      <c r="Q863" s="80"/>
      <c r="R863" s="78"/>
      <c r="S863" s="78"/>
      <c r="T863" s="78"/>
      <c r="U863" s="78"/>
      <c r="V863" s="78"/>
    </row>
    <row r="864" spans="1:22" x14ac:dyDescent="0.25">
      <c r="A864" s="78"/>
      <c r="B864" s="78"/>
      <c r="C864" s="78"/>
      <c r="D864" s="78"/>
      <c r="E864" s="78"/>
      <c r="F864" s="76"/>
      <c r="G864" s="78"/>
      <c r="H864" s="78"/>
      <c r="I864" s="78"/>
      <c r="J864" s="77"/>
      <c r="K864" s="78"/>
      <c r="L864" s="78"/>
      <c r="M864" s="78"/>
      <c r="N864" s="76"/>
      <c r="O864" s="78"/>
      <c r="P864" s="80"/>
      <c r="Q864" s="80"/>
      <c r="R864" s="78"/>
      <c r="S864" s="78"/>
      <c r="T864" s="78"/>
      <c r="U864" s="78"/>
      <c r="V864" s="78"/>
    </row>
    <row r="865" spans="1:22" x14ac:dyDescent="0.25">
      <c r="A865" s="78"/>
      <c r="B865" s="78"/>
      <c r="C865" s="78"/>
      <c r="D865" s="78"/>
      <c r="E865" s="78"/>
      <c r="F865" s="76"/>
      <c r="G865" s="78"/>
      <c r="H865" s="78"/>
      <c r="I865" s="78"/>
      <c r="J865" s="77"/>
      <c r="K865" s="78"/>
      <c r="L865" s="78"/>
      <c r="M865" s="78"/>
      <c r="N865" s="76"/>
      <c r="O865" s="78"/>
      <c r="P865" s="80"/>
      <c r="Q865" s="80"/>
      <c r="R865" s="78"/>
      <c r="S865" s="78"/>
      <c r="T865" s="78"/>
      <c r="U865" s="78"/>
      <c r="V865" s="78"/>
    </row>
    <row r="866" spans="1:22" x14ac:dyDescent="0.25">
      <c r="A866" s="78"/>
      <c r="B866" s="78"/>
      <c r="C866" s="78"/>
      <c r="D866" s="78"/>
      <c r="E866" s="78"/>
      <c r="F866" s="76"/>
      <c r="G866" s="78"/>
      <c r="H866" s="78"/>
      <c r="I866" s="78"/>
      <c r="J866" s="77"/>
      <c r="K866" s="78"/>
      <c r="L866" s="78"/>
      <c r="M866" s="78"/>
      <c r="N866" s="76"/>
      <c r="O866" s="78"/>
      <c r="P866" s="80"/>
      <c r="Q866" s="80"/>
      <c r="R866" s="78"/>
      <c r="S866" s="78"/>
      <c r="T866" s="78"/>
      <c r="U866" s="78"/>
      <c r="V866" s="78"/>
    </row>
    <row r="867" spans="1:22" x14ac:dyDescent="0.25">
      <c r="A867" s="78"/>
      <c r="B867" s="78"/>
      <c r="C867" s="78"/>
      <c r="D867" s="78"/>
      <c r="E867" s="78"/>
      <c r="F867" s="76"/>
      <c r="G867" s="78"/>
      <c r="H867" s="78"/>
      <c r="I867" s="78"/>
      <c r="J867" s="77"/>
      <c r="K867" s="78"/>
      <c r="L867" s="78"/>
      <c r="M867" s="78"/>
      <c r="N867" s="76"/>
      <c r="O867" s="78"/>
      <c r="P867" s="80"/>
      <c r="Q867" s="80"/>
      <c r="R867" s="78"/>
      <c r="S867" s="78"/>
      <c r="T867" s="78"/>
      <c r="U867" s="78"/>
      <c r="V867" s="78"/>
    </row>
    <row r="868" spans="1:22" x14ac:dyDescent="0.25">
      <c r="A868" s="78"/>
      <c r="B868" s="78"/>
      <c r="C868" s="78"/>
      <c r="D868" s="78"/>
      <c r="E868" s="78"/>
      <c r="F868" s="76"/>
      <c r="G868" s="78"/>
      <c r="H868" s="78"/>
      <c r="I868" s="78"/>
      <c r="J868" s="77"/>
      <c r="K868" s="78"/>
      <c r="L868" s="78"/>
      <c r="M868" s="78"/>
      <c r="N868" s="76"/>
      <c r="O868" s="78"/>
      <c r="P868" s="80"/>
      <c r="Q868" s="80"/>
      <c r="R868" s="78"/>
      <c r="S868" s="78"/>
      <c r="T868" s="78"/>
      <c r="U868" s="78"/>
      <c r="V868" s="78"/>
    </row>
    <row r="869" spans="1:22" x14ac:dyDescent="0.25">
      <c r="A869" s="78"/>
      <c r="B869" s="78"/>
      <c r="C869" s="78"/>
      <c r="D869" s="78"/>
      <c r="E869" s="78"/>
      <c r="F869" s="76"/>
      <c r="G869" s="78"/>
      <c r="H869" s="78"/>
      <c r="I869" s="78"/>
      <c r="J869" s="77"/>
      <c r="K869" s="78"/>
      <c r="L869" s="78"/>
      <c r="M869" s="78"/>
      <c r="N869" s="76"/>
      <c r="O869" s="78"/>
      <c r="P869" s="80"/>
      <c r="Q869" s="80"/>
      <c r="R869" s="78"/>
      <c r="S869" s="78"/>
      <c r="T869" s="78"/>
      <c r="U869" s="78"/>
      <c r="V869" s="78"/>
    </row>
    <row r="870" spans="1:22" x14ac:dyDescent="0.25">
      <c r="A870" s="78"/>
      <c r="B870" s="78"/>
      <c r="C870" s="78"/>
      <c r="D870" s="78"/>
      <c r="E870" s="78"/>
      <c r="F870" s="76"/>
      <c r="G870" s="78"/>
      <c r="H870" s="78"/>
      <c r="I870" s="78"/>
      <c r="J870" s="77"/>
      <c r="K870" s="78"/>
      <c r="L870" s="78"/>
      <c r="M870" s="78"/>
      <c r="N870" s="76"/>
      <c r="O870" s="78"/>
      <c r="P870" s="80"/>
      <c r="Q870" s="80"/>
      <c r="R870" s="78"/>
      <c r="S870" s="78"/>
      <c r="T870" s="78"/>
      <c r="U870" s="78"/>
      <c r="V870" s="78"/>
    </row>
    <row r="871" spans="1:22" x14ac:dyDescent="0.25">
      <c r="A871" s="78"/>
      <c r="B871" s="78"/>
      <c r="C871" s="78"/>
      <c r="D871" s="78"/>
      <c r="E871" s="78"/>
      <c r="F871" s="76"/>
      <c r="G871" s="78"/>
      <c r="H871" s="78"/>
      <c r="I871" s="78"/>
      <c r="J871" s="77"/>
      <c r="K871" s="78"/>
      <c r="L871" s="78"/>
      <c r="M871" s="78"/>
      <c r="N871" s="76"/>
      <c r="O871" s="78"/>
      <c r="P871" s="80"/>
      <c r="Q871" s="80"/>
      <c r="R871" s="78"/>
      <c r="S871" s="78"/>
      <c r="T871" s="78"/>
      <c r="U871" s="78"/>
      <c r="V871" s="78"/>
    </row>
    <row r="872" spans="1:22" x14ac:dyDescent="0.25">
      <c r="A872" s="78"/>
      <c r="B872" s="78"/>
      <c r="C872" s="78"/>
      <c r="D872" s="78"/>
      <c r="E872" s="78"/>
      <c r="F872" s="76"/>
      <c r="G872" s="78"/>
      <c r="H872" s="78"/>
      <c r="I872" s="78"/>
      <c r="J872" s="77"/>
      <c r="K872" s="78"/>
      <c r="L872" s="78"/>
      <c r="M872" s="78"/>
      <c r="N872" s="76"/>
      <c r="O872" s="78"/>
      <c r="P872" s="80"/>
      <c r="Q872" s="80"/>
      <c r="R872" s="78"/>
      <c r="S872" s="78"/>
      <c r="T872" s="78"/>
      <c r="U872" s="78"/>
      <c r="V872" s="78"/>
    </row>
    <row r="873" spans="1:22" x14ac:dyDescent="0.25">
      <c r="A873" s="78"/>
      <c r="B873" s="78"/>
      <c r="C873" s="78"/>
      <c r="D873" s="78"/>
      <c r="E873" s="78"/>
      <c r="F873" s="76"/>
      <c r="G873" s="78"/>
      <c r="H873" s="78"/>
      <c r="I873" s="78"/>
      <c r="J873" s="77"/>
      <c r="K873" s="78"/>
      <c r="L873" s="78"/>
      <c r="M873" s="78"/>
      <c r="N873" s="76"/>
      <c r="O873" s="78"/>
      <c r="P873" s="80"/>
      <c r="Q873" s="80"/>
      <c r="R873" s="78"/>
      <c r="S873" s="78"/>
      <c r="T873" s="78"/>
      <c r="U873" s="78"/>
      <c r="V873" s="78"/>
    </row>
    <row r="874" spans="1:22" x14ac:dyDescent="0.25">
      <c r="A874" s="78"/>
      <c r="B874" s="78"/>
      <c r="C874" s="78"/>
      <c r="D874" s="78"/>
      <c r="E874" s="78"/>
      <c r="F874" s="76"/>
      <c r="G874" s="78"/>
      <c r="H874" s="78"/>
      <c r="I874" s="78"/>
      <c r="J874" s="77"/>
      <c r="K874" s="78"/>
      <c r="L874" s="78"/>
      <c r="M874" s="78"/>
      <c r="N874" s="76"/>
      <c r="O874" s="78"/>
      <c r="P874" s="80"/>
      <c r="Q874" s="80"/>
      <c r="R874" s="78"/>
      <c r="S874" s="78"/>
      <c r="T874" s="78"/>
      <c r="U874" s="78"/>
      <c r="V874" s="78"/>
    </row>
    <row r="875" spans="1:22" x14ac:dyDescent="0.25">
      <c r="A875" s="78"/>
      <c r="B875" s="78"/>
      <c r="C875" s="78"/>
      <c r="D875" s="78"/>
      <c r="E875" s="78"/>
      <c r="F875" s="76"/>
      <c r="G875" s="78"/>
      <c r="H875" s="78"/>
      <c r="I875" s="78"/>
      <c r="J875" s="77"/>
      <c r="K875" s="78"/>
      <c r="L875" s="78"/>
      <c r="M875" s="78"/>
      <c r="N875" s="76"/>
      <c r="O875" s="78"/>
      <c r="P875" s="80"/>
      <c r="Q875" s="80"/>
      <c r="R875" s="78"/>
      <c r="S875" s="78"/>
      <c r="T875" s="78"/>
      <c r="U875" s="78"/>
      <c r="V875" s="78"/>
    </row>
    <row r="876" spans="1:22" x14ac:dyDescent="0.25">
      <c r="A876" s="78"/>
      <c r="B876" s="78"/>
      <c r="C876" s="78"/>
      <c r="D876" s="78"/>
      <c r="E876" s="78"/>
      <c r="F876" s="76"/>
      <c r="G876" s="78"/>
      <c r="H876" s="78"/>
      <c r="I876" s="78"/>
      <c r="J876" s="77"/>
      <c r="K876" s="78"/>
      <c r="L876" s="78"/>
      <c r="M876" s="78"/>
      <c r="N876" s="76"/>
      <c r="O876" s="78"/>
      <c r="P876" s="80"/>
      <c r="Q876" s="80"/>
      <c r="R876" s="78"/>
      <c r="S876" s="78"/>
      <c r="T876" s="78"/>
      <c r="U876" s="78"/>
      <c r="V876" s="78"/>
    </row>
    <row r="877" spans="1:22" x14ac:dyDescent="0.25">
      <c r="A877" s="78"/>
      <c r="B877" s="78"/>
      <c r="C877" s="78"/>
      <c r="D877" s="78"/>
      <c r="E877" s="78"/>
      <c r="F877" s="76"/>
      <c r="G877" s="78"/>
      <c r="H877" s="78"/>
      <c r="I877" s="78"/>
      <c r="J877" s="77"/>
      <c r="K877" s="78"/>
      <c r="L877" s="78"/>
      <c r="M877" s="78"/>
      <c r="N877" s="76"/>
      <c r="O877" s="78"/>
      <c r="P877" s="80"/>
      <c r="Q877" s="80"/>
      <c r="R877" s="78"/>
      <c r="S877" s="78"/>
      <c r="T877" s="78"/>
      <c r="U877" s="78"/>
      <c r="V877" s="78"/>
    </row>
    <row r="878" spans="1:22" x14ac:dyDescent="0.25">
      <c r="A878" s="78"/>
      <c r="B878" s="78"/>
      <c r="C878" s="78"/>
      <c r="D878" s="78"/>
      <c r="E878" s="78"/>
      <c r="F878" s="76"/>
      <c r="G878" s="78"/>
      <c r="H878" s="78"/>
      <c r="I878" s="78"/>
      <c r="J878" s="77"/>
      <c r="K878" s="78"/>
      <c r="L878" s="78"/>
      <c r="M878" s="78"/>
      <c r="N878" s="76"/>
      <c r="O878" s="78"/>
      <c r="P878" s="80"/>
      <c r="Q878" s="80"/>
      <c r="R878" s="78"/>
      <c r="S878" s="78"/>
      <c r="T878" s="78"/>
      <c r="U878" s="78"/>
      <c r="V878" s="78"/>
    </row>
    <row r="879" spans="1:22" x14ac:dyDescent="0.25">
      <c r="A879" s="78"/>
      <c r="B879" s="78"/>
      <c r="C879" s="78"/>
      <c r="D879" s="78"/>
      <c r="E879" s="78"/>
      <c r="F879" s="76"/>
      <c r="G879" s="78"/>
      <c r="H879" s="78"/>
      <c r="I879" s="78"/>
      <c r="J879" s="77"/>
      <c r="K879" s="78"/>
      <c r="L879" s="78"/>
      <c r="M879" s="78"/>
      <c r="N879" s="76"/>
      <c r="O879" s="78"/>
      <c r="P879" s="80"/>
      <c r="Q879" s="80"/>
      <c r="R879" s="78"/>
      <c r="S879" s="78"/>
      <c r="T879" s="78"/>
      <c r="U879" s="78"/>
      <c r="V879" s="78"/>
    </row>
    <row r="880" spans="1:22" x14ac:dyDescent="0.25">
      <c r="A880" s="78"/>
      <c r="B880" s="78"/>
      <c r="C880" s="78"/>
      <c r="D880" s="78"/>
      <c r="E880" s="78"/>
      <c r="F880" s="76"/>
      <c r="G880" s="78"/>
      <c r="H880" s="78"/>
      <c r="I880" s="78"/>
      <c r="J880" s="77"/>
      <c r="K880" s="78"/>
      <c r="L880" s="78"/>
      <c r="M880" s="78"/>
      <c r="N880" s="76"/>
      <c r="O880" s="78"/>
      <c r="P880" s="80"/>
      <c r="Q880" s="80"/>
      <c r="R880" s="78"/>
      <c r="S880" s="78"/>
      <c r="T880" s="78"/>
      <c r="U880" s="78"/>
      <c r="V880" s="78"/>
    </row>
    <row r="881" spans="1:22" x14ac:dyDescent="0.25">
      <c r="A881" s="78"/>
      <c r="B881" s="78"/>
      <c r="C881" s="78"/>
      <c r="D881" s="78"/>
      <c r="E881" s="78"/>
      <c r="F881" s="76"/>
      <c r="G881" s="78"/>
      <c r="H881" s="78"/>
      <c r="I881" s="78"/>
      <c r="J881" s="77"/>
      <c r="K881" s="78"/>
      <c r="L881" s="78"/>
      <c r="M881" s="78"/>
      <c r="N881" s="76"/>
      <c r="O881" s="78"/>
      <c r="P881" s="80"/>
      <c r="Q881" s="80"/>
      <c r="R881" s="78"/>
      <c r="S881" s="78"/>
      <c r="T881" s="78"/>
      <c r="U881" s="78"/>
      <c r="V881" s="78"/>
    </row>
    <row r="882" spans="1:22" x14ac:dyDescent="0.25">
      <c r="A882" s="78"/>
      <c r="B882" s="78"/>
      <c r="C882" s="78"/>
      <c r="D882" s="78"/>
      <c r="E882" s="78"/>
      <c r="F882" s="76"/>
      <c r="G882" s="78"/>
      <c r="H882" s="78"/>
      <c r="I882" s="78"/>
      <c r="J882" s="77"/>
      <c r="K882" s="78"/>
      <c r="L882" s="78"/>
      <c r="M882" s="78"/>
      <c r="N882" s="76"/>
      <c r="O882" s="78"/>
      <c r="P882" s="80"/>
      <c r="Q882" s="80"/>
      <c r="R882" s="78"/>
      <c r="S882" s="78"/>
      <c r="T882" s="78"/>
      <c r="U882" s="78"/>
      <c r="V882" s="78"/>
    </row>
    <row r="883" spans="1:22" x14ac:dyDescent="0.25">
      <c r="A883" s="78"/>
      <c r="B883" s="78"/>
      <c r="C883" s="78"/>
      <c r="D883" s="78"/>
      <c r="E883" s="78"/>
      <c r="F883" s="76"/>
      <c r="G883" s="78"/>
      <c r="H883" s="78"/>
      <c r="I883" s="78"/>
      <c r="J883" s="77"/>
      <c r="K883" s="78"/>
      <c r="L883" s="78"/>
      <c r="M883" s="78"/>
      <c r="N883" s="76"/>
      <c r="O883" s="78"/>
      <c r="P883" s="80"/>
      <c r="Q883" s="80"/>
      <c r="R883" s="78"/>
      <c r="S883" s="78"/>
      <c r="T883" s="78"/>
      <c r="U883" s="78"/>
      <c r="V883" s="78"/>
    </row>
    <row r="884" spans="1:22" x14ac:dyDescent="0.25">
      <c r="A884" s="78"/>
      <c r="B884" s="78"/>
      <c r="C884" s="78"/>
      <c r="D884" s="78"/>
      <c r="E884" s="78"/>
      <c r="F884" s="76"/>
      <c r="G884" s="78"/>
      <c r="H884" s="78"/>
      <c r="I884" s="78"/>
      <c r="J884" s="77"/>
      <c r="K884" s="78"/>
      <c r="L884" s="78"/>
      <c r="M884" s="78"/>
      <c r="N884" s="76"/>
      <c r="O884" s="78"/>
      <c r="P884" s="80"/>
      <c r="Q884" s="80"/>
      <c r="R884" s="78"/>
      <c r="S884" s="78"/>
      <c r="T884" s="78"/>
      <c r="U884" s="78"/>
      <c r="V884" s="78"/>
    </row>
    <row r="885" spans="1:22" x14ac:dyDescent="0.25">
      <c r="A885" s="78"/>
      <c r="B885" s="78"/>
      <c r="C885" s="78"/>
      <c r="D885" s="78"/>
      <c r="E885" s="78"/>
      <c r="F885" s="76"/>
      <c r="G885" s="78"/>
      <c r="H885" s="78"/>
      <c r="I885" s="78"/>
      <c r="J885" s="77"/>
      <c r="K885" s="78"/>
      <c r="L885" s="78"/>
      <c r="M885" s="78"/>
      <c r="N885" s="76"/>
      <c r="O885" s="78"/>
      <c r="P885" s="80"/>
      <c r="Q885" s="80"/>
      <c r="R885" s="78"/>
      <c r="S885" s="78"/>
      <c r="T885" s="78"/>
      <c r="U885" s="78"/>
      <c r="V885" s="78"/>
    </row>
    <row r="886" spans="1:22" x14ac:dyDescent="0.25">
      <c r="A886" s="78"/>
      <c r="B886" s="78"/>
      <c r="C886" s="78"/>
      <c r="D886" s="78"/>
      <c r="E886" s="78"/>
      <c r="F886" s="76"/>
      <c r="G886" s="78"/>
      <c r="H886" s="78"/>
      <c r="I886" s="78"/>
      <c r="J886" s="77"/>
      <c r="K886" s="78"/>
      <c r="L886" s="78"/>
      <c r="M886" s="78"/>
      <c r="N886" s="76"/>
      <c r="O886" s="78"/>
      <c r="P886" s="80"/>
      <c r="Q886" s="80"/>
      <c r="R886" s="78"/>
      <c r="S886" s="78"/>
      <c r="T886" s="78"/>
      <c r="U886" s="78"/>
      <c r="V886" s="78"/>
    </row>
    <row r="887" spans="1:22" x14ac:dyDescent="0.25">
      <c r="A887" s="78"/>
      <c r="B887" s="78"/>
      <c r="C887" s="78"/>
      <c r="D887" s="78"/>
      <c r="E887" s="78"/>
      <c r="F887" s="76"/>
      <c r="G887" s="78"/>
      <c r="H887" s="78"/>
      <c r="I887" s="78"/>
      <c r="J887" s="77"/>
      <c r="K887" s="78"/>
      <c r="L887" s="78"/>
      <c r="M887" s="78"/>
      <c r="N887" s="76"/>
      <c r="O887" s="78"/>
      <c r="P887" s="80"/>
      <c r="Q887" s="80"/>
      <c r="R887" s="78"/>
      <c r="S887" s="78"/>
      <c r="T887" s="78"/>
      <c r="U887" s="78"/>
      <c r="V887" s="78"/>
    </row>
    <row r="888" spans="1:22" x14ac:dyDescent="0.25">
      <c r="A888" s="78"/>
      <c r="B888" s="78"/>
      <c r="C888" s="78"/>
      <c r="D888" s="78"/>
      <c r="E888" s="78"/>
      <c r="F888" s="76"/>
      <c r="G888" s="78"/>
      <c r="H888" s="78"/>
      <c r="I888" s="78"/>
      <c r="J888" s="77"/>
      <c r="K888" s="78"/>
      <c r="L888" s="78"/>
      <c r="M888" s="78"/>
      <c r="N888" s="76"/>
      <c r="O888" s="78"/>
      <c r="P888" s="80"/>
      <c r="Q888" s="80"/>
      <c r="R888" s="78"/>
      <c r="S888" s="78"/>
      <c r="T888" s="78"/>
      <c r="U888" s="78"/>
      <c r="V888" s="78"/>
    </row>
    <row r="889" spans="1:22" x14ac:dyDescent="0.25">
      <c r="A889" s="78"/>
      <c r="B889" s="78"/>
      <c r="C889" s="78"/>
      <c r="D889" s="78"/>
      <c r="E889" s="78"/>
      <c r="F889" s="76"/>
      <c r="G889" s="78"/>
      <c r="H889" s="78"/>
      <c r="I889" s="78"/>
      <c r="J889" s="77"/>
      <c r="K889" s="78"/>
      <c r="L889" s="78"/>
      <c r="M889" s="78"/>
      <c r="N889" s="76"/>
      <c r="O889" s="78"/>
      <c r="P889" s="80"/>
      <c r="Q889" s="80"/>
      <c r="R889" s="78"/>
      <c r="S889" s="78"/>
      <c r="T889" s="78"/>
      <c r="U889" s="78"/>
      <c r="V889" s="78"/>
    </row>
    <row r="890" spans="1:22" x14ac:dyDescent="0.25">
      <c r="A890" s="78"/>
      <c r="B890" s="78"/>
      <c r="C890" s="78"/>
      <c r="D890" s="78"/>
      <c r="E890" s="78"/>
      <c r="F890" s="76"/>
      <c r="G890" s="78"/>
      <c r="H890" s="78"/>
      <c r="I890" s="78"/>
      <c r="J890" s="77"/>
      <c r="K890" s="78"/>
      <c r="L890" s="78"/>
      <c r="M890" s="78"/>
      <c r="N890" s="76"/>
      <c r="O890" s="78"/>
      <c r="P890" s="80"/>
      <c r="Q890" s="80"/>
      <c r="R890" s="78"/>
      <c r="S890" s="78"/>
      <c r="T890" s="78"/>
      <c r="U890" s="78"/>
      <c r="V890" s="78"/>
    </row>
    <row r="891" spans="1:22" x14ac:dyDescent="0.25">
      <c r="A891" s="78"/>
      <c r="B891" s="78"/>
      <c r="C891" s="78"/>
      <c r="D891" s="78"/>
      <c r="E891" s="78"/>
      <c r="F891" s="76"/>
      <c r="G891" s="78"/>
      <c r="H891" s="78"/>
      <c r="I891" s="78"/>
      <c r="J891" s="77"/>
      <c r="K891" s="78"/>
      <c r="L891" s="78"/>
      <c r="M891" s="78"/>
      <c r="N891" s="76"/>
      <c r="O891" s="78"/>
      <c r="P891" s="80"/>
      <c r="Q891" s="80"/>
      <c r="R891" s="78"/>
      <c r="S891" s="78"/>
      <c r="T891" s="78"/>
      <c r="U891" s="78"/>
      <c r="V891" s="78"/>
    </row>
    <row r="892" spans="1:22" x14ac:dyDescent="0.25">
      <c r="A892" s="78"/>
      <c r="B892" s="78"/>
      <c r="C892" s="78"/>
      <c r="D892" s="78"/>
      <c r="E892" s="78"/>
      <c r="F892" s="76"/>
      <c r="G892" s="78"/>
      <c r="H892" s="78"/>
      <c r="I892" s="78"/>
      <c r="J892" s="77"/>
      <c r="K892" s="78"/>
      <c r="L892" s="78"/>
      <c r="M892" s="78"/>
      <c r="N892" s="76"/>
      <c r="O892" s="78"/>
      <c r="P892" s="80"/>
      <c r="Q892" s="80"/>
      <c r="R892" s="78"/>
      <c r="S892" s="78"/>
      <c r="T892" s="78"/>
      <c r="U892" s="78"/>
      <c r="V892" s="78"/>
    </row>
    <row r="893" spans="1:22" x14ac:dyDescent="0.25">
      <c r="A893" s="78"/>
      <c r="B893" s="78"/>
      <c r="C893" s="78"/>
      <c r="D893" s="78"/>
      <c r="E893" s="78"/>
      <c r="F893" s="76"/>
      <c r="G893" s="78"/>
      <c r="H893" s="78"/>
      <c r="I893" s="78"/>
      <c r="J893" s="77"/>
      <c r="K893" s="78"/>
      <c r="L893" s="78"/>
      <c r="M893" s="78"/>
      <c r="N893" s="76"/>
      <c r="O893" s="78"/>
      <c r="P893" s="80"/>
      <c r="Q893" s="80"/>
      <c r="R893" s="78"/>
      <c r="S893" s="78"/>
      <c r="T893" s="78"/>
      <c r="U893" s="78"/>
      <c r="V893" s="78"/>
    </row>
    <row r="894" spans="1:22" x14ac:dyDescent="0.25">
      <c r="A894" s="78"/>
      <c r="B894" s="78"/>
      <c r="C894" s="78"/>
      <c r="D894" s="78"/>
      <c r="E894" s="78"/>
      <c r="F894" s="76"/>
      <c r="G894" s="78"/>
      <c r="H894" s="78"/>
      <c r="I894" s="78"/>
      <c r="J894" s="77"/>
      <c r="K894" s="78"/>
      <c r="L894" s="78"/>
      <c r="M894" s="78"/>
      <c r="N894" s="76"/>
      <c r="O894" s="78"/>
      <c r="P894" s="80"/>
      <c r="Q894" s="80"/>
      <c r="R894" s="78"/>
      <c r="S894" s="78"/>
      <c r="T894" s="78"/>
      <c r="U894" s="78"/>
      <c r="V894" s="78"/>
    </row>
    <row r="895" spans="1:22" x14ac:dyDescent="0.25">
      <c r="A895" s="78"/>
      <c r="B895" s="78"/>
      <c r="C895" s="78"/>
      <c r="D895" s="78"/>
      <c r="E895" s="78"/>
      <c r="F895" s="76"/>
      <c r="G895" s="78"/>
      <c r="H895" s="78"/>
      <c r="I895" s="78"/>
      <c r="J895" s="77"/>
      <c r="K895" s="78"/>
      <c r="L895" s="78"/>
      <c r="M895" s="78"/>
      <c r="N895" s="76"/>
      <c r="O895" s="78"/>
      <c r="P895" s="80"/>
      <c r="Q895" s="80"/>
      <c r="R895" s="78"/>
      <c r="S895" s="78"/>
      <c r="T895" s="78"/>
      <c r="U895" s="78"/>
      <c r="V895" s="78"/>
    </row>
    <row r="896" spans="1:22" x14ac:dyDescent="0.25">
      <c r="A896" s="78"/>
      <c r="B896" s="78"/>
      <c r="C896" s="78"/>
      <c r="D896" s="78"/>
      <c r="E896" s="78"/>
      <c r="F896" s="76"/>
      <c r="G896" s="78"/>
      <c r="H896" s="78"/>
      <c r="I896" s="78"/>
      <c r="J896" s="77"/>
      <c r="K896" s="78"/>
      <c r="L896" s="78"/>
      <c r="M896" s="78"/>
      <c r="N896" s="76"/>
      <c r="O896" s="78"/>
      <c r="P896" s="80"/>
      <c r="Q896" s="80"/>
      <c r="R896" s="78"/>
      <c r="S896" s="78"/>
      <c r="T896" s="78"/>
      <c r="U896" s="78"/>
      <c r="V896" s="78"/>
    </row>
    <row r="897" spans="1:22" x14ac:dyDescent="0.25">
      <c r="A897" s="78"/>
      <c r="B897" s="78"/>
      <c r="C897" s="78"/>
      <c r="D897" s="78"/>
      <c r="E897" s="78"/>
      <c r="F897" s="76"/>
      <c r="G897" s="78"/>
      <c r="H897" s="78"/>
      <c r="I897" s="78"/>
      <c r="J897" s="77"/>
      <c r="K897" s="78"/>
      <c r="L897" s="78"/>
      <c r="M897" s="78"/>
      <c r="N897" s="76"/>
      <c r="O897" s="78"/>
      <c r="P897" s="80"/>
      <c r="Q897" s="80"/>
      <c r="R897" s="78"/>
      <c r="S897" s="78"/>
      <c r="T897" s="78"/>
      <c r="U897" s="78"/>
      <c r="V897" s="78"/>
    </row>
    <row r="898" spans="1:22" x14ac:dyDescent="0.25">
      <c r="A898" s="78"/>
      <c r="B898" s="78"/>
      <c r="C898" s="78"/>
      <c r="D898" s="78"/>
      <c r="E898" s="78"/>
      <c r="F898" s="76"/>
      <c r="G898" s="78"/>
      <c r="H898" s="78"/>
      <c r="I898" s="78"/>
      <c r="J898" s="77"/>
      <c r="K898" s="78"/>
      <c r="L898" s="78"/>
      <c r="M898" s="78"/>
      <c r="N898" s="76"/>
      <c r="O898" s="78"/>
      <c r="P898" s="80"/>
      <c r="Q898" s="80"/>
      <c r="R898" s="78"/>
      <c r="S898" s="78"/>
      <c r="T898" s="78"/>
      <c r="U898" s="78"/>
      <c r="V898" s="78"/>
    </row>
    <row r="899" spans="1:22" x14ac:dyDescent="0.25">
      <c r="A899" s="78"/>
      <c r="B899" s="78"/>
      <c r="C899" s="78"/>
      <c r="D899" s="78"/>
      <c r="E899" s="78"/>
      <c r="F899" s="76"/>
      <c r="G899" s="78"/>
      <c r="H899" s="78"/>
      <c r="I899" s="78"/>
      <c r="J899" s="77"/>
      <c r="K899" s="78"/>
      <c r="L899" s="78"/>
      <c r="M899" s="78"/>
      <c r="N899" s="76"/>
      <c r="O899" s="78"/>
      <c r="P899" s="80"/>
      <c r="Q899" s="80"/>
      <c r="R899" s="78"/>
      <c r="S899" s="78"/>
      <c r="T899" s="78"/>
      <c r="U899" s="78"/>
      <c r="V899" s="78"/>
    </row>
    <row r="900" spans="1:22" x14ac:dyDescent="0.25">
      <c r="A900" s="78"/>
      <c r="B900" s="78"/>
      <c r="C900" s="78"/>
      <c r="D900" s="78"/>
      <c r="E900" s="78"/>
      <c r="F900" s="76"/>
      <c r="G900" s="78"/>
      <c r="H900" s="78"/>
      <c r="I900" s="78"/>
      <c r="J900" s="77"/>
      <c r="K900" s="78"/>
      <c r="L900" s="78"/>
      <c r="M900" s="78"/>
      <c r="N900" s="76"/>
      <c r="O900" s="78"/>
      <c r="P900" s="80"/>
      <c r="Q900" s="80"/>
      <c r="R900" s="78"/>
      <c r="S900" s="78"/>
      <c r="T900" s="78"/>
      <c r="U900" s="78"/>
      <c r="V900" s="78"/>
    </row>
    <row r="901" spans="1:22" x14ac:dyDescent="0.25">
      <c r="A901" s="78"/>
      <c r="B901" s="78"/>
      <c r="C901" s="78"/>
      <c r="D901" s="78"/>
      <c r="E901" s="78"/>
      <c r="F901" s="76"/>
      <c r="G901" s="78"/>
      <c r="H901" s="78"/>
      <c r="I901" s="78"/>
      <c r="J901" s="77"/>
      <c r="K901" s="78"/>
      <c r="L901" s="78"/>
      <c r="M901" s="78"/>
      <c r="N901" s="76"/>
      <c r="O901" s="78"/>
      <c r="P901" s="80"/>
      <c r="Q901" s="80"/>
      <c r="R901" s="78"/>
      <c r="S901" s="78"/>
      <c r="T901" s="78"/>
      <c r="U901" s="78"/>
      <c r="V901" s="78"/>
    </row>
    <row r="902" spans="1:22" x14ac:dyDescent="0.25">
      <c r="A902" s="78"/>
      <c r="B902" s="78"/>
      <c r="C902" s="78"/>
      <c r="D902" s="78"/>
      <c r="E902" s="78"/>
      <c r="F902" s="76"/>
      <c r="G902" s="78"/>
      <c r="H902" s="78"/>
      <c r="I902" s="78"/>
      <c r="J902" s="77"/>
      <c r="K902" s="78"/>
      <c r="L902" s="78"/>
      <c r="M902" s="78"/>
      <c r="N902" s="76"/>
      <c r="O902" s="78"/>
      <c r="P902" s="80"/>
      <c r="Q902" s="80"/>
      <c r="R902" s="78"/>
      <c r="S902" s="78"/>
      <c r="T902" s="78"/>
      <c r="U902" s="78"/>
      <c r="V902" s="78"/>
    </row>
    <row r="903" spans="1:22" x14ac:dyDescent="0.25">
      <c r="A903" s="78"/>
      <c r="B903" s="78"/>
      <c r="C903" s="78"/>
      <c r="D903" s="78"/>
      <c r="E903" s="78"/>
      <c r="F903" s="76"/>
      <c r="G903" s="78"/>
      <c r="H903" s="78"/>
      <c r="I903" s="78"/>
      <c r="J903" s="77"/>
      <c r="K903" s="78"/>
      <c r="L903" s="78"/>
      <c r="M903" s="78"/>
      <c r="N903" s="76"/>
      <c r="O903" s="78"/>
      <c r="P903" s="80"/>
      <c r="Q903" s="80"/>
      <c r="R903" s="78"/>
      <c r="S903" s="78"/>
      <c r="T903" s="78"/>
      <c r="U903" s="78"/>
      <c r="V903" s="78"/>
    </row>
    <row r="904" spans="1:22" x14ac:dyDescent="0.25">
      <c r="A904" s="78"/>
      <c r="B904" s="78"/>
      <c r="C904" s="78"/>
      <c r="D904" s="78"/>
      <c r="E904" s="78"/>
      <c r="F904" s="76"/>
      <c r="G904" s="78"/>
      <c r="H904" s="78"/>
      <c r="I904" s="78"/>
      <c r="J904" s="77"/>
      <c r="K904" s="78"/>
      <c r="L904" s="78"/>
      <c r="M904" s="78"/>
      <c r="N904" s="76"/>
      <c r="O904" s="78"/>
      <c r="P904" s="80"/>
      <c r="Q904" s="80"/>
      <c r="R904" s="78"/>
      <c r="S904" s="78"/>
      <c r="T904" s="78"/>
      <c r="U904" s="78"/>
      <c r="V904" s="78"/>
    </row>
    <row r="905" spans="1:22" x14ac:dyDescent="0.25">
      <c r="A905" s="78"/>
      <c r="B905" s="78"/>
      <c r="C905" s="78"/>
      <c r="D905" s="78"/>
      <c r="E905" s="78"/>
      <c r="F905" s="76"/>
      <c r="G905" s="78"/>
      <c r="H905" s="78"/>
      <c r="I905" s="78"/>
      <c r="J905" s="77"/>
      <c r="K905" s="78"/>
      <c r="L905" s="78"/>
      <c r="M905" s="78"/>
      <c r="N905" s="76"/>
      <c r="O905" s="78"/>
      <c r="P905" s="80"/>
      <c r="Q905" s="80"/>
      <c r="R905" s="78"/>
      <c r="S905" s="78"/>
      <c r="T905" s="78"/>
      <c r="U905" s="78"/>
      <c r="V905" s="78"/>
    </row>
    <row r="906" spans="1:22" x14ac:dyDescent="0.25">
      <c r="A906" s="78"/>
      <c r="B906" s="78"/>
      <c r="C906" s="78"/>
      <c r="D906" s="78"/>
      <c r="E906" s="78"/>
      <c r="F906" s="76"/>
      <c r="G906" s="78"/>
      <c r="H906" s="78"/>
      <c r="I906" s="78"/>
      <c r="J906" s="77"/>
      <c r="K906" s="78"/>
      <c r="L906" s="78"/>
      <c r="M906" s="78"/>
      <c r="N906" s="76"/>
      <c r="O906" s="78"/>
      <c r="P906" s="80"/>
      <c r="Q906" s="80"/>
      <c r="R906" s="78"/>
      <c r="S906" s="78"/>
      <c r="T906" s="78"/>
      <c r="U906" s="78"/>
      <c r="V906" s="78"/>
    </row>
    <row r="907" spans="1:22" x14ac:dyDescent="0.25">
      <c r="A907" s="78"/>
      <c r="B907" s="78"/>
      <c r="C907" s="78"/>
      <c r="D907" s="78"/>
      <c r="E907" s="78"/>
      <c r="F907" s="76"/>
      <c r="G907" s="78"/>
      <c r="H907" s="78"/>
      <c r="I907" s="78"/>
      <c r="J907" s="77"/>
      <c r="K907" s="78"/>
      <c r="L907" s="78"/>
      <c r="M907" s="78"/>
      <c r="N907" s="76"/>
      <c r="O907" s="78"/>
      <c r="P907" s="80"/>
      <c r="Q907" s="80"/>
      <c r="R907" s="78"/>
      <c r="S907" s="78"/>
      <c r="T907" s="78"/>
      <c r="U907" s="78"/>
      <c r="V907" s="78"/>
    </row>
    <row r="908" spans="1:22" x14ac:dyDescent="0.25">
      <c r="A908" s="78"/>
      <c r="B908" s="78"/>
      <c r="C908" s="78"/>
      <c r="D908" s="78"/>
      <c r="E908" s="78"/>
      <c r="F908" s="76"/>
      <c r="G908" s="78"/>
      <c r="H908" s="78"/>
      <c r="I908" s="78"/>
      <c r="J908" s="77"/>
      <c r="K908" s="78"/>
      <c r="L908" s="78"/>
      <c r="M908" s="78"/>
      <c r="N908" s="76"/>
      <c r="O908" s="78"/>
      <c r="P908" s="80"/>
      <c r="Q908" s="80"/>
      <c r="R908" s="78"/>
      <c r="S908" s="78"/>
      <c r="T908" s="78"/>
      <c r="U908" s="78"/>
      <c r="V908" s="78"/>
    </row>
    <row r="909" spans="1:22" x14ac:dyDescent="0.25">
      <c r="A909" s="78"/>
      <c r="B909" s="78"/>
      <c r="C909" s="78"/>
      <c r="D909" s="78"/>
      <c r="E909" s="78"/>
      <c r="F909" s="76"/>
      <c r="G909" s="78"/>
      <c r="H909" s="78"/>
      <c r="I909" s="78"/>
      <c r="J909" s="77"/>
      <c r="K909" s="78"/>
      <c r="L909" s="78"/>
      <c r="M909" s="78"/>
      <c r="N909" s="76"/>
      <c r="O909" s="78"/>
      <c r="P909" s="80"/>
      <c r="Q909" s="80"/>
      <c r="R909" s="78"/>
      <c r="S909" s="78"/>
      <c r="T909" s="78"/>
      <c r="U909" s="78"/>
      <c r="V909" s="78"/>
    </row>
    <row r="910" spans="1:22" x14ac:dyDescent="0.25">
      <c r="A910" s="78"/>
      <c r="B910" s="78"/>
      <c r="C910" s="78"/>
      <c r="D910" s="78"/>
      <c r="E910" s="78"/>
      <c r="F910" s="76"/>
      <c r="G910" s="78"/>
      <c r="H910" s="78"/>
      <c r="I910" s="78"/>
      <c r="J910" s="77"/>
      <c r="K910" s="78"/>
      <c r="L910" s="78"/>
      <c r="M910" s="78"/>
      <c r="N910" s="76"/>
      <c r="O910" s="78"/>
      <c r="P910" s="80"/>
      <c r="Q910" s="80"/>
      <c r="R910" s="78"/>
      <c r="S910" s="78"/>
      <c r="T910" s="78"/>
      <c r="U910" s="78"/>
      <c r="V910" s="78"/>
    </row>
    <row r="911" spans="1:22" x14ac:dyDescent="0.25">
      <c r="A911" s="78"/>
      <c r="B911" s="78"/>
      <c r="C911" s="78"/>
      <c r="D911" s="78"/>
      <c r="E911" s="78"/>
      <c r="F911" s="76"/>
      <c r="G911" s="78"/>
      <c r="H911" s="78"/>
      <c r="I911" s="78"/>
      <c r="J911" s="77"/>
      <c r="K911" s="78"/>
      <c r="L911" s="78"/>
      <c r="M911" s="78"/>
      <c r="N911" s="76"/>
      <c r="O911" s="78"/>
      <c r="P911" s="80"/>
      <c r="Q911" s="80"/>
      <c r="R911" s="78"/>
      <c r="S911" s="78"/>
      <c r="T911" s="78"/>
      <c r="U911" s="78"/>
      <c r="V911" s="78"/>
    </row>
    <row r="912" spans="1:22" x14ac:dyDescent="0.25">
      <c r="A912" s="78"/>
      <c r="B912" s="78"/>
      <c r="C912" s="78"/>
      <c r="D912" s="78"/>
      <c r="E912" s="78"/>
      <c r="F912" s="76"/>
      <c r="G912" s="78"/>
      <c r="H912" s="78"/>
      <c r="I912" s="78"/>
      <c r="J912" s="77"/>
      <c r="K912" s="78"/>
      <c r="L912" s="78"/>
      <c r="M912" s="78"/>
      <c r="N912" s="76"/>
      <c r="O912" s="78"/>
      <c r="P912" s="80"/>
      <c r="Q912" s="80"/>
      <c r="R912" s="78"/>
      <c r="S912" s="78"/>
      <c r="T912" s="78"/>
      <c r="U912" s="78"/>
      <c r="V912" s="78"/>
    </row>
    <row r="913" spans="1:22" x14ac:dyDescent="0.25">
      <c r="A913" s="78"/>
      <c r="B913" s="78"/>
      <c r="C913" s="78"/>
      <c r="D913" s="78"/>
      <c r="E913" s="78"/>
      <c r="F913" s="76"/>
      <c r="G913" s="78"/>
      <c r="H913" s="78"/>
      <c r="I913" s="78"/>
      <c r="J913" s="77"/>
      <c r="K913" s="78"/>
      <c r="L913" s="78"/>
      <c r="M913" s="78"/>
      <c r="N913" s="76"/>
      <c r="O913" s="78"/>
      <c r="P913" s="80"/>
      <c r="Q913" s="80"/>
      <c r="R913" s="78"/>
      <c r="S913" s="78"/>
      <c r="T913" s="78"/>
      <c r="U913" s="78"/>
      <c r="V913" s="78"/>
    </row>
    <row r="914" spans="1:22" x14ac:dyDescent="0.25">
      <c r="A914" s="78"/>
      <c r="B914" s="78"/>
      <c r="C914" s="78"/>
      <c r="D914" s="78"/>
      <c r="E914" s="78"/>
      <c r="F914" s="76"/>
      <c r="G914" s="78"/>
      <c r="H914" s="78"/>
      <c r="I914" s="78"/>
      <c r="J914" s="77"/>
      <c r="K914" s="78"/>
      <c r="L914" s="78"/>
      <c r="M914" s="78"/>
      <c r="N914" s="76"/>
      <c r="O914" s="78"/>
      <c r="P914" s="80"/>
      <c r="Q914" s="80"/>
      <c r="R914" s="78"/>
      <c r="S914" s="78"/>
      <c r="T914" s="78"/>
      <c r="U914" s="78"/>
      <c r="V914" s="78"/>
    </row>
    <row r="915" spans="1:22" x14ac:dyDescent="0.25">
      <c r="A915" s="78"/>
      <c r="B915" s="78"/>
      <c r="C915" s="78"/>
      <c r="D915" s="78"/>
      <c r="E915" s="78"/>
      <c r="F915" s="76"/>
      <c r="G915" s="78"/>
      <c r="H915" s="78"/>
      <c r="I915" s="78"/>
      <c r="J915" s="77"/>
      <c r="K915" s="78"/>
      <c r="L915" s="78"/>
      <c r="M915" s="78"/>
      <c r="N915" s="76"/>
      <c r="O915" s="78"/>
      <c r="P915" s="80"/>
      <c r="Q915" s="80"/>
      <c r="R915" s="78"/>
      <c r="S915" s="78"/>
      <c r="T915" s="78"/>
      <c r="U915" s="78"/>
      <c r="V915" s="78"/>
    </row>
    <row r="916" spans="1:22" x14ac:dyDescent="0.25">
      <c r="A916" s="78"/>
      <c r="B916" s="78"/>
      <c r="C916" s="78"/>
      <c r="D916" s="78"/>
      <c r="E916" s="78"/>
      <c r="F916" s="76"/>
      <c r="G916" s="78"/>
      <c r="H916" s="78"/>
      <c r="I916" s="78"/>
      <c r="J916" s="77"/>
      <c r="K916" s="78"/>
      <c r="L916" s="78"/>
      <c r="M916" s="78"/>
      <c r="N916" s="76"/>
      <c r="O916" s="78"/>
      <c r="P916" s="80"/>
      <c r="Q916" s="80"/>
      <c r="R916" s="78"/>
      <c r="S916" s="78"/>
      <c r="T916" s="78"/>
      <c r="U916" s="78"/>
      <c r="V916" s="78"/>
    </row>
    <row r="917" spans="1:22" x14ac:dyDescent="0.25">
      <c r="A917" s="78"/>
      <c r="B917" s="78"/>
      <c r="C917" s="78"/>
      <c r="D917" s="78"/>
      <c r="E917" s="78"/>
      <c r="F917" s="76"/>
      <c r="G917" s="78"/>
      <c r="H917" s="78"/>
      <c r="I917" s="78"/>
      <c r="J917" s="77"/>
      <c r="K917" s="78"/>
      <c r="L917" s="78"/>
      <c r="M917" s="78"/>
      <c r="N917" s="76"/>
      <c r="O917" s="78"/>
      <c r="P917" s="80"/>
      <c r="Q917" s="80"/>
      <c r="R917" s="78"/>
      <c r="S917" s="78"/>
      <c r="T917" s="78"/>
      <c r="U917" s="78"/>
      <c r="V917" s="78"/>
    </row>
    <row r="918" spans="1:22" x14ac:dyDescent="0.25">
      <c r="A918" s="78"/>
      <c r="B918" s="78"/>
      <c r="C918" s="78"/>
      <c r="D918" s="78"/>
      <c r="E918" s="78"/>
      <c r="F918" s="76"/>
      <c r="G918" s="78"/>
      <c r="H918" s="78"/>
      <c r="I918" s="78"/>
      <c r="J918" s="77"/>
      <c r="K918" s="78"/>
      <c r="L918" s="78"/>
      <c r="M918" s="78"/>
      <c r="N918" s="76"/>
      <c r="O918" s="78"/>
      <c r="P918" s="80"/>
      <c r="Q918" s="80"/>
      <c r="R918" s="78"/>
      <c r="S918" s="78"/>
      <c r="T918" s="78"/>
      <c r="U918" s="78"/>
      <c r="V918" s="78"/>
    </row>
    <row r="919" spans="1:22" x14ac:dyDescent="0.25">
      <c r="A919" s="78"/>
      <c r="B919" s="78"/>
      <c r="C919" s="78"/>
      <c r="D919" s="78"/>
      <c r="E919" s="78"/>
      <c r="F919" s="76"/>
      <c r="G919" s="78"/>
      <c r="H919" s="78"/>
      <c r="I919" s="78"/>
      <c r="J919" s="77"/>
      <c r="K919" s="78"/>
      <c r="L919" s="78"/>
      <c r="M919" s="78"/>
      <c r="N919" s="76"/>
      <c r="O919" s="78"/>
      <c r="P919" s="80"/>
      <c r="Q919" s="80"/>
      <c r="R919" s="78"/>
      <c r="S919" s="78"/>
      <c r="T919" s="78"/>
      <c r="U919" s="78"/>
      <c r="V919" s="78"/>
    </row>
    <row r="920" spans="1:22" x14ac:dyDescent="0.25">
      <c r="A920" s="78"/>
      <c r="B920" s="78"/>
      <c r="C920" s="78"/>
      <c r="D920" s="78"/>
      <c r="E920" s="78"/>
      <c r="F920" s="76"/>
      <c r="G920" s="78"/>
      <c r="H920" s="78"/>
      <c r="I920" s="78"/>
      <c r="J920" s="77"/>
      <c r="K920" s="78"/>
      <c r="L920" s="78"/>
      <c r="M920" s="78"/>
      <c r="N920" s="76"/>
      <c r="O920" s="78"/>
      <c r="P920" s="80"/>
      <c r="Q920" s="80"/>
      <c r="R920" s="78"/>
      <c r="S920" s="78"/>
      <c r="T920" s="78"/>
      <c r="U920" s="78"/>
      <c r="V920" s="78"/>
    </row>
    <row r="921" spans="1:22" x14ac:dyDescent="0.25">
      <c r="A921" s="78"/>
      <c r="B921" s="78"/>
      <c r="C921" s="78"/>
      <c r="D921" s="78"/>
      <c r="E921" s="78"/>
      <c r="F921" s="76"/>
      <c r="G921" s="78"/>
      <c r="H921" s="78"/>
      <c r="I921" s="78"/>
      <c r="J921" s="77"/>
      <c r="K921" s="78"/>
      <c r="L921" s="78"/>
      <c r="M921" s="78"/>
      <c r="N921" s="76"/>
      <c r="O921" s="78"/>
      <c r="P921" s="80"/>
      <c r="Q921" s="80"/>
      <c r="R921" s="78"/>
      <c r="S921" s="78"/>
      <c r="T921" s="78"/>
      <c r="U921" s="78"/>
      <c r="V921" s="78"/>
    </row>
    <row r="922" spans="1:22" x14ac:dyDescent="0.25">
      <c r="A922" s="78"/>
      <c r="B922" s="78"/>
      <c r="C922" s="78"/>
      <c r="D922" s="78"/>
      <c r="E922" s="78"/>
      <c r="F922" s="76"/>
      <c r="G922" s="78"/>
      <c r="H922" s="78"/>
      <c r="I922" s="78"/>
      <c r="J922" s="77"/>
      <c r="K922" s="78"/>
      <c r="L922" s="78"/>
      <c r="M922" s="78"/>
      <c r="N922" s="76"/>
      <c r="O922" s="78"/>
      <c r="P922" s="80"/>
      <c r="Q922" s="80"/>
      <c r="R922" s="78"/>
      <c r="S922" s="78"/>
      <c r="T922" s="78"/>
      <c r="U922" s="78"/>
      <c r="V922" s="78"/>
    </row>
    <row r="923" spans="1:22" x14ac:dyDescent="0.25">
      <c r="A923" s="78"/>
      <c r="B923" s="78"/>
      <c r="C923" s="78"/>
      <c r="D923" s="78"/>
      <c r="E923" s="78"/>
      <c r="F923" s="76"/>
      <c r="G923" s="78"/>
      <c r="H923" s="78"/>
      <c r="I923" s="78"/>
      <c r="J923" s="77"/>
      <c r="K923" s="78"/>
      <c r="L923" s="78"/>
      <c r="M923" s="78"/>
      <c r="N923" s="76"/>
      <c r="O923" s="78"/>
      <c r="P923" s="80"/>
      <c r="Q923" s="80"/>
      <c r="R923" s="78"/>
      <c r="S923" s="78"/>
      <c r="T923" s="78"/>
      <c r="U923" s="78"/>
      <c r="V923" s="78"/>
    </row>
    <row r="924" spans="1:22" x14ac:dyDescent="0.25">
      <c r="A924" s="78"/>
      <c r="B924" s="78"/>
      <c r="C924" s="78"/>
      <c r="D924" s="78"/>
      <c r="E924" s="78"/>
      <c r="F924" s="76"/>
      <c r="G924" s="78"/>
      <c r="H924" s="78"/>
      <c r="I924" s="78"/>
      <c r="J924" s="77"/>
      <c r="K924" s="78"/>
      <c r="L924" s="78"/>
      <c r="M924" s="78"/>
      <c r="N924" s="76"/>
      <c r="O924" s="78"/>
      <c r="P924" s="80"/>
      <c r="Q924" s="80"/>
      <c r="R924" s="78"/>
      <c r="S924" s="78"/>
      <c r="T924" s="78"/>
      <c r="U924" s="78"/>
      <c r="V924" s="78"/>
    </row>
    <row r="925" spans="1:22" x14ac:dyDescent="0.25">
      <c r="A925" s="78"/>
      <c r="B925" s="78"/>
      <c r="C925" s="78"/>
      <c r="D925" s="78"/>
      <c r="E925" s="78"/>
      <c r="F925" s="76"/>
      <c r="G925" s="78"/>
      <c r="H925" s="78"/>
      <c r="I925" s="78"/>
      <c r="J925" s="77"/>
      <c r="K925" s="78"/>
      <c r="L925" s="78"/>
      <c r="M925" s="78"/>
      <c r="N925" s="76"/>
      <c r="O925" s="78"/>
      <c r="P925" s="80"/>
      <c r="Q925" s="80"/>
      <c r="R925" s="78"/>
      <c r="S925" s="78"/>
      <c r="T925" s="78"/>
      <c r="U925" s="78"/>
      <c r="V925" s="78"/>
    </row>
    <row r="926" spans="1:22" x14ac:dyDescent="0.25">
      <c r="A926" s="78"/>
      <c r="B926" s="78"/>
      <c r="C926" s="78"/>
      <c r="D926" s="78"/>
      <c r="E926" s="78"/>
      <c r="F926" s="76"/>
      <c r="G926" s="78"/>
      <c r="H926" s="78"/>
      <c r="I926" s="78"/>
      <c r="J926" s="77"/>
      <c r="K926" s="78"/>
      <c r="L926" s="78"/>
      <c r="M926" s="78"/>
      <c r="N926" s="76"/>
      <c r="O926" s="78"/>
      <c r="P926" s="80"/>
      <c r="Q926" s="80"/>
      <c r="R926" s="78"/>
      <c r="S926" s="78"/>
      <c r="T926" s="78"/>
      <c r="U926" s="78"/>
      <c r="V926" s="78"/>
    </row>
    <row r="927" spans="1:22" x14ac:dyDescent="0.25">
      <c r="A927" s="78"/>
      <c r="B927" s="78"/>
      <c r="C927" s="78"/>
      <c r="D927" s="78"/>
      <c r="E927" s="78"/>
      <c r="F927" s="76"/>
      <c r="G927" s="78"/>
      <c r="H927" s="78"/>
      <c r="I927" s="78"/>
      <c r="J927" s="77"/>
      <c r="K927" s="78"/>
      <c r="L927" s="78"/>
      <c r="M927" s="78"/>
      <c r="N927" s="76"/>
      <c r="O927" s="78"/>
      <c r="P927" s="80"/>
      <c r="Q927" s="80"/>
      <c r="R927" s="78"/>
      <c r="S927" s="78"/>
      <c r="T927" s="78"/>
      <c r="U927" s="78"/>
      <c r="V927" s="78"/>
    </row>
    <row r="928" spans="1:22" x14ac:dyDescent="0.25">
      <c r="A928" s="78"/>
      <c r="B928" s="78"/>
      <c r="C928" s="78"/>
      <c r="D928" s="78"/>
      <c r="E928" s="78"/>
      <c r="F928" s="76"/>
      <c r="G928" s="78"/>
      <c r="H928" s="78"/>
      <c r="I928" s="78"/>
      <c r="J928" s="77"/>
      <c r="K928" s="78"/>
      <c r="L928" s="78"/>
      <c r="M928" s="78"/>
      <c r="N928" s="76"/>
      <c r="O928" s="78"/>
      <c r="P928" s="80"/>
      <c r="Q928" s="80"/>
      <c r="R928" s="78"/>
      <c r="S928" s="78"/>
      <c r="T928" s="78"/>
      <c r="U928" s="78"/>
      <c r="V928" s="78"/>
    </row>
    <row r="929" spans="1:22" x14ac:dyDescent="0.25">
      <c r="A929" s="78"/>
      <c r="B929" s="78"/>
      <c r="C929" s="78"/>
      <c r="D929" s="78"/>
      <c r="E929" s="78"/>
      <c r="F929" s="76"/>
      <c r="G929" s="78"/>
      <c r="H929" s="78"/>
      <c r="I929" s="78"/>
      <c r="J929" s="77"/>
      <c r="K929" s="78"/>
      <c r="L929" s="78"/>
      <c r="M929" s="78"/>
      <c r="N929" s="76"/>
      <c r="O929" s="78"/>
      <c r="P929" s="80"/>
      <c r="Q929" s="80"/>
      <c r="R929" s="78"/>
      <c r="S929" s="78"/>
      <c r="T929" s="78"/>
      <c r="U929" s="78"/>
      <c r="V929" s="78"/>
    </row>
    <row r="930" spans="1:22" x14ac:dyDescent="0.25">
      <c r="A930" s="78"/>
      <c r="B930" s="78"/>
      <c r="C930" s="78"/>
      <c r="D930" s="78"/>
      <c r="E930" s="78"/>
      <c r="F930" s="76"/>
      <c r="G930" s="78"/>
      <c r="H930" s="78"/>
      <c r="I930" s="78"/>
      <c r="J930" s="77"/>
      <c r="K930" s="78"/>
      <c r="L930" s="78"/>
      <c r="M930" s="78"/>
      <c r="N930" s="76"/>
      <c r="O930" s="78"/>
      <c r="P930" s="80"/>
      <c r="Q930" s="80"/>
      <c r="R930" s="78"/>
      <c r="S930" s="78"/>
      <c r="T930" s="78"/>
      <c r="U930" s="78"/>
      <c r="V930" s="78"/>
    </row>
    <row r="931" spans="1:22" x14ac:dyDescent="0.25">
      <c r="A931" s="78"/>
      <c r="B931" s="78"/>
      <c r="C931" s="78"/>
      <c r="D931" s="78"/>
      <c r="E931" s="78"/>
      <c r="F931" s="76"/>
      <c r="G931" s="78"/>
      <c r="H931" s="78"/>
      <c r="I931" s="78"/>
      <c r="J931" s="77"/>
      <c r="K931" s="78"/>
      <c r="L931" s="78"/>
      <c r="M931" s="78"/>
      <c r="N931" s="76"/>
      <c r="O931" s="78"/>
      <c r="P931" s="80"/>
      <c r="Q931" s="80"/>
      <c r="R931" s="78"/>
      <c r="S931" s="78"/>
      <c r="T931" s="78"/>
      <c r="U931" s="78"/>
      <c r="V931" s="78"/>
    </row>
    <row r="932" spans="1:22" x14ac:dyDescent="0.25">
      <c r="A932" s="78"/>
      <c r="B932" s="78"/>
      <c r="C932" s="78"/>
      <c r="D932" s="78"/>
      <c r="E932" s="78"/>
      <c r="F932" s="76"/>
      <c r="G932" s="78"/>
      <c r="H932" s="78"/>
      <c r="I932" s="78"/>
      <c r="J932" s="77"/>
      <c r="K932" s="78"/>
      <c r="L932" s="78"/>
      <c r="M932" s="78"/>
      <c r="N932" s="76"/>
      <c r="O932" s="78"/>
      <c r="P932" s="80"/>
      <c r="Q932" s="80"/>
      <c r="R932" s="78"/>
      <c r="S932" s="78"/>
      <c r="T932" s="78"/>
      <c r="U932" s="78"/>
      <c r="V932" s="78"/>
    </row>
    <row r="933" spans="1:22" x14ac:dyDescent="0.25">
      <c r="A933" s="78"/>
      <c r="B933" s="78"/>
      <c r="C933" s="78"/>
      <c r="D933" s="78"/>
      <c r="E933" s="78"/>
      <c r="F933" s="76"/>
      <c r="G933" s="78"/>
      <c r="H933" s="78"/>
      <c r="I933" s="78"/>
      <c r="J933" s="77"/>
      <c r="K933" s="78"/>
      <c r="L933" s="78"/>
      <c r="M933" s="78"/>
      <c r="N933" s="76"/>
      <c r="O933" s="78"/>
      <c r="P933" s="80"/>
      <c r="Q933" s="80"/>
      <c r="R933" s="78"/>
      <c r="S933" s="78"/>
      <c r="T933" s="78"/>
      <c r="U933" s="78"/>
      <c r="V933" s="78"/>
    </row>
    <row r="934" spans="1:22" x14ac:dyDescent="0.25">
      <c r="A934" s="78"/>
      <c r="B934" s="78"/>
      <c r="C934" s="78"/>
      <c r="D934" s="78"/>
      <c r="E934" s="78"/>
      <c r="F934" s="76"/>
      <c r="G934" s="78"/>
      <c r="H934" s="78"/>
      <c r="I934" s="78"/>
      <c r="J934" s="77"/>
      <c r="K934" s="78"/>
      <c r="L934" s="78"/>
      <c r="M934" s="78"/>
      <c r="N934" s="76"/>
      <c r="O934" s="78"/>
      <c r="P934" s="80"/>
      <c r="Q934" s="80"/>
      <c r="R934" s="78"/>
      <c r="S934" s="78"/>
      <c r="T934" s="78"/>
      <c r="U934" s="78"/>
      <c r="V934" s="78"/>
    </row>
    <row r="935" spans="1:22" x14ac:dyDescent="0.25">
      <c r="A935" s="78"/>
      <c r="B935" s="78"/>
      <c r="C935" s="78"/>
      <c r="D935" s="78"/>
      <c r="E935" s="78"/>
      <c r="F935" s="76"/>
      <c r="G935" s="78"/>
      <c r="H935" s="78"/>
      <c r="I935" s="78"/>
      <c r="J935" s="77"/>
      <c r="K935" s="78"/>
      <c r="L935" s="78"/>
      <c r="M935" s="78"/>
      <c r="N935" s="76"/>
      <c r="O935" s="78"/>
      <c r="P935" s="80"/>
      <c r="Q935" s="80"/>
      <c r="R935" s="78"/>
      <c r="S935" s="78"/>
      <c r="T935" s="78"/>
      <c r="U935" s="78"/>
      <c r="V935" s="78"/>
    </row>
    <row r="936" spans="1:22" x14ac:dyDescent="0.25">
      <c r="A936" s="78"/>
      <c r="B936" s="78"/>
      <c r="C936" s="78"/>
      <c r="D936" s="78"/>
      <c r="E936" s="78"/>
      <c r="F936" s="76"/>
      <c r="G936" s="78"/>
      <c r="H936" s="78"/>
      <c r="I936" s="78"/>
      <c r="J936" s="77"/>
      <c r="K936" s="78"/>
      <c r="L936" s="78"/>
      <c r="M936" s="78"/>
      <c r="N936" s="76"/>
      <c r="O936" s="78"/>
      <c r="P936" s="80"/>
      <c r="Q936" s="80"/>
      <c r="R936" s="78"/>
      <c r="S936" s="78"/>
      <c r="T936" s="78"/>
      <c r="U936" s="78"/>
      <c r="V936" s="78"/>
    </row>
    <row r="937" spans="1:22" x14ac:dyDescent="0.25">
      <c r="A937" s="78"/>
      <c r="B937" s="78"/>
      <c r="C937" s="78"/>
      <c r="D937" s="78"/>
      <c r="E937" s="78"/>
      <c r="F937" s="76"/>
      <c r="G937" s="78"/>
      <c r="H937" s="78"/>
      <c r="I937" s="78"/>
      <c r="J937" s="77"/>
      <c r="K937" s="78"/>
      <c r="L937" s="78"/>
      <c r="M937" s="78"/>
      <c r="N937" s="76"/>
      <c r="O937" s="78"/>
      <c r="P937" s="80"/>
      <c r="Q937" s="80"/>
      <c r="R937" s="78"/>
      <c r="S937" s="78"/>
      <c r="T937" s="78"/>
      <c r="U937" s="78"/>
      <c r="V937" s="78"/>
    </row>
    <row r="938" spans="1:22" x14ac:dyDescent="0.25">
      <c r="A938" s="78"/>
      <c r="B938" s="78"/>
      <c r="C938" s="78"/>
      <c r="D938" s="78"/>
      <c r="E938" s="78"/>
      <c r="F938" s="76"/>
      <c r="G938" s="78"/>
      <c r="H938" s="78"/>
      <c r="I938" s="78"/>
      <c r="J938" s="77"/>
      <c r="K938" s="78"/>
      <c r="L938" s="78"/>
      <c r="M938" s="78"/>
      <c r="N938" s="76"/>
      <c r="O938" s="78"/>
      <c r="P938" s="80"/>
      <c r="Q938" s="80"/>
      <c r="R938" s="78"/>
      <c r="S938" s="78"/>
      <c r="T938" s="78"/>
      <c r="U938" s="78"/>
      <c r="V938" s="78"/>
    </row>
    <row r="939" spans="1:22" x14ac:dyDescent="0.25">
      <c r="A939" s="78"/>
      <c r="B939" s="78"/>
      <c r="C939" s="78"/>
      <c r="D939" s="78"/>
      <c r="E939" s="78"/>
      <c r="F939" s="76"/>
      <c r="G939" s="78"/>
      <c r="H939" s="78"/>
      <c r="I939" s="78"/>
      <c r="J939" s="77"/>
      <c r="K939" s="78"/>
      <c r="L939" s="78"/>
      <c r="M939" s="78"/>
      <c r="N939" s="76"/>
      <c r="O939" s="78"/>
      <c r="P939" s="80"/>
      <c r="Q939" s="80"/>
      <c r="R939" s="78"/>
      <c r="S939" s="78"/>
      <c r="T939" s="78"/>
      <c r="U939" s="78"/>
      <c r="V939" s="78"/>
    </row>
    <row r="940" spans="1:22" x14ac:dyDescent="0.25">
      <c r="A940" s="78"/>
      <c r="B940" s="78"/>
      <c r="C940" s="78"/>
      <c r="D940" s="78"/>
      <c r="E940" s="78"/>
      <c r="F940" s="76"/>
      <c r="G940" s="78"/>
      <c r="H940" s="78"/>
      <c r="I940" s="78"/>
      <c r="J940" s="77"/>
      <c r="K940" s="78"/>
      <c r="L940" s="78"/>
      <c r="M940" s="78"/>
      <c r="N940" s="76"/>
      <c r="O940" s="78"/>
      <c r="P940" s="80"/>
      <c r="Q940" s="80"/>
      <c r="R940" s="78"/>
      <c r="S940" s="78"/>
      <c r="T940" s="78"/>
      <c r="U940" s="78"/>
      <c r="V940" s="78"/>
    </row>
    <row r="941" spans="1:22" x14ac:dyDescent="0.25">
      <c r="A941" s="78"/>
      <c r="B941" s="78"/>
      <c r="C941" s="78"/>
      <c r="D941" s="78"/>
      <c r="E941" s="78"/>
      <c r="F941" s="76"/>
      <c r="G941" s="78"/>
      <c r="H941" s="78"/>
      <c r="I941" s="78"/>
      <c r="J941" s="77"/>
      <c r="K941" s="78"/>
      <c r="L941" s="78"/>
      <c r="M941" s="78"/>
      <c r="N941" s="76"/>
      <c r="O941" s="78"/>
      <c r="P941" s="80"/>
      <c r="Q941" s="80"/>
      <c r="R941" s="78"/>
      <c r="S941" s="78"/>
      <c r="T941" s="78"/>
      <c r="U941" s="78"/>
      <c r="V941" s="78"/>
    </row>
    <row r="942" spans="1:22" x14ac:dyDescent="0.25">
      <c r="A942" s="78"/>
      <c r="B942" s="78"/>
      <c r="C942" s="78"/>
      <c r="D942" s="78"/>
      <c r="E942" s="78"/>
      <c r="F942" s="76"/>
      <c r="G942" s="78"/>
      <c r="H942" s="78"/>
      <c r="I942" s="78"/>
      <c r="J942" s="77"/>
      <c r="K942" s="78"/>
      <c r="L942" s="78"/>
      <c r="M942" s="78"/>
      <c r="N942" s="76"/>
      <c r="O942" s="78"/>
      <c r="P942" s="80"/>
      <c r="Q942" s="80"/>
      <c r="R942" s="78"/>
      <c r="S942" s="78"/>
      <c r="T942" s="78"/>
      <c r="U942" s="78"/>
      <c r="V942" s="78"/>
    </row>
    <row r="943" spans="1:22" x14ac:dyDescent="0.25">
      <c r="A943" s="78"/>
      <c r="B943" s="78"/>
      <c r="C943" s="78"/>
      <c r="D943" s="78"/>
      <c r="E943" s="78"/>
      <c r="F943" s="76"/>
      <c r="G943" s="78"/>
      <c r="H943" s="78"/>
      <c r="I943" s="78"/>
      <c r="J943" s="77"/>
      <c r="K943" s="78"/>
      <c r="L943" s="78"/>
      <c r="M943" s="78"/>
      <c r="N943" s="76"/>
      <c r="O943" s="78"/>
      <c r="P943" s="80"/>
      <c r="Q943" s="80"/>
      <c r="R943" s="78"/>
      <c r="S943" s="78"/>
      <c r="T943" s="78"/>
      <c r="U943" s="78"/>
      <c r="V943" s="78"/>
    </row>
    <row r="944" spans="1:22" x14ac:dyDescent="0.25">
      <c r="A944" s="78"/>
      <c r="B944" s="78"/>
      <c r="C944" s="78"/>
      <c r="D944" s="78"/>
      <c r="E944" s="78"/>
      <c r="F944" s="76"/>
      <c r="G944" s="78"/>
      <c r="H944" s="78"/>
      <c r="I944" s="78"/>
      <c r="J944" s="77"/>
      <c r="K944" s="78"/>
      <c r="L944" s="78"/>
      <c r="M944" s="78"/>
      <c r="N944" s="76"/>
      <c r="O944" s="78"/>
      <c r="P944" s="80"/>
      <c r="Q944" s="80"/>
      <c r="R944" s="78"/>
      <c r="S944" s="78"/>
      <c r="T944" s="78"/>
      <c r="U944" s="78"/>
      <c r="V944" s="78"/>
    </row>
    <row r="945" spans="1:22" x14ac:dyDescent="0.25">
      <c r="A945" s="78"/>
      <c r="B945" s="78"/>
      <c r="C945" s="78"/>
      <c r="D945" s="78"/>
      <c r="E945" s="78"/>
      <c r="F945" s="76"/>
      <c r="G945" s="78"/>
      <c r="H945" s="78"/>
      <c r="I945" s="78"/>
      <c r="J945" s="77"/>
      <c r="K945" s="78"/>
      <c r="L945" s="78"/>
      <c r="M945" s="78"/>
      <c r="N945" s="76"/>
      <c r="O945" s="78"/>
      <c r="P945" s="80"/>
      <c r="Q945" s="80"/>
      <c r="R945" s="78"/>
      <c r="S945" s="78"/>
      <c r="T945" s="78"/>
      <c r="U945" s="78"/>
      <c r="V945" s="78"/>
    </row>
    <row r="946" spans="1:22" x14ac:dyDescent="0.25">
      <c r="A946" s="78"/>
      <c r="B946" s="78"/>
      <c r="C946" s="78"/>
      <c r="D946" s="78"/>
      <c r="E946" s="78"/>
      <c r="F946" s="76"/>
      <c r="G946" s="78"/>
      <c r="H946" s="78"/>
      <c r="I946" s="78"/>
      <c r="J946" s="77"/>
      <c r="K946" s="78"/>
      <c r="L946" s="78"/>
      <c r="M946" s="78"/>
      <c r="N946" s="76"/>
      <c r="O946" s="78"/>
      <c r="P946" s="80"/>
      <c r="Q946" s="80"/>
      <c r="R946" s="78"/>
      <c r="S946" s="78"/>
      <c r="T946" s="78"/>
      <c r="U946" s="78"/>
      <c r="V946" s="78"/>
    </row>
    <row r="947" spans="1:22" x14ac:dyDescent="0.25">
      <c r="A947" s="78"/>
      <c r="B947" s="78"/>
      <c r="C947" s="78"/>
      <c r="D947" s="78"/>
      <c r="E947" s="78"/>
      <c r="F947" s="76"/>
      <c r="G947" s="78"/>
      <c r="H947" s="78"/>
      <c r="I947" s="78"/>
      <c r="J947" s="77"/>
      <c r="K947" s="78"/>
      <c r="L947" s="78"/>
      <c r="M947" s="78"/>
      <c r="N947" s="76"/>
      <c r="O947" s="78"/>
      <c r="P947" s="80"/>
      <c r="Q947" s="80"/>
      <c r="R947" s="78"/>
      <c r="S947" s="78"/>
      <c r="T947" s="78"/>
      <c r="U947" s="78"/>
      <c r="V947" s="78"/>
    </row>
    <row r="948" spans="1:22" x14ac:dyDescent="0.25">
      <c r="A948" s="78"/>
      <c r="B948" s="78"/>
      <c r="C948" s="78"/>
      <c r="D948" s="78"/>
      <c r="E948" s="78"/>
      <c r="F948" s="76"/>
      <c r="G948" s="78"/>
      <c r="H948" s="78"/>
      <c r="I948" s="78"/>
      <c r="J948" s="77"/>
      <c r="K948" s="78"/>
      <c r="L948" s="78"/>
      <c r="M948" s="78"/>
      <c r="N948" s="76"/>
      <c r="O948" s="78"/>
      <c r="P948" s="80"/>
      <c r="Q948" s="80"/>
      <c r="R948" s="78"/>
      <c r="S948" s="78"/>
      <c r="T948" s="78"/>
      <c r="U948" s="78"/>
      <c r="V948" s="78"/>
    </row>
    <row r="949" spans="1:22" x14ac:dyDescent="0.25">
      <c r="A949" s="78"/>
      <c r="B949" s="78"/>
      <c r="C949" s="78"/>
      <c r="D949" s="78"/>
      <c r="E949" s="78"/>
      <c r="F949" s="76"/>
      <c r="G949" s="78"/>
      <c r="H949" s="78"/>
      <c r="I949" s="78"/>
      <c r="J949" s="77"/>
      <c r="K949" s="78"/>
      <c r="L949" s="78"/>
      <c r="M949" s="78"/>
      <c r="N949" s="76"/>
      <c r="O949" s="78"/>
      <c r="P949" s="80"/>
      <c r="Q949" s="80"/>
      <c r="R949" s="78"/>
      <c r="S949" s="78"/>
      <c r="T949" s="78"/>
      <c r="U949" s="78"/>
      <c r="V949" s="78"/>
    </row>
    <row r="950" spans="1:22" x14ac:dyDescent="0.25">
      <c r="A950" s="78"/>
      <c r="B950" s="78"/>
      <c r="C950" s="78"/>
      <c r="D950" s="78"/>
      <c r="E950" s="78"/>
      <c r="F950" s="76"/>
      <c r="G950" s="78"/>
      <c r="H950" s="78"/>
      <c r="I950" s="78"/>
      <c r="J950" s="77"/>
      <c r="K950" s="78"/>
      <c r="L950" s="78"/>
      <c r="M950" s="78"/>
      <c r="N950" s="76"/>
      <c r="O950" s="78"/>
      <c r="P950" s="80"/>
      <c r="Q950" s="80"/>
      <c r="R950" s="78"/>
      <c r="S950" s="78"/>
      <c r="T950" s="78"/>
      <c r="U950" s="78"/>
      <c r="V950" s="78"/>
    </row>
    <row r="951" spans="1:22" x14ac:dyDescent="0.25">
      <c r="A951" s="78"/>
      <c r="B951" s="78"/>
      <c r="C951" s="78"/>
      <c r="D951" s="78"/>
      <c r="E951" s="78"/>
      <c r="F951" s="76"/>
      <c r="G951" s="78"/>
      <c r="H951" s="78"/>
      <c r="I951" s="78"/>
      <c r="J951" s="77"/>
      <c r="K951" s="78"/>
      <c r="L951" s="78"/>
      <c r="M951" s="78"/>
      <c r="N951" s="76"/>
      <c r="O951" s="78"/>
      <c r="P951" s="80"/>
      <c r="Q951" s="80"/>
      <c r="R951" s="78"/>
      <c r="S951" s="78"/>
      <c r="T951" s="78"/>
      <c r="U951" s="78"/>
      <c r="V951" s="78"/>
    </row>
    <row r="952" spans="1:22" x14ac:dyDescent="0.25">
      <c r="A952" s="78"/>
      <c r="B952" s="78"/>
      <c r="C952" s="78"/>
      <c r="D952" s="78"/>
      <c r="E952" s="78"/>
      <c r="F952" s="76"/>
      <c r="G952" s="78"/>
      <c r="H952" s="78"/>
      <c r="I952" s="78"/>
      <c r="J952" s="77"/>
      <c r="K952" s="78"/>
      <c r="L952" s="78"/>
      <c r="M952" s="78"/>
      <c r="N952" s="76"/>
      <c r="O952" s="78"/>
      <c r="P952" s="80"/>
      <c r="Q952" s="80"/>
      <c r="R952" s="78"/>
      <c r="S952" s="78"/>
      <c r="T952" s="78"/>
      <c r="U952" s="78"/>
      <c r="V952" s="78"/>
    </row>
    <row r="953" spans="1:22" x14ac:dyDescent="0.25">
      <c r="A953" s="78"/>
      <c r="B953" s="78"/>
      <c r="C953" s="78"/>
      <c r="D953" s="78"/>
      <c r="E953" s="78"/>
      <c r="F953" s="76"/>
      <c r="G953" s="78"/>
      <c r="H953" s="78"/>
      <c r="I953" s="78"/>
      <c r="J953" s="77"/>
      <c r="K953" s="78"/>
      <c r="L953" s="78"/>
      <c r="M953" s="78"/>
      <c r="N953" s="76"/>
      <c r="O953" s="78"/>
      <c r="P953" s="80"/>
      <c r="Q953" s="80"/>
      <c r="R953" s="78"/>
      <c r="S953" s="78"/>
      <c r="T953" s="78"/>
      <c r="U953" s="78"/>
      <c r="V953" s="78"/>
    </row>
    <row r="954" spans="1:22" x14ac:dyDescent="0.25">
      <c r="A954" s="78"/>
      <c r="B954" s="78"/>
      <c r="C954" s="78"/>
      <c r="D954" s="78"/>
      <c r="E954" s="78"/>
      <c r="F954" s="76"/>
      <c r="G954" s="78"/>
      <c r="H954" s="78"/>
      <c r="I954" s="78"/>
      <c r="J954" s="77"/>
      <c r="K954" s="78"/>
      <c r="L954" s="78"/>
      <c r="M954" s="78"/>
      <c r="N954" s="76"/>
      <c r="O954" s="78"/>
      <c r="P954" s="80"/>
      <c r="Q954" s="80"/>
      <c r="R954" s="78"/>
      <c r="S954" s="78"/>
      <c r="T954" s="78"/>
      <c r="U954" s="78"/>
      <c r="V954" s="78"/>
    </row>
    <row r="955" spans="1:22" x14ac:dyDescent="0.25">
      <c r="A955" s="78"/>
      <c r="B955" s="78"/>
      <c r="C955" s="78"/>
      <c r="D955" s="78"/>
      <c r="E955" s="78"/>
      <c r="F955" s="76"/>
      <c r="G955" s="78"/>
      <c r="H955" s="78"/>
      <c r="I955" s="78"/>
      <c r="J955" s="77"/>
      <c r="K955" s="78"/>
      <c r="L955" s="78"/>
      <c r="M955" s="78"/>
      <c r="N955" s="76"/>
      <c r="O955" s="78"/>
      <c r="P955" s="80"/>
      <c r="Q955" s="80"/>
      <c r="R955" s="78"/>
      <c r="S955" s="78"/>
      <c r="T955" s="78"/>
      <c r="U955" s="78"/>
      <c r="V955" s="78"/>
    </row>
    <row r="956" spans="1:22" x14ac:dyDescent="0.25">
      <c r="A956" s="78"/>
      <c r="B956" s="78"/>
      <c r="C956" s="78"/>
      <c r="D956" s="78"/>
      <c r="E956" s="78"/>
      <c r="F956" s="76"/>
      <c r="G956" s="78"/>
      <c r="H956" s="78"/>
      <c r="I956" s="78"/>
      <c r="J956" s="77"/>
      <c r="K956" s="78"/>
      <c r="L956" s="78"/>
      <c r="M956" s="78"/>
      <c r="N956" s="76"/>
      <c r="O956" s="78"/>
      <c r="P956" s="80"/>
      <c r="Q956" s="80"/>
      <c r="R956" s="78"/>
      <c r="S956" s="78"/>
      <c r="T956" s="78"/>
      <c r="U956" s="78"/>
      <c r="V956" s="78"/>
    </row>
    <row r="957" spans="1:22" x14ac:dyDescent="0.25">
      <c r="A957" s="78"/>
      <c r="B957" s="78"/>
      <c r="C957" s="78"/>
      <c r="D957" s="78"/>
      <c r="E957" s="78"/>
      <c r="F957" s="76"/>
      <c r="G957" s="78"/>
      <c r="H957" s="78"/>
      <c r="I957" s="78"/>
      <c r="J957" s="77"/>
      <c r="K957" s="78"/>
      <c r="L957" s="78"/>
      <c r="M957" s="78"/>
      <c r="N957" s="76"/>
      <c r="O957" s="78"/>
      <c r="P957" s="80"/>
      <c r="Q957" s="80"/>
      <c r="R957" s="78"/>
      <c r="S957" s="78"/>
      <c r="T957" s="78"/>
      <c r="U957" s="78"/>
      <c r="V957" s="78"/>
    </row>
    <row r="958" spans="1:22" x14ac:dyDescent="0.25">
      <c r="A958" s="78"/>
      <c r="B958" s="78"/>
      <c r="C958" s="78"/>
      <c r="D958" s="78"/>
      <c r="E958" s="78"/>
      <c r="F958" s="76"/>
      <c r="G958" s="78"/>
      <c r="H958" s="78"/>
      <c r="I958" s="78"/>
      <c r="J958" s="77"/>
      <c r="K958" s="78"/>
      <c r="L958" s="78"/>
      <c r="M958" s="78"/>
      <c r="N958" s="76"/>
      <c r="O958" s="78"/>
      <c r="P958" s="80"/>
      <c r="Q958" s="80"/>
      <c r="R958" s="78"/>
      <c r="S958" s="78"/>
      <c r="T958" s="78"/>
      <c r="U958" s="78"/>
      <c r="V958" s="78"/>
    </row>
    <row r="959" spans="1:22" x14ac:dyDescent="0.25">
      <c r="A959" s="78"/>
      <c r="B959" s="78"/>
      <c r="C959" s="78"/>
      <c r="D959" s="78"/>
      <c r="E959" s="78"/>
      <c r="F959" s="76"/>
      <c r="G959" s="78"/>
      <c r="H959" s="78"/>
      <c r="I959" s="78"/>
      <c r="J959" s="77"/>
      <c r="K959" s="78"/>
      <c r="L959" s="78"/>
      <c r="M959" s="78"/>
      <c r="N959" s="76"/>
      <c r="O959" s="78"/>
      <c r="P959" s="80"/>
      <c r="Q959" s="80"/>
      <c r="R959" s="78"/>
      <c r="S959" s="78"/>
      <c r="T959" s="78"/>
      <c r="U959" s="78"/>
      <c r="V959" s="78"/>
    </row>
    <row r="960" spans="1:22" x14ac:dyDescent="0.25">
      <c r="A960" s="78"/>
      <c r="B960" s="78"/>
      <c r="C960" s="78"/>
      <c r="D960" s="78"/>
      <c r="E960" s="78"/>
      <c r="F960" s="76"/>
      <c r="G960" s="78"/>
      <c r="H960" s="78"/>
      <c r="I960" s="78"/>
      <c r="J960" s="77"/>
      <c r="K960" s="78"/>
      <c r="L960" s="78"/>
      <c r="M960" s="78"/>
      <c r="N960" s="76"/>
      <c r="O960" s="78"/>
      <c r="P960" s="80"/>
      <c r="Q960" s="80"/>
      <c r="R960" s="78"/>
      <c r="S960" s="78"/>
      <c r="T960" s="78"/>
      <c r="U960" s="78"/>
      <c r="V960" s="78"/>
    </row>
    <row r="961" spans="1:22" x14ac:dyDescent="0.25">
      <c r="A961" s="78"/>
      <c r="B961" s="78"/>
      <c r="C961" s="78"/>
      <c r="D961" s="78"/>
      <c r="E961" s="78"/>
      <c r="F961" s="76"/>
      <c r="G961" s="78"/>
      <c r="H961" s="78"/>
      <c r="I961" s="78"/>
      <c r="J961" s="77"/>
      <c r="K961" s="78"/>
      <c r="L961" s="78"/>
      <c r="M961" s="78"/>
      <c r="N961" s="76"/>
      <c r="O961" s="78"/>
      <c r="P961" s="80"/>
      <c r="Q961" s="80"/>
      <c r="R961" s="78"/>
      <c r="S961" s="78"/>
      <c r="T961" s="78"/>
      <c r="U961" s="78"/>
      <c r="V961" s="78"/>
    </row>
    <row r="962" spans="1:22" x14ac:dyDescent="0.25">
      <c r="A962" s="78"/>
      <c r="B962" s="78"/>
      <c r="C962" s="78"/>
      <c r="D962" s="78"/>
      <c r="E962" s="78"/>
      <c r="F962" s="76"/>
      <c r="G962" s="78"/>
      <c r="H962" s="78"/>
      <c r="I962" s="78"/>
      <c r="J962" s="77"/>
      <c r="K962" s="78"/>
      <c r="L962" s="78"/>
      <c r="M962" s="78"/>
      <c r="N962" s="76"/>
      <c r="O962" s="78"/>
      <c r="P962" s="80"/>
      <c r="Q962" s="80"/>
      <c r="R962" s="78"/>
      <c r="S962" s="78"/>
      <c r="T962" s="78"/>
      <c r="U962" s="78"/>
      <c r="V962" s="78"/>
    </row>
    <row r="963" spans="1:22" x14ac:dyDescent="0.25">
      <c r="A963" s="78"/>
      <c r="B963" s="78"/>
      <c r="C963" s="78"/>
      <c r="D963" s="78"/>
      <c r="E963" s="78"/>
      <c r="F963" s="76"/>
      <c r="G963" s="78"/>
      <c r="H963" s="78"/>
      <c r="I963" s="78"/>
      <c r="J963" s="77"/>
      <c r="K963" s="78"/>
      <c r="L963" s="78"/>
      <c r="M963" s="78"/>
      <c r="N963" s="76"/>
      <c r="O963" s="78"/>
      <c r="P963" s="80"/>
      <c r="Q963" s="80"/>
      <c r="R963" s="78"/>
      <c r="S963" s="78"/>
      <c r="T963" s="78"/>
      <c r="U963" s="78"/>
      <c r="V963" s="78"/>
    </row>
    <row r="964" spans="1:22" x14ac:dyDescent="0.25">
      <c r="A964" s="78"/>
      <c r="B964" s="78"/>
      <c r="C964" s="78"/>
      <c r="D964" s="78"/>
      <c r="E964" s="78"/>
      <c r="F964" s="76"/>
      <c r="G964" s="78"/>
      <c r="H964" s="78"/>
      <c r="I964" s="78"/>
      <c r="J964" s="77"/>
      <c r="K964" s="78"/>
      <c r="L964" s="78"/>
      <c r="M964" s="78"/>
      <c r="N964" s="76"/>
      <c r="O964" s="78"/>
      <c r="P964" s="80"/>
      <c r="Q964" s="80"/>
      <c r="R964" s="78"/>
      <c r="S964" s="78"/>
      <c r="T964" s="78"/>
      <c r="U964" s="78"/>
      <c r="V964" s="78"/>
    </row>
    <row r="965" spans="1:22" x14ac:dyDescent="0.25">
      <c r="A965" s="78"/>
      <c r="B965" s="78"/>
      <c r="C965" s="78"/>
      <c r="D965" s="78"/>
      <c r="E965" s="78"/>
      <c r="F965" s="76"/>
      <c r="G965" s="78"/>
      <c r="H965" s="78"/>
      <c r="I965" s="78"/>
      <c r="J965" s="77"/>
      <c r="K965" s="78"/>
      <c r="L965" s="78"/>
      <c r="M965" s="78"/>
      <c r="N965" s="76"/>
      <c r="O965" s="78"/>
      <c r="P965" s="80"/>
      <c r="Q965" s="80"/>
      <c r="R965" s="78"/>
      <c r="S965" s="78"/>
      <c r="T965" s="78"/>
      <c r="U965" s="78"/>
      <c r="V965" s="78"/>
    </row>
    <row r="966" spans="1:22" x14ac:dyDescent="0.25">
      <c r="A966" s="78"/>
      <c r="B966" s="78"/>
      <c r="C966" s="78"/>
      <c r="D966" s="78"/>
      <c r="E966" s="78"/>
      <c r="F966" s="76"/>
      <c r="G966" s="78"/>
      <c r="H966" s="78"/>
      <c r="I966" s="78"/>
      <c r="J966" s="77"/>
      <c r="K966" s="78"/>
      <c r="L966" s="78"/>
      <c r="M966" s="78"/>
      <c r="N966" s="76"/>
      <c r="O966" s="78"/>
      <c r="P966" s="80"/>
      <c r="Q966" s="80"/>
      <c r="R966" s="78"/>
      <c r="S966" s="78"/>
      <c r="T966" s="78"/>
      <c r="U966" s="78"/>
      <c r="V966" s="78"/>
    </row>
    <row r="967" spans="1:22" x14ac:dyDescent="0.25">
      <c r="A967" s="78"/>
      <c r="B967" s="78"/>
      <c r="C967" s="78"/>
      <c r="D967" s="78"/>
      <c r="E967" s="78"/>
      <c r="F967" s="76"/>
      <c r="G967" s="78"/>
      <c r="H967" s="78"/>
      <c r="I967" s="78"/>
      <c r="J967" s="77"/>
      <c r="K967" s="78"/>
      <c r="L967" s="78"/>
      <c r="M967" s="78"/>
      <c r="N967" s="76"/>
      <c r="O967" s="78"/>
      <c r="P967" s="80"/>
      <c r="Q967" s="80"/>
      <c r="R967" s="78"/>
      <c r="S967" s="78"/>
      <c r="T967" s="78"/>
      <c r="U967" s="78"/>
      <c r="V967" s="78"/>
    </row>
    <row r="968" spans="1:22" x14ac:dyDescent="0.25">
      <c r="A968" s="78"/>
      <c r="B968" s="78"/>
      <c r="C968" s="78"/>
      <c r="D968" s="78"/>
      <c r="E968" s="78"/>
      <c r="F968" s="76"/>
      <c r="G968" s="78"/>
      <c r="H968" s="78"/>
      <c r="I968" s="78"/>
      <c r="J968" s="77"/>
      <c r="K968" s="78"/>
      <c r="L968" s="78"/>
      <c r="M968" s="78"/>
      <c r="N968" s="76"/>
      <c r="O968" s="78"/>
      <c r="P968" s="80"/>
      <c r="Q968" s="80"/>
      <c r="R968" s="78"/>
      <c r="S968" s="78"/>
      <c r="T968" s="78"/>
      <c r="U968" s="78"/>
      <c r="V968" s="78"/>
    </row>
    <row r="969" spans="1:22" x14ac:dyDescent="0.25">
      <c r="A969" s="78"/>
      <c r="B969" s="78"/>
      <c r="C969" s="78"/>
      <c r="D969" s="78"/>
      <c r="E969" s="78"/>
      <c r="F969" s="76"/>
      <c r="G969" s="78"/>
      <c r="H969" s="78"/>
      <c r="I969" s="78"/>
      <c r="J969" s="77"/>
      <c r="K969" s="78"/>
      <c r="L969" s="78"/>
      <c r="M969" s="78"/>
      <c r="N969" s="76"/>
      <c r="O969" s="78"/>
      <c r="P969" s="80"/>
      <c r="Q969" s="80"/>
      <c r="R969" s="78"/>
      <c r="S969" s="78"/>
      <c r="T969" s="78"/>
      <c r="U969" s="78"/>
      <c r="V969" s="78"/>
    </row>
    <row r="970" spans="1:22" x14ac:dyDescent="0.25">
      <c r="A970" s="78"/>
      <c r="B970" s="78"/>
      <c r="C970" s="78"/>
      <c r="D970" s="78"/>
      <c r="E970" s="78"/>
      <c r="F970" s="76"/>
      <c r="G970" s="78"/>
      <c r="H970" s="78"/>
      <c r="I970" s="78"/>
      <c r="J970" s="77"/>
      <c r="K970" s="78"/>
      <c r="L970" s="78"/>
      <c r="M970" s="78"/>
      <c r="N970" s="76"/>
      <c r="O970" s="78"/>
      <c r="P970" s="80"/>
      <c r="Q970" s="80"/>
      <c r="R970" s="78"/>
      <c r="S970" s="78"/>
      <c r="T970" s="78"/>
      <c r="U970" s="78"/>
      <c r="V970" s="78"/>
    </row>
    <row r="971" spans="1:22" x14ac:dyDescent="0.25">
      <c r="A971" s="78"/>
      <c r="B971" s="78"/>
      <c r="C971" s="78"/>
      <c r="D971" s="78"/>
      <c r="E971" s="78"/>
      <c r="F971" s="76"/>
      <c r="G971" s="78"/>
      <c r="H971" s="78"/>
      <c r="I971" s="78"/>
      <c r="J971" s="77"/>
      <c r="K971" s="78"/>
      <c r="L971" s="78"/>
      <c r="M971" s="78"/>
      <c r="N971" s="76"/>
      <c r="O971" s="78"/>
      <c r="P971" s="80"/>
      <c r="Q971" s="80"/>
      <c r="R971" s="78"/>
      <c r="S971" s="78"/>
      <c r="T971" s="78"/>
      <c r="U971" s="78"/>
      <c r="V971" s="78"/>
    </row>
    <row r="972" spans="1:22" x14ac:dyDescent="0.25">
      <c r="A972" s="78"/>
      <c r="B972" s="78"/>
      <c r="C972" s="78"/>
      <c r="D972" s="78"/>
      <c r="E972" s="78"/>
      <c r="F972" s="76"/>
      <c r="G972" s="78"/>
      <c r="H972" s="78"/>
      <c r="I972" s="78"/>
      <c r="J972" s="77"/>
      <c r="K972" s="78"/>
      <c r="L972" s="78"/>
      <c r="M972" s="78"/>
      <c r="N972" s="76"/>
      <c r="O972" s="78"/>
      <c r="P972" s="80"/>
      <c r="Q972" s="80"/>
      <c r="R972" s="78"/>
      <c r="S972" s="78"/>
      <c r="T972" s="78"/>
      <c r="U972" s="78"/>
      <c r="V972" s="78"/>
    </row>
    <row r="973" spans="1:22" x14ac:dyDescent="0.25">
      <c r="A973" s="78"/>
      <c r="B973" s="78"/>
      <c r="C973" s="78"/>
      <c r="D973" s="78"/>
      <c r="E973" s="78"/>
      <c r="F973" s="76"/>
      <c r="G973" s="78"/>
      <c r="H973" s="78"/>
      <c r="I973" s="78"/>
      <c r="J973" s="77"/>
      <c r="K973" s="78"/>
      <c r="L973" s="78"/>
      <c r="M973" s="78"/>
      <c r="N973" s="76"/>
      <c r="O973" s="78"/>
      <c r="P973" s="80"/>
      <c r="Q973" s="80"/>
      <c r="R973" s="78"/>
      <c r="S973" s="78"/>
      <c r="T973" s="78"/>
      <c r="U973" s="78"/>
      <c r="V973" s="78"/>
    </row>
    <row r="974" spans="1:22" x14ac:dyDescent="0.25">
      <c r="A974" s="78"/>
      <c r="B974" s="78"/>
      <c r="C974" s="78"/>
      <c r="D974" s="78"/>
      <c r="E974" s="78"/>
      <c r="F974" s="76"/>
      <c r="G974" s="78"/>
      <c r="H974" s="78"/>
      <c r="I974" s="78"/>
      <c r="J974" s="77"/>
      <c r="K974" s="78"/>
      <c r="L974" s="78"/>
      <c r="M974" s="78"/>
      <c r="N974" s="76"/>
      <c r="O974" s="78"/>
      <c r="P974" s="80"/>
      <c r="Q974" s="80"/>
      <c r="R974" s="78"/>
      <c r="S974" s="78"/>
      <c r="T974" s="78"/>
      <c r="U974" s="78"/>
      <c r="V974" s="78"/>
    </row>
    <row r="975" spans="1:22" x14ac:dyDescent="0.25">
      <c r="A975" s="78"/>
      <c r="B975" s="78"/>
      <c r="C975" s="78"/>
      <c r="D975" s="78"/>
      <c r="E975" s="78"/>
      <c r="F975" s="76"/>
      <c r="G975" s="78"/>
      <c r="H975" s="78"/>
      <c r="I975" s="78"/>
      <c r="J975" s="77"/>
      <c r="K975" s="78"/>
      <c r="L975" s="78"/>
      <c r="M975" s="78"/>
      <c r="N975" s="76"/>
      <c r="O975" s="78"/>
      <c r="P975" s="80"/>
      <c r="Q975" s="80"/>
      <c r="R975" s="78"/>
      <c r="S975" s="78"/>
      <c r="T975" s="78"/>
      <c r="U975" s="78"/>
      <c r="V975" s="78"/>
    </row>
    <row r="976" spans="1:22" x14ac:dyDescent="0.25">
      <c r="A976" s="78"/>
      <c r="B976" s="78"/>
      <c r="C976" s="78"/>
      <c r="D976" s="78"/>
      <c r="E976" s="78"/>
      <c r="F976" s="76"/>
      <c r="G976" s="78"/>
      <c r="H976" s="78"/>
      <c r="I976" s="78"/>
      <c r="J976" s="77"/>
      <c r="K976" s="78"/>
      <c r="L976" s="78"/>
      <c r="M976" s="78"/>
      <c r="N976" s="76"/>
      <c r="O976" s="78"/>
      <c r="P976" s="80"/>
      <c r="Q976" s="80"/>
      <c r="R976" s="78"/>
      <c r="S976" s="78"/>
      <c r="T976" s="78"/>
      <c r="U976" s="78"/>
      <c r="V976" s="78"/>
    </row>
    <row r="977" spans="1:22" x14ac:dyDescent="0.25">
      <c r="A977" s="78"/>
      <c r="B977" s="78"/>
      <c r="C977" s="78"/>
      <c r="D977" s="78"/>
      <c r="E977" s="78"/>
      <c r="F977" s="76"/>
      <c r="G977" s="78"/>
      <c r="H977" s="78"/>
      <c r="I977" s="78"/>
      <c r="J977" s="77"/>
      <c r="K977" s="78"/>
      <c r="L977" s="78"/>
      <c r="M977" s="78"/>
      <c r="N977" s="76"/>
      <c r="O977" s="78"/>
      <c r="P977" s="80"/>
      <c r="Q977" s="80"/>
      <c r="R977" s="78"/>
      <c r="S977" s="78"/>
      <c r="T977" s="78"/>
      <c r="U977" s="78"/>
      <c r="V977" s="78"/>
    </row>
    <row r="978" spans="1:22" x14ac:dyDescent="0.25">
      <c r="A978" s="78"/>
      <c r="B978" s="78"/>
      <c r="C978" s="78"/>
      <c r="D978" s="78"/>
      <c r="E978" s="78"/>
      <c r="F978" s="76"/>
      <c r="G978" s="78"/>
      <c r="H978" s="78"/>
      <c r="I978" s="78"/>
      <c r="J978" s="77"/>
      <c r="K978" s="78"/>
      <c r="L978" s="78"/>
      <c r="M978" s="78"/>
      <c r="N978" s="76"/>
      <c r="O978" s="78"/>
      <c r="P978" s="80"/>
      <c r="Q978" s="80"/>
      <c r="R978" s="78"/>
      <c r="S978" s="78"/>
      <c r="T978" s="78"/>
      <c r="U978" s="78"/>
      <c r="V978" s="78"/>
    </row>
    <row r="979" spans="1:22" x14ac:dyDescent="0.25">
      <c r="A979" s="78"/>
      <c r="B979" s="78"/>
      <c r="C979" s="78"/>
      <c r="D979" s="78"/>
      <c r="E979" s="78"/>
      <c r="F979" s="76"/>
      <c r="G979" s="78"/>
      <c r="H979" s="78"/>
      <c r="I979" s="78"/>
      <c r="J979" s="77"/>
      <c r="K979" s="78"/>
      <c r="L979" s="78"/>
      <c r="M979" s="78"/>
      <c r="N979" s="76"/>
      <c r="O979" s="78"/>
      <c r="P979" s="80"/>
      <c r="Q979" s="80"/>
      <c r="R979" s="78"/>
      <c r="S979" s="78"/>
      <c r="T979" s="78"/>
      <c r="U979" s="78"/>
      <c r="V979" s="78"/>
    </row>
    <row r="980" spans="1:22" x14ac:dyDescent="0.25">
      <c r="A980" s="78"/>
      <c r="B980" s="78"/>
      <c r="C980" s="78"/>
      <c r="D980" s="78"/>
      <c r="E980" s="78"/>
      <c r="F980" s="76"/>
      <c r="G980" s="78"/>
      <c r="H980" s="78"/>
      <c r="I980" s="78"/>
      <c r="J980" s="77"/>
      <c r="K980" s="78"/>
      <c r="L980" s="78"/>
      <c r="M980" s="78"/>
      <c r="N980" s="76"/>
      <c r="O980" s="78"/>
      <c r="P980" s="80"/>
      <c r="Q980" s="80"/>
      <c r="R980" s="78"/>
      <c r="S980" s="78"/>
      <c r="T980" s="78"/>
      <c r="U980" s="78"/>
      <c r="V980" s="78"/>
    </row>
    <row r="981" spans="1:22" x14ac:dyDescent="0.25">
      <c r="A981" s="78"/>
      <c r="B981" s="78"/>
      <c r="C981" s="78"/>
      <c r="D981" s="78"/>
      <c r="E981" s="78"/>
      <c r="F981" s="76"/>
      <c r="G981" s="78"/>
      <c r="H981" s="78"/>
      <c r="I981" s="78"/>
      <c r="J981" s="77"/>
      <c r="K981" s="78"/>
      <c r="L981" s="78"/>
      <c r="M981" s="78"/>
      <c r="N981" s="76"/>
      <c r="O981" s="78"/>
      <c r="P981" s="80"/>
      <c r="Q981" s="80"/>
      <c r="R981" s="78"/>
      <c r="S981" s="78"/>
      <c r="T981" s="78"/>
      <c r="U981" s="78"/>
      <c r="V981" s="78"/>
    </row>
    <row r="982" spans="1:22" x14ac:dyDescent="0.25">
      <c r="A982" s="78"/>
      <c r="B982" s="78"/>
      <c r="C982" s="78"/>
      <c r="D982" s="78"/>
      <c r="E982" s="78"/>
      <c r="F982" s="76"/>
      <c r="G982" s="78"/>
      <c r="H982" s="78"/>
      <c r="I982" s="78"/>
      <c r="J982" s="77"/>
      <c r="K982" s="78"/>
      <c r="L982" s="78"/>
      <c r="M982" s="78"/>
      <c r="N982" s="76"/>
      <c r="O982" s="78"/>
      <c r="P982" s="80"/>
      <c r="Q982" s="80"/>
      <c r="R982" s="78"/>
      <c r="S982" s="78"/>
      <c r="T982" s="78"/>
      <c r="U982" s="78"/>
      <c r="V982" s="78"/>
    </row>
    <row r="983" spans="1:22" x14ac:dyDescent="0.25">
      <c r="A983" s="78"/>
      <c r="B983" s="78"/>
      <c r="C983" s="78"/>
      <c r="D983" s="78"/>
      <c r="E983" s="78"/>
      <c r="F983" s="76"/>
      <c r="G983" s="78"/>
      <c r="H983" s="78"/>
      <c r="I983" s="78"/>
      <c r="J983" s="77"/>
      <c r="K983" s="78"/>
      <c r="L983" s="78"/>
      <c r="M983" s="78"/>
      <c r="N983" s="76"/>
      <c r="O983" s="78"/>
      <c r="P983" s="80"/>
      <c r="Q983" s="80"/>
      <c r="R983" s="78"/>
      <c r="S983" s="78"/>
      <c r="T983" s="78"/>
      <c r="U983" s="78"/>
      <c r="V983" s="78"/>
    </row>
    <row r="984" spans="1:22" x14ac:dyDescent="0.25">
      <c r="A984" s="78"/>
      <c r="B984" s="78"/>
      <c r="C984" s="78"/>
      <c r="D984" s="78"/>
      <c r="E984" s="78"/>
      <c r="F984" s="76"/>
      <c r="G984" s="78"/>
      <c r="H984" s="78"/>
      <c r="I984" s="78"/>
      <c r="J984" s="77"/>
      <c r="K984" s="78"/>
      <c r="L984" s="78"/>
      <c r="M984" s="78"/>
      <c r="N984" s="76"/>
      <c r="O984" s="78"/>
      <c r="P984" s="80"/>
      <c r="Q984" s="80"/>
      <c r="R984" s="78"/>
      <c r="S984" s="78"/>
      <c r="T984" s="78"/>
      <c r="U984" s="78"/>
      <c r="V984" s="78"/>
    </row>
    <row r="985" spans="1:22" x14ac:dyDescent="0.25">
      <c r="A985" s="78"/>
      <c r="B985" s="78"/>
      <c r="C985" s="78"/>
      <c r="D985" s="78"/>
      <c r="E985" s="78"/>
      <c r="F985" s="76"/>
      <c r="G985" s="78"/>
      <c r="H985" s="78"/>
      <c r="I985" s="78"/>
      <c r="J985" s="77"/>
      <c r="K985" s="78"/>
      <c r="L985" s="78"/>
      <c r="M985" s="78"/>
      <c r="N985" s="76"/>
      <c r="O985" s="78"/>
      <c r="P985" s="80"/>
      <c r="Q985" s="80"/>
      <c r="R985" s="78"/>
      <c r="S985" s="78"/>
      <c r="T985" s="78"/>
      <c r="U985" s="78"/>
      <c r="V985" s="78"/>
    </row>
    <row r="986" spans="1:22" x14ac:dyDescent="0.25">
      <c r="A986" s="78"/>
      <c r="B986" s="78"/>
      <c r="C986" s="78"/>
      <c r="D986" s="78"/>
      <c r="E986" s="78"/>
      <c r="F986" s="76"/>
      <c r="G986" s="78"/>
      <c r="H986" s="78"/>
      <c r="I986" s="78"/>
      <c r="J986" s="77"/>
      <c r="K986" s="78"/>
      <c r="L986" s="78"/>
      <c r="M986" s="78"/>
      <c r="N986" s="76"/>
      <c r="O986" s="78"/>
      <c r="P986" s="80"/>
      <c r="Q986" s="80"/>
      <c r="R986" s="78"/>
      <c r="S986" s="78"/>
      <c r="T986" s="78"/>
      <c r="U986" s="78"/>
      <c r="V986" s="78"/>
    </row>
    <row r="987" spans="1:22" x14ac:dyDescent="0.25">
      <c r="A987" s="78"/>
      <c r="B987" s="78"/>
      <c r="C987" s="78"/>
      <c r="D987" s="78"/>
      <c r="E987" s="78"/>
      <c r="F987" s="76"/>
      <c r="G987" s="78"/>
      <c r="H987" s="78"/>
      <c r="I987" s="78"/>
      <c r="J987" s="77"/>
      <c r="K987" s="78"/>
      <c r="L987" s="78"/>
      <c r="M987" s="78"/>
      <c r="N987" s="76"/>
      <c r="O987" s="78"/>
      <c r="P987" s="80"/>
      <c r="Q987" s="80"/>
      <c r="R987" s="78"/>
      <c r="S987" s="78"/>
      <c r="T987" s="78"/>
      <c r="U987" s="78"/>
      <c r="V987" s="78"/>
    </row>
    <row r="988" spans="1:22" x14ac:dyDescent="0.25">
      <c r="A988" s="78"/>
      <c r="B988" s="78"/>
      <c r="C988" s="78"/>
      <c r="D988" s="78"/>
      <c r="E988" s="78"/>
      <c r="F988" s="76"/>
      <c r="G988" s="78"/>
      <c r="H988" s="78"/>
      <c r="I988" s="78"/>
      <c r="J988" s="77"/>
      <c r="K988" s="78"/>
      <c r="L988" s="78"/>
      <c r="M988" s="78"/>
      <c r="N988" s="76"/>
      <c r="O988" s="78"/>
      <c r="P988" s="80"/>
      <c r="Q988" s="80"/>
      <c r="R988" s="78"/>
      <c r="S988" s="78"/>
      <c r="T988" s="78"/>
      <c r="U988" s="78"/>
      <c r="V988" s="78"/>
    </row>
    <row r="989" spans="1:22" x14ac:dyDescent="0.25">
      <c r="A989" s="78"/>
      <c r="B989" s="78"/>
      <c r="C989" s="78"/>
      <c r="D989" s="78"/>
      <c r="E989" s="78"/>
      <c r="F989" s="76"/>
      <c r="G989" s="78"/>
      <c r="H989" s="78"/>
      <c r="I989" s="78"/>
      <c r="J989" s="77"/>
      <c r="K989" s="78"/>
      <c r="L989" s="78"/>
      <c r="M989" s="78"/>
      <c r="N989" s="76"/>
      <c r="O989" s="78"/>
      <c r="P989" s="80"/>
      <c r="Q989" s="80"/>
      <c r="R989" s="78"/>
      <c r="S989" s="78"/>
      <c r="T989" s="78"/>
      <c r="U989" s="78"/>
      <c r="V989" s="78"/>
    </row>
    <row r="990" spans="1:22" x14ac:dyDescent="0.25">
      <c r="A990" s="78"/>
      <c r="B990" s="78"/>
      <c r="C990" s="78"/>
      <c r="D990" s="78"/>
      <c r="E990" s="78"/>
      <c r="F990" s="76"/>
      <c r="G990" s="78"/>
      <c r="H990" s="78"/>
      <c r="I990" s="78"/>
      <c r="J990" s="77"/>
      <c r="K990" s="78"/>
      <c r="L990" s="78"/>
      <c r="M990" s="78"/>
      <c r="N990" s="76"/>
      <c r="O990" s="78"/>
      <c r="P990" s="80"/>
      <c r="Q990" s="80"/>
      <c r="R990" s="78"/>
      <c r="S990" s="78"/>
      <c r="T990" s="78"/>
      <c r="U990" s="78"/>
      <c r="V990" s="78"/>
    </row>
    <row r="991" spans="1:22" x14ac:dyDescent="0.25">
      <c r="A991" s="78"/>
      <c r="B991" s="78"/>
      <c r="C991" s="78"/>
      <c r="D991" s="78"/>
      <c r="E991" s="78"/>
      <c r="F991" s="76"/>
      <c r="G991" s="78"/>
      <c r="H991" s="78"/>
      <c r="I991" s="78"/>
      <c r="J991" s="77"/>
      <c r="K991" s="78"/>
      <c r="L991" s="78"/>
      <c r="M991" s="78"/>
      <c r="N991" s="76"/>
      <c r="O991" s="78"/>
      <c r="P991" s="80"/>
      <c r="Q991" s="80"/>
      <c r="R991" s="78"/>
      <c r="S991" s="78"/>
      <c r="T991" s="78"/>
      <c r="U991" s="78"/>
      <c r="V991" s="78"/>
    </row>
    <row r="992" spans="1:22" x14ac:dyDescent="0.25">
      <c r="A992" s="78"/>
      <c r="B992" s="78"/>
      <c r="C992" s="78"/>
      <c r="D992" s="78"/>
      <c r="E992" s="78"/>
      <c r="F992" s="76"/>
      <c r="G992" s="78"/>
      <c r="H992" s="78"/>
      <c r="I992" s="78"/>
      <c r="J992" s="77"/>
      <c r="K992" s="78"/>
      <c r="L992" s="78"/>
      <c r="M992" s="78"/>
      <c r="N992" s="76"/>
      <c r="O992" s="78"/>
      <c r="P992" s="80"/>
      <c r="Q992" s="80"/>
      <c r="R992" s="78"/>
      <c r="S992" s="78"/>
      <c r="T992" s="78"/>
      <c r="U992" s="78"/>
      <c r="V992" s="78"/>
    </row>
    <row r="993" spans="1:22" x14ac:dyDescent="0.25">
      <c r="A993" s="78"/>
      <c r="B993" s="78"/>
      <c r="C993" s="78"/>
      <c r="D993" s="78"/>
      <c r="E993" s="78"/>
      <c r="F993" s="76"/>
      <c r="G993" s="78"/>
      <c r="H993" s="78"/>
      <c r="I993" s="78"/>
      <c r="J993" s="77"/>
      <c r="K993" s="78"/>
      <c r="L993" s="78"/>
      <c r="M993" s="78"/>
      <c r="N993" s="76"/>
      <c r="O993" s="78"/>
      <c r="P993" s="80"/>
      <c r="Q993" s="80"/>
      <c r="R993" s="78"/>
      <c r="S993" s="78"/>
      <c r="T993" s="78"/>
      <c r="U993" s="78"/>
      <c r="V993" s="78"/>
    </row>
    <row r="994" spans="1:22" x14ac:dyDescent="0.25">
      <c r="A994" s="78"/>
      <c r="B994" s="78"/>
      <c r="C994" s="78"/>
      <c r="D994" s="78"/>
      <c r="E994" s="78"/>
      <c r="F994" s="76"/>
      <c r="G994" s="78"/>
      <c r="H994" s="78"/>
      <c r="I994" s="78"/>
      <c r="J994" s="77"/>
      <c r="K994" s="78"/>
      <c r="L994" s="78"/>
      <c r="M994" s="78"/>
      <c r="N994" s="76"/>
      <c r="O994" s="78"/>
      <c r="P994" s="80"/>
      <c r="Q994" s="80"/>
      <c r="R994" s="78"/>
      <c r="S994" s="78"/>
      <c r="T994" s="78"/>
      <c r="U994" s="78"/>
      <c r="V994" s="78"/>
    </row>
    <row r="995" spans="1:22" x14ac:dyDescent="0.25">
      <c r="A995" s="78"/>
      <c r="B995" s="78"/>
      <c r="C995" s="78"/>
      <c r="D995" s="78"/>
      <c r="E995" s="78"/>
      <c r="F995" s="76"/>
      <c r="G995" s="78"/>
      <c r="H995" s="78"/>
      <c r="I995" s="78"/>
      <c r="J995" s="77"/>
      <c r="K995" s="78"/>
      <c r="L995" s="78"/>
      <c r="M995" s="78"/>
      <c r="N995" s="76"/>
      <c r="O995" s="78"/>
      <c r="P995" s="80"/>
      <c r="Q995" s="80"/>
      <c r="R995" s="78"/>
      <c r="S995" s="78"/>
      <c r="T995" s="78"/>
      <c r="U995" s="78"/>
      <c r="V995" s="78"/>
    </row>
    <row r="996" spans="1:22" x14ac:dyDescent="0.25">
      <c r="A996" s="78"/>
      <c r="B996" s="78"/>
      <c r="C996" s="78"/>
      <c r="D996" s="78"/>
      <c r="E996" s="78"/>
      <c r="F996" s="76"/>
      <c r="G996" s="78"/>
      <c r="H996" s="78"/>
      <c r="I996" s="78"/>
      <c r="J996" s="77"/>
      <c r="K996" s="78"/>
      <c r="L996" s="78"/>
      <c r="M996" s="78"/>
      <c r="N996" s="76"/>
      <c r="O996" s="78"/>
      <c r="P996" s="80"/>
      <c r="Q996" s="80"/>
      <c r="R996" s="78"/>
      <c r="S996" s="78"/>
      <c r="T996" s="78"/>
      <c r="U996" s="78"/>
      <c r="V996" s="78"/>
    </row>
    <row r="997" spans="1:22" x14ac:dyDescent="0.25">
      <c r="A997" s="78"/>
      <c r="B997" s="78"/>
      <c r="C997" s="78"/>
      <c r="D997" s="78"/>
      <c r="E997" s="78"/>
      <c r="F997" s="76"/>
      <c r="G997" s="78"/>
      <c r="H997" s="78"/>
      <c r="I997" s="78"/>
      <c r="J997" s="77"/>
      <c r="K997" s="78"/>
      <c r="L997" s="78"/>
      <c r="M997" s="78"/>
      <c r="N997" s="76"/>
      <c r="O997" s="78"/>
      <c r="P997" s="80"/>
      <c r="Q997" s="80"/>
      <c r="R997" s="78"/>
      <c r="S997" s="78"/>
      <c r="T997" s="78"/>
      <c r="U997" s="78"/>
      <c r="V997" s="78"/>
    </row>
    <row r="998" spans="1:22" x14ac:dyDescent="0.25">
      <c r="A998" s="78"/>
      <c r="B998" s="78"/>
      <c r="C998" s="78"/>
      <c r="D998" s="78"/>
      <c r="E998" s="78"/>
      <c r="F998" s="76"/>
      <c r="G998" s="78"/>
      <c r="H998" s="78"/>
      <c r="I998" s="78"/>
      <c r="J998" s="77"/>
      <c r="K998" s="78"/>
      <c r="L998" s="78"/>
      <c r="M998" s="78"/>
      <c r="N998" s="76"/>
      <c r="O998" s="78"/>
      <c r="P998" s="80"/>
      <c r="Q998" s="80"/>
      <c r="R998" s="78"/>
      <c r="S998" s="78"/>
      <c r="T998" s="78"/>
      <c r="U998" s="78"/>
      <c r="V998" s="78"/>
    </row>
    <row r="999" spans="1:22" x14ac:dyDescent="0.25">
      <c r="A999" s="78"/>
      <c r="B999" s="78"/>
      <c r="C999" s="78"/>
      <c r="D999" s="78"/>
      <c r="E999" s="78"/>
      <c r="F999" s="76"/>
      <c r="G999" s="78"/>
      <c r="H999" s="78"/>
      <c r="I999" s="78"/>
      <c r="J999" s="77"/>
      <c r="K999" s="78"/>
      <c r="L999" s="78"/>
      <c r="M999" s="78"/>
      <c r="N999" s="76"/>
      <c r="O999" s="78"/>
      <c r="P999" s="80"/>
      <c r="Q999" s="80"/>
      <c r="R999" s="78"/>
      <c r="S999" s="78"/>
      <c r="T999" s="78"/>
      <c r="U999" s="78"/>
      <c r="V999" s="78"/>
    </row>
    <row r="1000" spans="1:22" x14ac:dyDescent="0.25">
      <c r="A1000" s="78"/>
      <c r="B1000" s="78"/>
      <c r="C1000" s="78"/>
      <c r="D1000" s="78"/>
      <c r="E1000" s="78"/>
      <c r="F1000" s="76"/>
      <c r="G1000" s="78"/>
      <c r="H1000" s="78"/>
      <c r="I1000" s="78"/>
      <c r="J1000" s="77"/>
      <c r="K1000" s="78"/>
      <c r="L1000" s="78"/>
      <c r="M1000" s="78"/>
      <c r="N1000" s="76"/>
      <c r="O1000" s="78"/>
      <c r="P1000" s="80"/>
      <c r="Q1000" s="80"/>
      <c r="R1000" s="78"/>
      <c r="S1000" s="78"/>
      <c r="T1000" s="78"/>
      <c r="U1000" s="78"/>
      <c r="V1000" s="78"/>
    </row>
    <row r="1001" spans="1:22" x14ac:dyDescent="0.25">
      <c r="A1001" s="78"/>
      <c r="B1001" s="78"/>
      <c r="C1001" s="78"/>
      <c r="D1001" s="78"/>
      <c r="E1001" s="78"/>
      <c r="F1001" s="76"/>
      <c r="G1001" s="78"/>
      <c r="H1001" s="78"/>
      <c r="I1001" s="78"/>
      <c r="J1001" s="77"/>
      <c r="K1001" s="78"/>
      <c r="L1001" s="78"/>
      <c r="M1001" s="78"/>
      <c r="N1001" s="76"/>
      <c r="O1001" s="78"/>
      <c r="P1001" s="80"/>
      <c r="Q1001" s="80"/>
      <c r="R1001" s="78"/>
      <c r="S1001" s="78"/>
      <c r="T1001" s="78"/>
      <c r="U1001" s="78"/>
      <c r="V1001" s="78"/>
    </row>
  </sheetData>
  <mergeCells count="5">
    <mergeCell ref="A1:A2"/>
    <mergeCell ref="B1:F1"/>
    <mergeCell ref="G1:J1"/>
    <mergeCell ref="K1:N1"/>
    <mergeCell ref="O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86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2" max="2" width="13.109375" customWidth="1"/>
    <col min="9" max="9" width="17.88671875" customWidth="1"/>
  </cols>
  <sheetData>
    <row r="1" spans="1:20" ht="46.8" x14ac:dyDescent="0.25">
      <c r="A1" s="86" t="s">
        <v>0</v>
      </c>
      <c r="B1" s="86" t="s">
        <v>85</v>
      </c>
      <c r="C1" s="86" t="s">
        <v>86</v>
      </c>
      <c r="D1" s="87" t="s">
        <v>87</v>
      </c>
      <c r="E1" s="88" t="s">
        <v>88</v>
      </c>
      <c r="F1" s="89" t="s">
        <v>89</v>
      </c>
      <c r="G1" s="89" t="s">
        <v>75</v>
      </c>
      <c r="H1" s="89" t="s">
        <v>76</v>
      </c>
      <c r="I1" s="90" t="s">
        <v>90</v>
      </c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0" ht="15" x14ac:dyDescent="0.25">
      <c r="A2" s="92">
        <v>43890</v>
      </c>
      <c r="B2" s="93">
        <v>40</v>
      </c>
      <c r="C2" s="93">
        <v>0</v>
      </c>
      <c r="D2" s="93">
        <f t="shared" ref="D2:D486" si="0">B2-C2</f>
        <v>40</v>
      </c>
      <c r="E2" s="94">
        <f t="shared" ref="E2:E486" si="1">C2/B2</f>
        <v>0</v>
      </c>
      <c r="F2" s="95">
        <v>40</v>
      </c>
      <c r="G2" s="96">
        <v>0</v>
      </c>
      <c r="H2" s="96">
        <v>40</v>
      </c>
      <c r="I2" s="97" t="s">
        <v>91</v>
      </c>
    </row>
    <row r="3" spans="1:20" ht="15" x14ac:dyDescent="0.25">
      <c r="A3" s="92">
        <v>43891</v>
      </c>
      <c r="B3" s="93">
        <v>39</v>
      </c>
      <c r="C3" s="93">
        <v>0</v>
      </c>
      <c r="D3" s="93">
        <f t="shared" si="0"/>
        <v>39</v>
      </c>
      <c r="E3" s="94">
        <f t="shared" si="1"/>
        <v>0</v>
      </c>
      <c r="F3" s="95">
        <v>39</v>
      </c>
      <c r="G3" s="96">
        <v>0</v>
      </c>
      <c r="H3" s="96">
        <v>39</v>
      </c>
      <c r="I3" s="97" t="s">
        <v>91</v>
      </c>
    </row>
    <row r="4" spans="1:20" ht="15" x14ac:dyDescent="0.25">
      <c r="A4" s="92">
        <v>43892</v>
      </c>
      <c r="B4" s="93">
        <v>3</v>
      </c>
      <c r="C4" s="93">
        <v>0</v>
      </c>
      <c r="D4" s="93">
        <f t="shared" si="0"/>
        <v>3</v>
      </c>
      <c r="E4" s="94">
        <f t="shared" si="1"/>
        <v>0</v>
      </c>
      <c r="F4" s="95">
        <v>3</v>
      </c>
      <c r="G4" s="96">
        <v>0</v>
      </c>
      <c r="H4" s="96">
        <v>3</v>
      </c>
      <c r="I4" s="97" t="s">
        <v>91</v>
      </c>
    </row>
    <row r="5" spans="1:20" ht="15" x14ac:dyDescent="0.25">
      <c r="A5" s="92">
        <v>43893</v>
      </c>
      <c r="B5" s="93">
        <v>15</v>
      </c>
      <c r="C5" s="93">
        <v>3</v>
      </c>
      <c r="D5" s="93">
        <f t="shared" si="0"/>
        <v>12</v>
      </c>
      <c r="E5" s="94">
        <f t="shared" si="1"/>
        <v>0.2</v>
      </c>
      <c r="F5" s="95">
        <v>15</v>
      </c>
      <c r="G5" s="96">
        <v>3</v>
      </c>
      <c r="H5" s="96">
        <v>12</v>
      </c>
      <c r="I5" s="97" t="s">
        <v>92</v>
      </c>
    </row>
    <row r="6" spans="1:20" ht="15" x14ac:dyDescent="0.25">
      <c r="A6" s="92">
        <v>43894</v>
      </c>
      <c r="B6" s="93">
        <v>7</v>
      </c>
      <c r="C6" s="93">
        <v>0</v>
      </c>
      <c r="D6" s="93">
        <f t="shared" si="0"/>
        <v>7</v>
      </c>
      <c r="E6" s="94">
        <f t="shared" si="1"/>
        <v>0</v>
      </c>
      <c r="F6" s="95">
        <v>7</v>
      </c>
      <c r="G6" s="96">
        <v>0</v>
      </c>
      <c r="H6" s="96">
        <v>7</v>
      </c>
      <c r="I6" s="97" t="s">
        <v>91</v>
      </c>
    </row>
    <row r="7" spans="1:20" ht="15" x14ac:dyDescent="0.25">
      <c r="A7" s="92">
        <v>43895</v>
      </c>
      <c r="B7" s="93">
        <v>27</v>
      </c>
      <c r="C7" s="93">
        <v>0</v>
      </c>
      <c r="D7" s="93">
        <f t="shared" si="0"/>
        <v>27</v>
      </c>
      <c r="E7" s="94">
        <f t="shared" si="1"/>
        <v>0</v>
      </c>
      <c r="F7" s="95">
        <v>27</v>
      </c>
      <c r="G7" s="96">
        <v>3</v>
      </c>
      <c r="H7" s="96">
        <v>24</v>
      </c>
      <c r="I7" s="97" t="s">
        <v>93</v>
      </c>
    </row>
    <row r="8" spans="1:20" ht="15" x14ac:dyDescent="0.25">
      <c r="A8" s="92">
        <v>43896</v>
      </c>
      <c r="B8" s="93">
        <v>5</v>
      </c>
      <c r="C8" s="93">
        <v>0</v>
      </c>
      <c r="D8" s="93">
        <f t="shared" si="0"/>
        <v>5</v>
      </c>
      <c r="E8" s="94">
        <f t="shared" si="1"/>
        <v>0</v>
      </c>
      <c r="F8" s="95">
        <v>5</v>
      </c>
      <c r="G8" s="96">
        <v>0</v>
      </c>
      <c r="H8" s="96">
        <v>5</v>
      </c>
      <c r="I8" s="97" t="s">
        <v>91</v>
      </c>
    </row>
    <row r="9" spans="1:20" ht="15" x14ac:dyDescent="0.25">
      <c r="A9" s="92">
        <v>43897</v>
      </c>
      <c r="B9" s="93">
        <v>26</v>
      </c>
      <c r="C9" s="93">
        <v>0</v>
      </c>
      <c r="D9" s="93">
        <f t="shared" si="0"/>
        <v>26</v>
      </c>
      <c r="E9" s="94">
        <f t="shared" si="1"/>
        <v>0</v>
      </c>
      <c r="F9" s="95">
        <v>26</v>
      </c>
      <c r="G9" s="96">
        <v>0</v>
      </c>
      <c r="H9" s="96">
        <v>26</v>
      </c>
      <c r="I9" s="97" t="s">
        <v>91</v>
      </c>
    </row>
    <row r="10" spans="1:20" ht="15" x14ac:dyDescent="0.25">
      <c r="A10" s="92">
        <v>43898</v>
      </c>
      <c r="B10" s="93">
        <v>56</v>
      </c>
      <c r="C10" s="93">
        <v>1</v>
      </c>
      <c r="D10" s="93">
        <f t="shared" si="0"/>
        <v>55</v>
      </c>
      <c r="E10" s="94">
        <f t="shared" si="1"/>
        <v>1.7857142857142856E-2</v>
      </c>
      <c r="F10" s="95">
        <v>56</v>
      </c>
      <c r="G10" s="96">
        <v>0</v>
      </c>
      <c r="H10" s="96">
        <v>56</v>
      </c>
      <c r="I10" s="97" t="s">
        <v>91</v>
      </c>
    </row>
    <row r="11" spans="1:20" ht="15" x14ac:dyDescent="0.25">
      <c r="A11" s="92">
        <v>43899</v>
      </c>
      <c r="B11" s="93">
        <v>73</v>
      </c>
      <c r="C11" s="93">
        <v>27</v>
      </c>
      <c r="D11" s="93">
        <f t="shared" si="0"/>
        <v>46</v>
      </c>
      <c r="E11" s="94">
        <f t="shared" si="1"/>
        <v>0.36986301369863012</v>
      </c>
      <c r="F11" s="95">
        <v>73</v>
      </c>
      <c r="G11" s="96">
        <v>25</v>
      </c>
      <c r="H11" s="96">
        <v>48</v>
      </c>
      <c r="I11" s="97" t="s">
        <v>94</v>
      </c>
    </row>
    <row r="12" spans="1:20" ht="15" x14ac:dyDescent="0.25">
      <c r="A12" s="92">
        <v>43900</v>
      </c>
      <c r="B12" s="93">
        <v>52</v>
      </c>
      <c r="C12" s="93">
        <v>2</v>
      </c>
      <c r="D12" s="93">
        <f t="shared" si="0"/>
        <v>50</v>
      </c>
      <c r="E12" s="94">
        <f t="shared" si="1"/>
        <v>3.8461538461538464E-2</v>
      </c>
      <c r="F12" s="95">
        <v>52</v>
      </c>
      <c r="G12" s="96">
        <v>0</v>
      </c>
      <c r="H12" s="96">
        <v>52</v>
      </c>
      <c r="I12" s="97" t="s">
        <v>91</v>
      </c>
    </row>
    <row r="13" spans="1:20" ht="15" x14ac:dyDescent="0.25">
      <c r="A13" s="92">
        <v>43901</v>
      </c>
      <c r="B13" s="93">
        <v>48</v>
      </c>
      <c r="C13" s="93">
        <v>26</v>
      </c>
      <c r="D13" s="93">
        <f t="shared" si="0"/>
        <v>22</v>
      </c>
      <c r="E13" s="94">
        <f t="shared" si="1"/>
        <v>0.54166666666666663</v>
      </c>
      <c r="F13" s="95">
        <v>48</v>
      </c>
      <c r="G13" s="96">
        <v>3</v>
      </c>
      <c r="H13" s="96">
        <v>45</v>
      </c>
      <c r="I13" s="97" t="s">
        <v>95</v>
      </c>
    </row>
    <row r="14" spans="1:20" ht="15" x14ac:dyDescent="0.25">
      <c r="A14" s="92">
        <v>43902</v>
      </c>
      <c r="B14" s="93">
        <v>56</v>
      </c>
      <c r="C14" s="93">
        <v>10</v>
      </c>
      <c r="D14" s="93">
        <f t="shared" si="0"/>
        <v>46</v>
      </c>
      <c r="E14" s="94">
        <f t="shared" si="1"/>
        <v>0.17857142857142858</v>
      </c>
      <c r="F14" s="95">
        <v>56</v>
      </c>
      <c r="G14" s="96">
        <v>23</v>
      </c>
      <c r="H14" s="96">
        <v>33</v>
      </c>
      <c r="I14" s="97" t="s">
        <v>96</v>
      </c>
    </row>
    <row r="15" spans="1:20" ht="15" x14ac:dyDescent="0.25">
      <c r="A15" s="92">
        <v>43903</v>
      </c>
      <c r="B15" s="93">
        <v>30</v>
      </c>
      <c r="C15" s="93">
        <v>7</v>
      </c>
      <c r="D15" s="93">
        <f t="shared" si="0"/>
        <v>23</v>
      </c>
      <c r="E15" s="94">
        <f t="shared" si="1"/>
        <v>0.23333333333333334</v>
      </c>
      <c r="F15" s="95">
        <v>30</v>
      </c>
      <c r="G15" s="96">
        <v>10</v>
      </c>
      <c r="H15" s="96">
        <v>20</v>
      </c>
      <c r="I15" s="97" t="s">
        <v>97</v>
      </c>
    </row>
    <row r="16" spans="1:20" ht="15" x14ac:dyDescent="0.25">
      <c r="A16" s="92">
        <v>43904</v>
      </c>
      <c r="B16" s="93">
        <v>44</v>
      </c>
      <c r="C16" s="93">
        <v>16</v>
      </c>
      <c r="D16" s="93">
        <f t="shared" si="0"/>
        <v>28</v>
      </c>
      <c r="E16" s="94">
        <f t="shared" si="1"/>
        <v>0.36363636363636365</v>
      </c>
      <c r="F16" s="95">
        <v>44</v>
      </c>
      <c r="G16" s="96">
        <v>3</v>
      </c>
      <c r="H16" s="96">
        <v>41</v>
      </c>
      <c r="I16" s="97" t="s">
        <v>98</v>
      </c>
    </row>
    <row r="17" spans="1:9" ht="15" x14ac:dyDescent="0.25">
      <c r="A17" s="92">
        <v>43905</v>
      </c>
      <c r="B17" s="93">
        <v>41</v>
      </c>
      <c r="C17" s="93">
        <v>2</v>
      </c>
      <c r="D17" s="93">
        <f t="shared" si="0"/>
        <v>39</v>
      </c>
      <c r="E17" s="94">
        <f t="shared" si="1"/>
        <v>4.878048780487805E-2</v>
      </c>
      <c r="F17" s="95">
        <v>41</v>
      </c>
      <c r="G17" s="96">
        <v>15</v>
      </c>
      <c r="H17" s="96">
        <v>26</v>
      </c>
      <c r="I17" s="97" t="s">
        <v>99</v>
      </c>
    </row>
    <row r="18" spans="1:9" ht="15" x14ac:dyDescent="0.25">
      <c r="A18" s="92">
        <v>43906</v>
      </c>
      <c r="B18" s="93">
        <v>47</v>
      </c>
      <c r="C18" s="93">
        <v>25</v>
      </c>
      <c r="D18" s="93">
        <f t="shared" si="0"/>
        <v>22</v>
      </c>
      <c r="E18" s="94">
        <f t="shared" si="1"/>
        <v>0.53191489361702127</v>
      </c>
      <c r="F18" s="95">
        <v>47</v>
      </c>
      <c r="G18" s="96">
        <v>2</v>
      </c>
      <c r="H18" s="96">
        <v>45</v>
      </c>
      <c r="I18" s="97" t="s">
        <v>100</v>
      </c>
    </row>
    <row r="19" spans="1:9" ht="15" x14ac:dyDescent="0.25">
      <c r="A19" s="92">
        <v>43907</v>
      </c>
      <c r="B19" s="93">
        <v>104</v>
      </c>
      <c r="C19" s="93">
        <v>38</v>
      </c>
      <c r="D19" s="93">
        <f t="shared" si="0"/>
        <v>66</v>
      </c>
      <c r="E19" s="94">
        <f t="shared" si="1"/>
        <v>0.36538461538461536</v>
      </c>
      <c r="F19" s="95">
        <v>104</v>
      </c>
      <c r="G19" s="96">
        <v>26</v>
      </c>
      <c r="H19" s="96">
        <v>78</v>
      </c>
      <c r="I19" s="97" t="s">
        <v>101</v>
      </c>
    </row>
    <row r="20" spans="1:9" ht="15" x14ac:dyDescent="0.25">
      <c r="A20" s="92">
        <v>43908</v>
      </c>
      <c r="B20" s="93">
        <v>132</v>
      </c>
      <c r="C20" s="93">
        <v>51</v>
      </c>
      <c r="D20" s="93">
        <f t="shared" si="0"/>
        <v>81</v>
      </c>
      <c r="E20" s="94">
        <f t="shared" si="1"/>
        <v>0.38636363636363635</v>
      </c>
      <c r="F20" s="95">
        <v>132</v>
      </c>
      <c r="G20" s="96">
        <v>38</v>
      </c>
      <c r="H20" s="96">
        <v>94</v>
      </c>
      <c r="I20" s="97" t="s">
        <v>102</v>
      </c>
    </row>
    <row r="21" spans="1:9" ht="15" x14ac:dyDescent="0.25">
      <c r="A21" s="92">
        <v>43909</v>
      </c>
      <c r="B21" s="93">
        <v>154</v>
      </c>
      <c r="C21" s="93">
        <v>13</v>
      </c>
      <c r="D21" s="93">
        <f t="shared" si="0"/>
        <v>141</v>
      </c>
      <c r="E21" s="94">
        <f t="shared" si="1"/>
        <v>8.4415584415584416E-2</v>
      </c>
      <c r="F21" s="95">
        <v>154</v>
      </c>
      <c r="G21" s="96">
        <v>48</v>
      </c>
      <c r="H21" s="96">
        <v>106</v>
      </c>
      <c r="I21" s="97" t="s">
        <v>103</v>
      </c>
    </row>
    <row r="22" spans="1:9" ht="15" x14ac:dyDescent="0.25">
      <c r="A22" s="92">
        <v>43910</v>
      </c>
      <c r="B22" s="93">
        <v>118</v>
      </c>
      <c r="C22" s="93">
        <v>44</v>
      </c>
      <c r="D22" s="93">
        <f t="shared" si="0"/>
        <v>74</v>
      </c>
      <c r="E22" s="94">
        <f t="shared" si="1"/>
        <v>0.3728813559322034</v>
      </c>
      <c r="F22" s="95">
        <v>118</v>
      </c>
      <c r="G22" s="96">
        <v>12</v>
      </c>
      <c r="H22" s="96">
        <v>106</v>
      </c>
      <c r="I22" s="97" t="s">
        <v>104</v>
      </c>
    </row>
    <row r="23" spans="1:9" ht="15.75" customHeight="1" x14ac:dyDescent="0.3">
      <c r="A23" s="92">
        <v>43911</v>
      </c>
      <c r="B23" s="93">
        <v>501</v>
      </c>
      <c r="C23" s="93">
        <v>39</v>
      </c>
      <c r="D23" s="93">
        <f t="shared" si="0"/>
        <v>462</v>
      </c>
      <c r="E23" s="94">
        <f t="shared" si="1"/>
        <v>7.7844311377245512E-2</v>
      </c>
      <c r="F23" s="95">
        <v>501</v>
      </c>
      <c r="G23" s="96">
        <v>48</v>
      </c>
      <c r="H23" s="98">
        <v>453</v>
      </c>
      <c r="I23" s="97" t="s">
        <v>105</v>
      </c>
    </row>
    <row r="24" spans="1:9" ht="15" x14ac:dyDescent="0.25">
      <c r="A24" s="92">
        <v>43912</v>
      </c>
      <c r="B24" s="93">
        <v>1097</v>
      </c>
      <c r="C24" s="93">
        <v>49</v>
      </c>
      <c r="D24" s="93">
        <f t="shared" si="0"/>
        <v>1048</v>
      </c>
      <c r="E24" s="94">
        <f t="shared" si="1"/>
        <v>4.4667274384685506E-2</v>
      </c>
      <c r="F24" s="95">
        <v>1097</v>
      </c>
      <c r="G24" s="96">
        <v>37</v>
      </c>
      <c r="H24" s="96">
        <v>1060</v>
      </c>
      <c r="I24" s="97" t="s">
        <v>106</v>
      </c>
    </row>
    <row r="25" spans="1:9" ht="15" x14ac:dyDescent="0.25">
      <c r="A25" s="92">
        <v>43913</v>
      </c>
      <c r="B25" s="93">
        <v>378</v>
      </c>
      <c r="C25" s="93">
        <v>71</v>
      </c>
      <c r="D25" s="93">
        <f t="shared" si="0"/>
        <v>307</v>
      </c>
      <c r="E25" s="94">
        <f t="shared" si="1"/>
        <v>0.18783068783068782</v>
      </c>
      <c r="F25" s="95">
        <v>378</v>
      </c>
      <c r="G25" s="96">
        <v>30</v>
      </c>
      <c r="H25" s="96">
        <v>348</v>
      </c>
      <c r="I25" s="97" t="s">
        <v>107</v>
      </c>
    </row>
    <row r="26" spans="1:9" ht="15" x14ac:dyDescent="0.25">
      <c r="A26" s="92">
        <v>43914</v>
      </c>
      <c r="B26" s="93">
        <v>347</v>
      </c>
      <c r="C26" s="93">
        <v>45</v>
      </c>
      <c r="D26" s="93">
        <f t="shared" si="0"/>
        <v>302</v>
      </c>
      <c r="E26" s="94">
        <f t="shared" si="1"/>
        <v>0.12968299711815562</v>
      </c>
      <c r="F26" s="95">
        <v>347</v>
      </c>
      <c r="G26" s="96">
        <v>71</v>
      </c>
      <c r="H26" s="96">
        <v>276</v>
      </c>
      <c r="I26" s="97" t="s">
        <v>108</v>
      </c>
    </row>
    <row r="27" spans="1:9" ht="15" x14ac:dyDescent="0.25">
      <c r="A27" s="92">
        <v>43915</v>
      </c>
      <c r="B27" s="93">
        <v>196</v>
      </c>
      <c r="C27" s="93">
        <v>43</v>
      </c>
      <c r="D27" s="93">
        <f t="shared" si="0"/>
        <v>153</v>
      </c>
      <c r="E27" s="94">
        <f t="shared" si="1"/>
        <v>0.21938775510204081</v>
      </c>
      <c r="F27" s="95">
        <v>196</v>
      </c>
      <c r="G27" s="96">
        <v>46</v>
      </c>
      <c r="H27" s="96">
        <v>150</v>
      </c>
      <c r="I27" s="97" t="s">
        <v>109</v>
      </c>
    </row>
    <row r="28" spans="1:9" ht="15" x14ac:dyDescent="0.25">
      <c r="A28" s="92">
        <v>43916</v>
      </c>
      <c r="B28" s="93">
        <v>248</v>
      </c>
      <c r="C28" s="93">
        <v>51</v>
      </c>
      <c r="D28" s="93">
        <f t="shared" si="0"/>
        <v>197</v>
      </c>
      <c r="E28" s="94">
        <f t="shared" si="1"/>
        <v>0.20564516129032259</v>
      </c>
      <c r="F28" s="95">
        <v>248</v>
      </c>
      <c r="G28" s="96">
        <v>37</v>
      </c>
      <c r="H28" s="96">
        <v>211</v>
      </c>
      <c r="I28" s="97" t="s">
        <v>110</v>
      </c>
    </row>
    <row r="29" spans="1:9" ht="15" x14ac:dyDescent="0.25">
      <c r="A29" s="92">
        <v>43917</v>
      </c>
      <c r="B29" s="93">
        <v>199</v>
      </c>
      <c r="C29" s="93">
        <v>37</v>
      </c>
      <c r="D29" s="93">
        <f t="shared" si="0"/>
        <v>162</v>
      </c>
      <c r="E29" s="94">
        <f t="shared" si="1"/>
        <v>0.18592964824120603</v>
      </c>
      <c r="F29" s="95">
        <v>200</v>
      </c>
      <c r="G29" s="96">
        <v>48</v>
      </c>
      <c r="H29" s="96">
        <v>152</v>
      </c>
      <c r="I29" s="97" t="s">
        <v>111</v>
      </c>
    </row>
    <row r="30" spans="1:9" ht="15" x14ac:dyDescent="0.25">
      <c r="A30" s="92">
        <v>43918</v>
      </c>
      <c r="B30" s="93">
        <v>359</v>
      </c>
      <c r="C30" s="93">
        <v>98</v>
      </c>
      <c r="D30" s="93">
        <f t="shared" si="0"/>
        <v>261</v>
      </c>
      <c r="E30" s="94">
        <f t="shared" si="1"/>
        <v>0.27298050139275765</v>
      </c>
      <c r="F30" s="95">
        <v>359</v>
      </c>
      <c r="G30" s="96">
        <v>35</v>
      </c>
      <c r="H30" s="96">
        <v>324</v>
      </c>
      <c r="I30" s="97" t="s">
        <v>112</v>
      </c>
    </row>
    <row r="31" spans="1:9" ht="15" x14ac:dyDescent="0.25">
      <c r="A31" s="92">
        <v>43919</v>
      </c>
      <c r="B31" s="93">
        <v>127</v>
      </c>
      <c r="C31" s="93">
        <v>26</v>
      </c>
      <c r="D31" s="93">
        <f t="shared" si="0"/>
        <v>101</v>
      </c>
      <c r="E31" s="94">
        <f t="shared" si="1"/>
        <v>0.20472440944881889</v>
      </c>
      <c r="F31" s="95">
        <v>127</v>
      </c>
      <c r="G31" s="96">
        <v>102</v>
      </c>
      <c r="H31" s="96">
        <v>25</v>
      </c>
      <c r="I31" s="97" t="s">
        <v>113</v>
      </c>
    </row>
    <row r="32" spans="1:9" ht="15" x14ac:dyDescent="0.25">
      <c r="A32" s="92">
        <v>43920</v>
      </c>
      <c r="B32" s="93">
        <v>217</v>
      </c>
      <c r="C32" s="93">
        <v>14</v>
      </c>
      <c r="D32" s="93">
        <f t="shared" si="0"/>
        <v>203</v>
      </c>
      <c r="E32" s="94">
        <f t="shared" si="1"/>
        <v>6.4516129032258063E-2</v>
      </c>
      <c r="F32" s="95">
        <v>217</v>
      </c>
      <c r="G32" s="96">
        <v>26</v>
      </c>
      <c r="H32" s="96">
        <v>191</v>
      </c>
      <c r="I32" s="97" t="s">
        <v>114</v>
      </c>
    </row>
    <row r="33" spans="1:9" ht="15" x14ac:dyDescent="0.25">
      <c r="A33" s="92">
        <v>43921</v>
      </c>
      <c r="B33" s="93">
        <v>300</v>
      </c>
      <c r="C33" s="93">
        <v>75</v>
      </c>
      <c r="D33" s="93">
        <f t="shared" si="0"/>
        <v>225</v>
      </c>
      <c r="E33" s="94">
        <f t="shared" si="1"/>
        <v>0.25</v>
      </c>
      <c r="F33" s="95">
        <v>300</v>
      </c>
      <c r="G33" s="96">
        <v>31</v>
      </c>
      <c r="H33" s="96">
        <v>269</v>
      </c>
      <c r="I33" s="97" t="s">
        <v>115</v>
      </c>
    </row>
    <row r="34" spans="1:9" ht="15" x14ac:dyDescent="0.25">
      <c r="A34" s="92">
        <v>43922</v>
      </c>
      <c r="B34" s="93">
        <v>164</v>
      </c>
      <c r="C34" s="93">
        <v>93</v>
      </c>
      <c r="D34" s="93">
        <f t="shared" si="0"/>
        <v>71</v>
      </c>
      <c r="E34" s="94">
        <f t="shared" si="1"/>
        <v>0.56707317073170727</v>
      </c>
      <c r="F34" s="95">
        <v>194</v>
      </c>
      <c r="G34" s="96">
        <v>78</v>
      </c>
      <c r="H34" s="96">
        <v>116</v>
      </c>
      <c r="I34" s="97" t="s">
        <v>116</v>
      </c>
    </row>
    <row r="35" spans="1:9" ht="15" x14ac:dyDescent="0.25">
      <c r="A35" s="92">
        <v>43923</v>
      </c>
      <c r="B35" s="93">
        <v>455</v>
      </c>
      <c r="C35" s="93">
        <v>81</v>
      </c>
      <c r="D35" s="93">
        <f t="shared" si="0"/>
        <v>374</v>
      </c>
      <c r="E35" s="94">
        <f t="shared" si="1"/>
        <v>0.17802197802197803</v>
      </c>
      <c r="F35" s="95">
        <v>615</v>
      </c>
      <c r="G35" s="96">
        <v>104</v>
      </c>
      <c r="H35" s="96">
        <v>511</v>
      </c>
      <c r="I35" s="97" t="s">
        <v>117</v>
      </c>
    </row>
    <row r="36" spans="1:9" ht="15" x14ac:dyDescent="0.25">
      <c r="A36" s="92">
        <v>43924</v>
      </c>
      <c r="B36" s="93">
        <v>908</v>
      </c>
      <c r="C36" s="93">
        <v>81</v>
      </c>
      <c r="D36" s="93">
        <f t="shared" si="0"/>
        <v>827</v>
      </c>
      <c r="E36" s="94">
        <f t="shared" si="1"/>
        <v>8.9207048458149779E-2</v>
      </c>
      <c r="F36" s="95">
        <v>788</v>
      </c>
      <c r="G36" s="96">
        <v>132</v>
      </c>
      <c r="H36" s="96">
        <v>656</v>
      </c>
      <c r="I36" s="97" t="s">
        <v>118</v>
      </c>
    </row>
    <row r="37" spans="1:9" ht="15" x14ac:dyDescent="0.25">
      <c r="A37" s="92">
        <v>43925</v>
      </c>
      <c r="B37" s="93">
        <v>1470</v>
      </c>
      <c r="C37" s="93">
        <v>80</v>
      </c>
      <c r="D37" s="93">
        <f t="shared" si="0"/>
        <v>1390</v>
      </c>
      <c r="E37" s="94">
        <f t="shared" si="1"/>
        <v>5.4421768707482991E-2</v>
      </c>
      <c r="F37" s="95">
        <v>1651</v>
      </c>
      <c r="G37" s="96">
        <v>145</v>
      </c>
      <c r="H37" s="96">
        <v>1506</v>
      </c>
      <c r="I37" s="97" t="s">
        <v>119</v>
      </c>
    </row>
    <row r="38" spans="1:9" ht="15" x14ac:dyDescent="0.25">
      <c r="A38" s="92">
        <v>43926</v>
      </c>
      <c r="B38" s="93">
        <v>1218</v>
      </c>
      <c r="C38" s="93">
        <v>148</v>
      </c>
      <c r="D38" s="93">
        <f t="shared" si="0"/>
        <v>1070</v>
      </c>
      <c r="E38" s="94">
        <f t="shared" si="1"/>
        <v>0.12151067323481117</v>
      </c>
      <c r="F38" s="95">
        <v>1618</v>
      </c>
      <c r="G38" s="96">
        <v>208</v>
      </c>
      <c r="H38" s="96">
        <v>1410</v>
      </c>
      <c r="I38" s="97" t="s">
        <v>120</v>
      </c>
    </row>
    <row r="39" spans="1:9" ht="15" x14ac:dyDescent="0.25">
      <c r="A39" s="92">
        <v>43927</v>
      </c>
      <c r="B39" s="93">
        <v>812</v>
      </c>
      <c r="C39" s="93">
        <v>144</v>
      </c>
      <c r="D39" s="93">
        <f t="shared" si="0"/>
        <v>668</v>
      </c>
      <c r="E39" s="94">
        <f t="shared" si="1"/>
        <v>0.17733990147783252</v>
      </c>
      <c r="F39" s="95">
        <v>1189</v>
      </c>
      <c r="G39" s="96">
        <v>138</v>
      </c>
      <c r="H39" s="96">
        <v>1051</v>
      </c>
      <c r="I39" s="97" t="s">
        <v>121</v>
      </c>
    </row>
    <row r="40" spans="1:9" ht="15" x14ac:dyDescent="0.25">
      <c r="A40" s="92">
        <v>43928</v>
      </c>
      <c r="B40" s="93">
        <v>877</v>
      </c>
      <c r="C40" s="93">
        <v>109</v>
      </c>
      <c r="D40" s="93">
        <f t="shared" si="0"/>
        <v>768</v>
      </c>
      <c r="E40" s="94">
        <f t="shared" si="1"/>
        <v>0.12428734321550741</v>
      </c>
      <c r="F40" s="95">
        <v>1476</v>
      </c>
      <c r="G40" s="96">
        <v>158</v>
      </c>
      <c r="H40" s="96">
        <v>1318</v>
      </c>
      <c r="I40" s="97" t="s">
        <v>122</v>
      </c>
    </row>
    <row r="41" spans="1:9" ht="15" x14ac:dyDescent="0.25">
      <c r="A41" s="92">
        <v>43929</v>
      </c>
      <c r="B41" s="93">
        <v>988</v>
      </c>
      <c r="C41" s="93">
        <v>167</v>
      </c>
      <c r="D41" s="93">
        <f t="shared" si="0"/>
        <v>821</v>
      </c>
      <c r="E41" s="94">
        <f t="shared" si="1"/>
        <v>0.16902834008097167</v>
      </c>
      <c r="F41" s="95">
        <v>1412</v>
      </c>
      <c r="G41" s="96">
        <v>134</v>
      </c>
      <c r="H41" s="96">
        <v>1278</v>
      </c>
      <c r="I41" s="97" t="s">
        <v>123</v>
      </c>
    </row>
    <row r="42" spans="1:9" ht="15" x14ac:dyDescent="0.25">
      <c r="A42" s="92">
        <v>43930</v>
      </c>
      <c r="B42" s="93">
        <v>1003</v>
      </c>
      <c r="C42" s="93">
        <v>91</v>
      </c>
      <c r="D42" s="93">
        <f t="shared" si="0"/>
        <v>912</v>
      </c>
      <c r="E42" s="94">
        <f t="shared" si="1"/>
        <v>9.072781655034895E-2</v>
      </c>
      <c r="F42" s="95">
        <v>1433</v>
      </c>
      <c r="G42" s="96">
        <v>201</v>
      </c>
      <c r="H42" s="96">
        <v>1232</v>
      </c>
      <c r="I42" s="97" t="s">
        <v>124</v>
      </c>
    </row>
    <row r="43" spans="1:9" ht="15" x14ac:dyDescent="0.25">
      <c r="A43" s="92">
        <v>43931</v>
      </c>
      <c r="B43" s="93">
        <v>1304</v>
      </c>
      <c r="C43" s="93">
        <v>93</v>
      </c>
      <c r="D43" s="93">
        <f t="shared" si="0"/>
        <v>1211</v>
      </c>
      <c r="E43" s="94">
        <f t="shared" si="1"/>
        <v>7.131901840490798E-2</v>
      </c>
      <c r="F43" s="95">
        <v>1863</v>
      </c>
      <c r="G43" s="96">
        <v>162</v>
      </c>
      <c r="H43" s="96">
        <v>1701</v>
      </c>
      <c r="I43" s="97" t="s">
        <v>125</v>
      </c>
    </row>
    <row r="44" spans="1:9" ht="15" x14ac:dyDescent="0.25">
      <c r="A44" s="92">
        <v>43932</v>
      </c>
      <c r="B44" s="93">
        <v>916</v>
      </c>
      <c r="C44" s="93">
        <v>179</v>
      </c>
      <c r="D44" s="93">
        <f t="shared" si="0"/>
        <v>737</v>
      </c>
      <c r="E44" s="94">
        <f t="shared" si="1"/>
        <v>0.19541484716157206</v>
      </c>
      <c r="F44" s="95">
        <v>1308</v>
      </c>
      <c r="G44" s="96">
        <v>160</v>
      </c>
      <c r="H44" s="96">
        <v>1148</v>
      </c>
      <c r="I44" s="97" t="s">
        <v>126</v>
      </c>
    </row>
    <row r="45" spans="1:9" ht="15" x14ac:dyDescent="0.25">
      <c r="A45" s="92">
        <v>43933</v>
      </c>
      <c r="B45" s="93">
        <v>844</v>
      </c>
      <c r="C45" s="93">
        <v>160</v>
      </c>
      <c r="D45" s="93">
        <f t="shared" si="0"/>
        <v>684</v>
      </c>
      <c r="E45" s="94">
        <f t="shared" si="1"/>
        <v>0.1895734597156398</v>
      </c>
      <c r="F45" s="95">
        <v>1205</v>
      </c>
      <c r="G45" s="96">
        <v>173</v>
      </c>
      <c r="H45" s="96">
        <v>1032</v>
      </c>
      <c r="I45" s="97" t="s">
        <v>127</v>
      </c>
    </row>
    <row r="46" spans="1:9" ht="15" x14ac:dyDescent="0.25">
      <c r="A46" s="92">
        <v>43934</v>
      </c>
      <c r="B46" s="93">
        <v>840</v>
      </c>
      <c r="C46" s="93">
        <v>107</v>
      </c>
      <c r="D46" s="93">
        <f t="shared" si="0"/>
        <v>733</v>
      </c>
      <c r="E46" s="94">
        <f t="shared" si="1"/>
        <v>0.12738095238095237</v>
      </c>
      <c r="F46" s="95">
        <v>1200</v>
      </c>
      <c r="G46" s="96">
        <v>133</v>
      </c>
      <c r="H46" s="96">
        <v>1067</v>
      </c>
      <c r="I46" s="97" t="s">
        <v>93</v>
      </c>
    </row>
    <row r="47" spans="1:9" ht="15" x14ac:dyDescent="0.25">
      <c r="A47" s="92">
        <v>43935</v>
      </c>
      <c r="B47" s="93">
        <v>1114</v>
      </c>
      <c r="C47" s="93">
        <v>98</v>
      </c>
      <c r="D47" s="93">
        <f t="shared" si="0"/>
        <v>1016</v>
      </c>
      <c r="E47" s="94">
        <f t="shared" si="1"/>
        <v>8.7971274685816878E-2</v>
      </c>
      <c r="F47" s="95">
        <v>1592</v>
      </c>
      <c r="G47" s="96">
        <v>160</v>
      </c>
      <c r="H47" s="96">
        <v>1432</v>
      </c>
      <c r="I47" s="97" t="s">
        <v>128</v>
      </c>
    </row>
    <row r="48" spans="1:9" ht="15" x14ac:dyDescent="0.25">
      <c r="A48" s="92">
        <v>43936</v>
      </c>
      <c r="B48" s="93">
        <v>981</v>
      </c>
      <c r="C48" s="93">
        <v>223</v>
      </c>
      <c r="D48" s="93">
        <f t="shared" si="0"/>
        <v>758</v>
      </c>
      <c r="E48" s="94">
        <f t="shared" si="1"/>
        <v>0.22731906218144751</v>
      </c>
      <c r="F48" s="95">
        <v>1401</v>
      </c>
      <c r="G48" s="96">
        <v>121</v>
      </c>
      <c r="H48" s="96">
        <v>1280</v>
      </c>
      <c r="I48" s="97" t="s">
        <v>129</v>
      </c>
    </row>
    <row r="49" spans="1:9" ht="15" x14ac:dyDescent="0.25">
      <c r="A49" s="92">
        <v>43937</v>
      </c>
      <c r="B49" s="93">
        <v>888</v>
      </c>
      <c r="C49" s="93">
        <v>153</v>
      </c>
      <c r="D49" s="93">
        <f t="shared" si="0"/>
        <v>735</v>
      </c>
      <c r="E49" s="94">
        <f t="shared" si="1"/>
        <v>0.17229729729729729</v>
      </c>
      <c r="F49" s="95">
        <v>1269</v>
      </c>
      <c r="G49" s="96">
        <v>168</v>
      </c>
      <c r="H49" s="96">
        <v>1101</v>
      </c>
      <c r="I49" s="97" t="s">
        <v>130</v>
      </c>
    </row>
    <row r="50" spans="1:9" ht="15" x14ac:dyDescent="0.25">
      <c r="A50" s="92">
        <v>43938</v>
      </c>
      <c r="B50" s="93">
        <v>1214</v>
      </c>
      <c r="C50" s="93">
        <v>79</v>
      </c>
      <c r="D50" s="93">
        <f t="shared" si="0"/>
        <v>1135</v>
      </c>
      <c r="E50" s="94">
        <f t="shared" si="1"/>
        <v>6.5074135090609553E-2</v>
      </c>
      <c r="F50" s="95">
        <v>1734</v>
      </c>
      <c r="G50" s="96">
        <v>131</v>
      </c>
      <c r="H50" s="96">
        <v>1603</v>
      </c>
      <c r="I50" s="97" t="s">
        <v>131</v>
      </c>
    </row>
    <row r="51" spans="1:9" ht="15" x14ac:dyDescent="0.25">
      <c r="A51" s="92">
        <v>43939</v>
      </c>
      <c r="B51" s="93">
        <v>1123</v>
      </c>
      <c r="C51" s="93">
        <v>131</v>
      </c>
      <c r="D51" s="93">
        <f t="shared" si="0"/>
        <v>992</v>
      </c>
      <c r="E51" s="94">
        <f t="shared" si="1"/>
        <v>0.11665182546749778</v>
      </c>
      <c r="F51" s="95">
        <v>1604</v>
      </c>
      <c r="G51" s="96">
        <v>125</v>
      </c>
      <c r="H51" s="96">
        <v>1479</v>
      </c>
      <c r="I51" s="97" t="s">
        <v>132</v>
      </c>
    </row>
    <row r="52" spans="1:9" ht="15" x14ac:dyDescent="0.25">
      <c r="A52" s="92">
        <v>43940</v>
      </c>
      <c r="B52" s="93">
        <v>1248</v>
      </c>
      <c r="C52" s="93">
        <v>79</v>
      </c>
      <c r="D52" s="93">
        <f t="shared" si="0"/>
        <v>1169</v>
      </c>
      <c r="E52" s="94">
        <f t="shared" si="1"/>
        <v>6.3301282051282048E-2</v>
      </c>
      <c r="F52" s="95">
        <v>1783</v>
      </c>
      <c r="G52" s="96">
        <v>66</v>
      </c>
      <c r="H52" s="96">
        <v>1717</v>
      </c>
      <c r="I52" s="97" t="s">
        <v>133</v>
      </c>
    </row>
    <row r="53" spans="1:9" ht="15" x14ac:dyDescent="0.25">
      <c r="A53" s="92">
        <v>43941</v>
      </c>
      <c r="B53" s="93">
        <v>1606</v>
      </c>
      <c r="C53" s="93">
        <v>167</v>
      </c>
      <c r="D53" s="93">
        <f t="shared" si="0"/>
        <v>1439</v>
      </c>
      <c r="E53" s="94">
        <f t="shared" si="1"/>
        <v>0.10398505603985056</v>
      </c>
      <c r="F53" s="95">
        <v>2294</v>
      </c>
      <c r="G53" s="96">
        <v>185</v>
      </c>
      <c r="H53" s="96">
        <v>2109</v>
      </c>
      <c r="I53" s="97" t="s">
        <v>134</v>
      </c>
    </row>
    <row r="54" spans="1:9" ht="15" x14ac:dyDescent="0.25">
      <c r="A54" s="92">
        <v>43942</v>
      </c>
      <c r="B54" s="93">
        <v>1599</v>
      </c>
      <c r="C54" s="93">
        <v>120</v>
      </c>
      <c r="D54" s="93">
        <f t="shared" si="0"/>
        <v>1479</v>
      </c>
      <c r="E54" s="94">
        <f t="shared" si="1"/>
        <v>7.5046904315197005E-2</v>
      </c>
      <c r="F54" s="95">
        <v>2284</v>
      </c>
      <c r="G54" s="96">
        <v>165</v>
      </c>
      <c r="H54" s="96">
        <v>2119</v>
      </c>
      <c r="I54" s="97" t="s">
        <v>135</v>
      </c>
    </row>
    <row r="55" spans="1:9" ht="15" x14ac:dyDescent="0.25">
      <c r="A55" s="92">
        <v>43943</v>
      </c>
      <c r="B55" s="93">
        <v>1552</v>
      </c>
      <c r="C55" s="93">
        <v>107</v>
      </c>
      <c r="D55" s="93">
        <f t="shared" si="0"/>
        <v>1445</v>
      </c>
      <c r="E55" s="94">
        <f t="shared" si="1"/>
        <v>6.894329896907217E-2</v>
      </c>
      <c r="F55" s="95">
        <v>2217</v>
      </c>
      <c r="G55" s="96">
        <v>113</v>
      </c>
      <c r="H55" s="96">
        <v>2104</v>
      </c>
      <c r="I55" s="97" t="s">
        <v>136</v>
      </c>
    </row>
    <row r="56" spans="1:9" ht="15" x14ac:dyDescent="0.25">
      <c r="A56" s="92">
        <v>43944</v>
      </c>
      <c r="B56" s="93">
        <v>1714</v>
      </c>
      <c r="C56" s="93">
        <v>99</v>
      </c>
      <c r="D56" s="93">
        <f t="shared" si="0"/>
        <v>1615</v>
      </c>
      <c r="E56" s="94">
        <f t="shared" si="1"/>
        <v>5.7759626604434074E-2</v>
      </c>
      <c r="F56" s="95">
        <v>2449</v>
      </c>
      <c r="G56" s="96">
        <v>127</v>
      </c>
      <c r="H56" s="96">
        <v>2322</v>
      </c>
      <c r="I56" s="97" t="s">
        <v>137</v>
      </c>
    </row>
    <row r="57" spans="1:9" ht="15" x14ac:dyDescent="0.25">
      <c r="A57" s="92">
        <v>43945</v>
      </c>
      <c r="B57" s="93">
        <v>1599</v>
      </c>
      <c r="C57" s="93">
        <v>76</v>
      </c>
      <c r="D57" s="93">
        <f t="shared" si="0"/>
        <v>1523</v>
      </c>
      <c r="E57" s="94">
        <f t="shared" si="1"/>
        <v>4.7529706066291436E-2</v>
      </c>
      <c r="F57" s="95">
        <v>2284</v>
      </c>
      <c r="G57" s="96">
        <v>122</v>
      </c>
      <c r="H57" s="96">
        <v>2162</v>
      </c>
      <c r="I57" s="97" t="s">
        <v>138</v>
      </c>
    </row>
    <row r="58" spans="1:9" ht="15" x14ac:dyDescent="0.25">
      <c r="A58" s="92">
        <v>43946</v>
      </c>
      <c r="B58" s="93">
        <v>1278</v>
      </c>
      <c r="C58" s="93">
        <v>65</v>
      </c>
      <c r="D58" s="93">
        <f t="shared" si="0"/>
        <v>1213</v>
      </c>
      <c r="E58" s="94">
        <f t="shared" si="1"/>
        <v>5.086071987480438E-2</v>
      </c>
      <c r="F58" s="95">
        <v>1826</v>
      </c>
      <c r="G58" s="96">
        <v>132</v>
      </c>
      <c r="H58" s="96">
        <v>1694</v>
      </c>
      <c r="I58" s="97" t="s">
        <v>135</v>
      </c>
    </row>
    <row r="59" spans="1:9" ht="15" x14ac:dyDescent="0.25">
      <c r="A59" s="92">
        <v>43947</v>
      </c>
      <c r="B59" s="93">
        <v>803</v>
      </c>
      <c r="C59" s="93">
        <v>86</v>
      </c>
      <c r="D59" s="93">
        <f t="shared" si="0"/>
        <v>717</v>
      </c>
      <c r="E59" s="94">
        <f t="shared" si="1"/>
        <v>0.10709838107098381</v>
      </c>
      <c r="F59" s="95">
        <v>1147</v>
      </c>
      <c r="G59" s="96">
        <v>38</v>
      </c>
      <c r="H59" s="96">
        <v>1109</v>
      </c>
      <c r="I59" s="97" t="s">
        <v>139</v>
      </c>
    </row>
    <row r="60" spans="1:9" ht="15" x14ac:dyDescent="0.25">
      <c r="A60" s="92">
        <v>43948</v>
      </c>
      <c r="B60" s="93">
        <v>1434</v>
      </c>
      <c r="C60" s="93">
        <v>118</v>
      </c>
      <c r="D60" s="93">
        <f t="shared" si="0"/>
        <v>1316</v>
      </c>
      <c r="E60" s="94">
        <f t="shared" si="1"/>
        <v>8.2287308228730829E-2</v>
      </c>
      <c r="F60" s="95">
        <v>2049</v>
      </c>
      <c r="G60" s="96">
        <v>53</v>
      </c>
      <c r="H60" s="96">
        <v>1996</v>
      </c>
      <c r="I60" s="97" t="s">
        <v>140</v>
      </c>
    </row>
    <row r="61" spans="1:9" ht="15" x14ac:dyDescent="0.25">
      <c r="A61" s="92">
        <v>43949</v>
      </c>
      <c r="B61" s="93">
        <v>1904</v>
      </c>
      <c r="C61" s="93">
        <v>83</v>
      </c>
      <c r="D61" s="93">
        <f t="shared" si="0"/>
        <v>1821</v>
      </c>
      <c r="E61" s="94">
        <f t="shared" si="1"/>
        <v>4.3592436974789914E-2</v>
      </c>
      <c r="F61" s="95">
        <v>2720</v>
      </c>
      <c r="G61" s="96">
        <v>183</v>
      </c>
      <c r="H61" s="96">
        <v>2537</v>
      </c>
      <c r="I61" s="97" t="s">
        <v>141</v>
      </c>
    </row>
    <row r="62" spans="1:9" ht="15" x14ac:dyDescent="0.25">
      <c r="A62" s="92">
        <v>43950</v>
      </c>
      <c r="B62" s="93">
        <v>2276</v>
      </c>
      <c r="C62" s="93">
        <v>105</v>
      </c>
      <c r="D62" s="93">
        <f t="shared" si="0"/>
        <v>2171</v>
      </c>
      <c r="E62" s="94">
        <f t="shared" si="1"/>
        <v>4.6133567662565905E-2</v>
      </c>
      <c r="F62" s="95">
        <v>3251</v>
      </c>
      <c r="G62" s="96">
        <v>125</v>
      </c>
      <c r="H62" s="96">
        <v>3126</v>
      </c>
      <c r="I62" s="97" t="s">
        <v>142</v>
      </c>
    </row>
    <row r="63" spans="1:9" ht="15" x14ac:dyDescent="0.25">
      <c r="A63" s="92">
        <v>43951</v>
      </c>
      <c r="B63" s="93">
        <v>2339</v>
      </c>
      <c r="C63" s="93">
        <v>145</v>
      </c>
      <c r="D63" s="93">
        <f t="shared" si="0"/>
        <v>2194</v>
      </c>
      <c r="E63" s="94">
        <f t="shared" si="1"/>
        <v>6.1992304403591277E-2</v>
      </c>
      <c r="F63" s="95">
        <v>3342</v>
      </c>
      <c r="G63" s="96">
        <v>159</v>
      </c>
      <c r="H63" s="96">
        <v>3183</v>
      </c>
      <c r="I63" s="97" t="s">
        <v>143</v>
      </c>
    </row>
    <row r="64" spans="1:9" ht="15" x14ac:dyDescent="0.25">
      <c r="A64" s="92">
        <v>43952</v>
      </c>
      <c r="B64" s="93">
        <v>2496</v>
      </c>
      <c r="C64" s="93">
        <v>72</v>
      </c>
      <c r="D64" s="93">
        <f t="shared" si="0"/>
        <v>2424</v>
      </c>
      <c r="E64" s="94">
        <f t="shared" si="1"/>
        <v>2.8846153846153848E-2</v>
      </c>
      <c r="F64" s="95">
        <v>3566</v>
      </c>
      <c r="G64" s="96">
        <v>115</v>
      </c>
      <c r="H64" s="96">
        <v>3451</v>
      </c>
      <c r="I64" s="97" t="s">
        <v>144</v>
      </c>
    </row>
    <row r="65" spans="1:9" ht="15" x14ac:dyDescent="0.25">
      <c r="A65" s="92">
        <v>43953</v>
      </c>
      <c r="B65" s="93">
        <v>2211</v>
      </c>
      <c r="C65" s="93">
        <v>62</v>
      </c>
      <c r="D65" s="93">
        <f t="shared" si="0"/>
        <v>2149</v>
      </c>
      <c r="E65" s="94">
        <f t="shared" si="1"/>
        <v>2.8041610131162371E-2</v>
      </c>
      <c r="F65" s="95">
        <v>3158</v>
      </c>
      <c r="G65" s="96">
        <v>153</v>
      </c>
      <c r="H65" s="96">
        <v>3005</v>
      </c>
      <c r="I65" s="97" t="s">
        <v>143</v>
      </c>
    </row>
    <row r="66" spans="1:9" ht="15" x14ac:dyDescent="0.25">
      <c r="A66" s="92">
        <v>43954</v>
      </c>
      <c r="B66" s="93">
        <v>1127</v>
      </c>
      <c r="C66" s="93">
        <v>55</v>
      </c>
      <c r="D66" s="93">
        <f t="shared" si="0"/>
        <v>1072</v>
      </c>
      <c r="E66" s="94">
        <f t="shared" si="1"/>
        <v>4.8802129547471165E-2</v>
      </c>
      <c r="F66" s="95">
        <v>1610</v>
      </c>
      <c r="G66" s="96">
        <v>113</v>
      </c>
      <c r="H66" s="96">
        <v>1497</v>
      </c>
      <c r="I66" s="97" t="s">
        <v>145</v>
      </c>
    </row>
    <row r="67" spans="1:9" ht="15" x14ac:dyDescent="0.25">
      <c r="A67" s="92">
        <v>43955</v>
      </c>
      <c r="B67" s="93">
        <v>2594</v>
      </c>
      <c r="C67" s="93">
        <v>169</v>
      </c>
      <c r="D67" s="93">
        <f t="shared" si="0"/>
        <v>2425</v>
      </c>
      <c r="E67" s="94">
        <f t="shared" si="1"/>
        <v>6.5150346954510413E-2</v>
      </c>
      <c r="F67" s="95">
        <v>3702</v>
      </c>
      <c r="G67" s="96">
        <v>208</v>
      </c>
      <c r="H67" s="96">
        <v>3494</v>
      </c>
      <c r="I67" s="97" t="s">
        <v>146</v>
      </c>
    </row>
    <row r="68" spans="1:9" ht="15" x14ac:dyDescent="0.25">
      <c r="A68" s="92">
        <v>43956</v>
      </c>
      <c r="B68" s="93">
        <v>2520</v>
      </c>
      <c r="C68" s="93">
        <v>68</v>
      </c>
      <c r="D68" s="93">
        <f t="shared" si="0"/>
        <v>2452</v>
      </c>
      <c r="E68" s="94">
        <f t="shared" si="1"/>
        <v>2.6984126984126985E-2</v>
      </c>
      <c r="F68" s="95">
        <v>3600</v>
      </c>
      <c r="G68" s="96">
        <v>295</v>
      </c>
      <c r="H68" s="96">
        <v>3305</v>
      </c>
      <c r="I68" s="97" t="s">
        <v>147</v>
      </c>
    </row>
    <row r="69" spans="1:9" ht="15" x14ac:dyDescent="0.25">
      <c r="A69" s="92">
        <v>43957</v>
      </c>
      <c r="B69" s="93">
        <v>2985</v>
      </c>
      <c r="C69" s="93">
        <v>66</v>
      </c>
      <c r="D69" s="93">
        <f t="shared" si="0"/>
        <v>2919</v>
      </c>
      <c r="E69" s="94">
        <f t="shared" si="1"/>
        <v>2.2110552763819097E-2</v>
      </c>
      <c r="F69" s="95">
        <v>4264</v>
      </c>
      <c r="G69" s="96">
        <v>211</v>
      </c>
      <c r="H69" s="96">
        <v>4053</v>
      </c>
      <c r="I69" s="97" t="s">
        <v>148</v>
      </c>
    </row>
    <row r="70" spans="1:9" ht="15" x14ac:dyDescent="0.25">
      <c r="A70" s="92">
        <v>43958</v>
      </c>
      <c r="B70" s="93">
        <v>1733</v>
      </c>
      <c r="C70" s="93">
        <v>126</v>
      </c>
      <c r="D70" s="93">
        <f t="shared" si="0"/>
        <v>1607</v>
      </c>
      <c r="E70" s="94">
        <f t="shared" si="1"/>
        <v>7.2706289671090593E-2</v>
      </c>
      <c r="F70" s="95">
        <v>2475</v>
      </c>
      <c r="G70" s="96">
        <v>171</v>
      </c>
      <c r="H70" s="96">
        <v>2304</v>
      </c>
      <c r="I70" s="97" t="s">
        <v>149</v>
      </c>
    </row>
    <row r="71" spans="1:9" ht="15" x14ac:dyDescent="0.25">
      <c r="A71" s="92">
        <v>43959</v>
      </c>
      <c r="B71" s="93">
        <v>2500</v>
      </c>
      <c r="C71" s="93">
        <v>57</v>
      </c>
      <c r="D71" s="93">
        <f t="shared" si="0"/>
        <v>2443</v>
      </c>
      <c r="E71" s="94">
        <f t="shared" si="1"/>
        <v>2.2800000000000001E-2</v>
      </c>
      <c r="F71" s="95">
        <v>3572</v>
      </c>
      <c r="G71" s="96">
        <v>343</v>
      </c>
      <c r="H71" s="96">
        <v>3229</v>
      </c>
      <c r="I71" s="97" t="s">
        <v>105</v>
      </c>
    </row>
    <row r="72" spans="1:9" ht="15" x14ac:dyDescent="0.25">
      <c r="A72" s="92">
        <v>43960</v>
      </c>
      <c r="B72" s="93">
        <v>2629</v>
      </c>
      <c r="C72" s="93">
        <v>182</v>
      </c>
      <c r="D72" s="93">
        <f t="shared" si="0"/>
        <v>2447</v>
      </c>
      <c r="E72" s="94">
        <f t="shared" si="1"/>
        <v>6.922784328642069E-2</v>
      </c>
      <c r="F72" s="95">
        <v>3745</v>
      </c>
      <c r="G72" s="96">
        <v>378</v>
      </c>
      <c r="H72" s="96">
        <v>3367</v>
      </c>
      <c r="I72" s="97" t="s">
        <v>128</v>
      </c>
    </row>
    <row r="73" spans="1:9" ht="15" x14ac:dyDescent="0.25">
      <c r="A73" s="92">
        <v>43961</v>
      </c>
      <c r="B73" s="93">
        <v>1490</v>
      </c>
      <c r="C73" s="93">
        <v>55</v>
      </c>
      <c r="D73" s="93">
        <f t="shared" si="0"/>
        <v>1435</v>
      </c>
      <c r="E73" s="94">
        <f t="shared" si="1"/>
        <v>3.6912751677852351E-2</v>
      </c>
      <c r="F73" s="95">
        <v>2128</v>
      </c>
      <c r="G73" s="96">
        <v>262</v>
      </c>
      <c r="H73" s="96">
        <v>1866</v>
      </c>
      <c r="I73" s="97" t="s">
        <v>150</v>
      </c>
    </row>
    <row r="74" spans="1:9" ht="15" x14ac:dyDescent="0.25">
      <c r="A74" s="92">
        <v>43962</v>
      </c>
      <c r="B74" s="93">
        <v>2575</v>
      </c>
      <c r="C74" s="93">
        <v>108</v>
      </c>
      <c r="D74" s="93">
        <f t="shared" si="0"/>
        <v>2467</v>
      </c>
      <c r="E74" s="94">
        <f t="shared" si="1"/>
        <v>4.1941747572815533E-2</v>
      </c>
      <c r="F74" s="95">
        <v>3678</v>
      </c>
      <c r="G74" s="96">
        <v>430</v>
      </c>
      <c r="H74" s="96">
        <v>3248</v>
      </c>
      <c r="I74" s="97" t="s">
        <v>151</v>
      </c>
    </row>
    <row r="75" spans="1:9" ht="15" x14ac:dyDescent="0.25">
      <c r="A75" s="92">
        <v>43963</v>
      </c>
      <c r="B75" s="93">
        <v>3119</v>
      </c>
      <c r="C75" s="93">
        <v>134</v>
      </c>
      <c r="D75" s="93">
        <f t="shared" si="0"/>
        <v>2985</v>
      </c>
      <c r="E75" s="94">
        <f t="shared" si="1"/>
        <v>4.2962487976915681E-2</v>
      </c>
      <c r="F75" s="95">
        <v>4456</v>
      </c>
      <c r="G75" s="96">
        <v>371</v>
      </c>
      <c r="H75" s="96">
        <v>4085</v>
      </c>
      <c r="I75" s="97" t="s">
        <v>152</v>
      </c>
    </row>
    <row r="76" spans="1:9" ht="15" x14ac:dyDescent="0.25">
      <c r="A76" s="92">
        <v>43964</v>
      </c>
      <c r="B76" s="93">
        <v>2601</v>
      </c>
      <c r="C76" s="93">
        <v>180</v>
      </c>
      <c r="D76" s="93">
        <f t="shared" si="0"/>
        <v>2421</v>
      </c>
      <c r="E76" s="94">
        <f t="shared" si="1"/>
        <v>6.9204152249134954E-2</v>
      </c>
      <c r="F76" s="95">
        <v>3716</v>
      </c>
      <c r="G76" s="96">
        <v>272</v>
      </c>
      <c r="H76" s="96">
        <v>3444</v>
      </c>
      <c r="I76" s="97" t="s">
        <v>153</v>
      </c>
    </row>
    <row r="77" spans="1:9" ht="15" x14ac:dyDescent="0.25">
      <c r="A77" s="92">
        <v>43965</v>
      </c>
      <c r="B77" s="93">
        <v>2500</v>
      </c>
      <c r="C77" s="93">
        <v>62</v>
      </c>
      <c r="D77" s="93">
        <f t="shared" si="0"/>
        <v>2438</v>
      </c>
      <c r="E77" s="94">
        <f t="shared" si="1"/>
        <v>2.4799999999999999E-2</v>
      </c>
      <c r="F77" s="95">
        <v>3572</v>
      </c>
      <c r="G77" s="96">
        <v>219</v>
      </c>
      <c r="H77" s="96">
        <v>3353</v>
      </c>
      <c r="I77" s="97" t="s">
        <v>154</v>
      </c>
    </row>
    <row r="78" spans="1:9" ht="15" x14ac:dyDescent="0.25">
      <c r="A78" s="92">
        <v>43966</v>
      </c>
      <c r="B78" s="93">
        <v>2433</v>
      </c>
      <c r="C78" s="93">
        <v>116</v>
      </c>
      <c r="D78" s="93">
        <f t="shared" si="0"/>
        <v>2317</v>
      </c>
      <c r="E78" s="94">
        <f t="shared" si="1"/>
        <v>4.7677764077270861E-2</v>
      </c>
      <c r="F78" s="95">
        <v>3476</v>
      </c>
      <c r="G78" s="96">
        <v>330</v>
      </c>
      <c r="H78" s="96">
        <v>3146</v>
      </c>
      <c r="I78" s="97" t="s">
        <v>123</v>
      </c>
    </row>
    <row r="79" spans="1:9" ht="15" x14ac:dyDescent="0.25">
      <c r="A79" s="92">
        <v>43967</v>
      </c>
      <c r="B79" s="93">
        <v>2006</v>
      </c>
      <c r="C79" s="93">
        <v>127</v>
      </c>
      <c r="D79" s="93">
        <f t="shared" si="0"/>
        <v>1879</v>
      </c>
      <c r="E79" s="94">
        <f t="shared" si="1"/>
        <v>6.3310069790628115E-2</v>
      </c>
      <c r="F79" s="95">
        <v>2866</v>
      </c>
      <c r="G79" s="96">
        <v>245</v>
      </c>
      <c r="H79" s="96">
        <v>2621</v>
      </c>
      <c r="I79" s="97" t="s">
        <v>155</v>
      </c>
    </row>
    <row r="80" spans="1:9" ht="15" x14ac:dyDescent="0.25">
      <c r="A80" s="92">
        <v>43968</v>
      </c>
      <c r="B80" s="93">
        <v>1673</v>
      </c>
      <c r="C80" s="93">
        <v>88</v>
      </c>
      <c r="D80" s="93">
        <f t="shared" si="0"/>
        <v>1585</v>
      </c>
      <c r="E80" s="94">
        <f t="shared" si="1"/>
        <v>5.2600119545726243E-2</v>
      </c>
      <c r="F80" s="95">
        <v>2390</v>
      </c>
      <c r="G80" s="96">
        <v>185</v>
      </c>
      <c r="H80" s="96">
        <v>2205</v>
      </c>
      <c r="I80" s="97" t="s">
        <v>156</v>
      </c>
    </row>
    <row r="81" spans="1:9" ht="15" x14ac:dyDescent="0.25">
      <c r="A81" s="92">
        <v>43969</v>
      </c>
      <c r="B81" s="93">
        <v>2194</v>
      </c>
      <c r="C81" s="93">
        <v>43</v>
      </c>
      <c r="D81" s="93">
        <f t="shared" si="0"/>
        <v>2151</v>
      </c>
      <c r="E81" s="94">
        <f t="shared" si="1"/>
        <v>1.9598906107566091E-2</v>
      </c>
      <c r="F81" s="95">
        <v>3134</v>
      </c>
      <c r="G81" s="96">
        <v>217</v>
      </c>
      <c r="H81" s="96">
        <v>2917</v>
      </c>
      <c r="I81" s="97" t="s">
        <v>149</v>
      </c>
    </row>
    <row r="82" spans="1:9" ht="15" x14ac:dyDescent="0.25">
      <c r="A82" s="92">
        <v>43970</v>
      </c>
      <c r="B82" s="93">
        <v>2530</v>
      </c>
      <c r="C82" s="93">
        <v>97</v>
      </c>
      <c r="D82" s="93">
        <f t="shared" si="0"/>
        <v>2433</v>
      </c>
      <c r="E82" s="94">
        <f t="shared" si="1"/>
        <v>3.8339920948616601E-2</v>
      </c>
      <c r="F82" s="95">
        <v>3604</v>
      </c>
      <c r="G82" s="96">
        <v>231</v>
      </c>
      <c r="H82" s="96">
        <v>3373</v>
      </c>
      <c r="I82" s="97" t="s">
        <v>157</v>
      </c>
    </row>
    <row r="83" spans="1:9" ht="15" x14ac:dyDescent="0.25">
      <c r="A83" s="92">
        <v>43971</v>
      </c>
      <c r="B83" s="93">
        <v>2457</v>
      </c>
      <c r="C83" s="93">
        <v>72</v>
      </c>
      <c r="D83" s="93">
        <f t="shared" si="0"/>
        <v>2385</v>
      </c>
      <c r="E83" s="94">
        <f t="shared" si="1"/>
        <v>2.9304029304029304E-2</v>
      </c>
      <c r="F83" s="95">
        <v>3510</v>
      </c>
      <c r="G83" s="96">
        <v>267</v>
      </c>
      <c r="H83" s="96">
        <v>3243</v>
      </c>
      <c r="I83" s="97" t="s">
        <v>131</v>
      </c>
    </row>
    <row r="84" spans="1:9" ht="15" x14ac:dyDescent="0.25">
      <c r="A84" s="92">
        <v>43972</v>
      </c>
      <c r="B84" s="93">
        <v>1907</v>
      </c>
      <c r="C84" s="93">
        <v>97</v>
      </c>
      <c r="D84" s="93">
        <f t="shared" si="0"/>
        <v>1810</v>
      </c>
      <c r="E84" s="94">
        <f t="shared" si="1"/>
        <v>5.0865233350812798E-2</v>
      </c>
      <c r="F84" s="95">
        <v>2724</v>
      </c>
      <c r="G84" s="96">
        <v>220</v>
      </c>
      <c r="H84" s="96">
        <v>2504</v>
      </c>
      <c r="I84" s="97" t="s">
        <v>134</v>
      </c>
    </row>
    <row r="85" spans="1:9" ht="15" x14ac:dyDescent="0.25">
      <c r="A85" s="92">
        <v>43973</v>
      </c>
      <c r="B85" s="93">
        <v>3214</v>
      </c>
      <c r="C85" s="93">
        <v>127</v>
      </c>
      <c r="D85" s="93">
        <f t="shared" si="0"/>
        <v>3087</v>
      </c>
      <c r="E85" s="94">
        <f t="shared" si="1"/>
        <v>3.9514623522090855E-2</v>
      </c>
      <c r="F85" s="95">
        <v>4592</v>
      </c>
      <c r="G85" s="96">
        <v>399</v>
      </c>
      <c r="H85" s="96">
        <v>4193</v>
      </c>
      <c r="I85" s="97" t="s">
        <v>125</v>
      </c>
    </row>
    <row r="86" spans="1:9" ht="15" x14ac:dyDescent="0.25">
      <c r="A86" s="92">
        <v>43974</v>
      </c>
      <c r="B86" s="93">
        <v>1764</v>
      </c>
      <c r="C86" s="93">
        <v>118</v>
      </c>
      <c r="D86" s="93">
        <f t="shared" si="0"/>
        <v>1646</v>
      </c>
      <c r="E86" s="94">
        <f t="shared" si="1"/>
        <v>6.6893424036281179E-2</v>
      </c>
      <c r="F86" s="95">
        <v>2520</v>
      </c>
      <c r="G86" s="96">
        <v>243</v>
      </c>
      <c r="H86" s="96">
        <v>2277</v>
      </c>
      <c r="I86" s="97" t="s">
        <v>105</v>
      </c>
    </row>
    <row r="87" spans="1:9" ht="15" x14ac:dyDescent="0.25">
      <c r="A87" s="92">
        <v>43975</v>
      </c>
      <c r="B87" s="93">
        <v>871</v>
      </c>
      <c r="C87" s="93">
        <v>67</v>
      </c>
      <c r="D87" s="93">
        <f t="shared" si="0"/>
        <v>804</v>
      </c>
      <c r="E87" s="94">
        <f t="shared" si="1"/>
        <v>7.6923076923076927E-2</v>
      </c>
      <c r="F87" s="95">
        <v>1244</v>
      </c>
      <c r="G87" s="96">
        <v>99</v>
      </c>
      <c r="H87" s="96">
        <v>1145</v>
      </c>
      <c r="I87" s="97" t="s">
        <v>158</v>
      </c>
    </row>
    <row r="88" spans="1:9" ht="15" x14ac:dyDescent="0.25">
      <c r="A88" s="92">
        <v>43976</v>
      </c>
      <c r="B88" s="93">
        <v>1321</v>
      </c>
      <c r="C88" s="93">
        <v>93</v>
      </c>
      <c r="D88" s="93">
        <f t="shared" si="0"/>
        <v>1228</v>
      </c>
      <c r="E88" s="94">
        <f t="shared" si="1"/>
        <v>7.0401211203633615E-2</v>
      </c>
      <c r="F88" s="95">
        <v>1887</v>
      </c>
      <c r="G88" s="96">
        <v>190</v>
      </c>
      <c r="H88" s="96">
        <v>1697</v>
      </c>
      <c r="I88" s="97" t="s">
        <v>128</v>
      </c>
    </row>
    <row r="89" spans="1:9" ht="15" x14ac:dyDescent="0.25">
      <c r="A89" s="92">
        <v>43977</v>
      </c>
      <c r="B89" s="93">
        <v>1972</v>
      </c>
      <c r="C89" s="93">
        <v>105</v>
      </c>
      <c r="D89" s="93">
        <f t="shared" si="0"/>
        <v>1867</v>
      </c>
      <c r="E89" s="94">
        <f t="shared" si="1"/>
        <v>5.3245436105476676E-2</v>
      </c>
      <c r="F89" s="95">
        <v>2817</v>
      </c>
      <c r="G89" s="96">
        <v>311</v>
      </c>
      <c r="H89" s="96">
        <v>2506</v>
      </c>
      <c r="I89" s="97" t="s">
        <v>159</v>
      </c>
    </row>
    <row r="90" spans="1:9" ht="15" x14ac:dyDescent="0.25">
      <c r="A90" s="92">
        <v>43978</v>
      </c>
      <c r="B90" s="93">
        <v>2271</v>
      </c>
      <c r="C90" s="93">
        <v>103</v>
      </c>
      <c r="D90" s="93">
        <f t="shared" si="0"/>
        <v>2168</v>
      </c>
      <c r="E90" s="94">
        <f t="shared" si="1"/>
        <v>4.5354469396741523E-2</v>
      </c>
      <c r="F90" s="95">
        <v>3245</v>
      </c>
      <c r="G90" s="96">
        <v>327</v>
      </c>
      <c r="H90" s="96">
        <v>2918</v>
      </c>
      <c r="I90" s="97" t="s">
        <v>128</v>
      </c>
    </row>
    <row r="91" spans="1:9" ht="15" x14ac:dyDescent="0.25">
      <c r="A91" s="92">
        <v>43979</v>
      </c>
      <c r="B91" s="93">
        <v>2768</v>
      </c>
      <c r="C91" s="93">
        <v>124</v>
      </c>
      <c r="D91" s="93">
        <f t="shared" si="0"/>
        <v>2644</v>
      </c>
      <c r="E91" s="94">
        <f t="shared" si="1"/>
        <v>4.4797687861271675E-2</v>
      </c>
      <c r="F91" s="95">
        <v>3954</v>
      </c>
      <c r="G91" s="96">
        <v>323</v>
      </c>
      <c r="H91" s="96">
        <v>3631</v>
      </c>
      <c r="I91" s="97" t="s">
        <v>147</v>
      </c>
    </row>
    <row r="92" spans="1:9" ht="15" x14ac:dyDescent="0.25">
      <c r="A92" s="92">
        <v>43980</v>
      </c>
      <c r="B92" s="93">
        <v>2392</v>
      </c>
      <c r="C92" s="93">
        <v>100</v>
      </c>
      <c r="D92" s="93">
        <f t="shared" si="0"/>
        <v>2292</v>
      </c>
      <c r="E92" s="94">
        <f t="shared" si="1"/>
        <v>4.1806020066889632E-2</v>
      </c>
      <c r="F92" s="95">
        <v>3425</v>
      </c>
      <c r="G92" s="96">
        <v>334</v>
      </c>
      <c r="H92" s="96">
        <v>3091</v>
      </c>
      <c r="I92" s="97" t="s">
        <v>160</v>
      </c>
    </row>
    <row r="93" spans="1:9" ht="15" x14ac:dyDescent="0.25">
      <c r="A93" s="92">
        <v>43981</v>
      </c>
      <c r="B93" s="93">
        <v>2808</v>
      </c>
      <c r="C93" s="93">
        <v>119</v>
      </c>
      <c r="D93" s="93">
        <f t="shared" si="0"/>
        <v>2689</v>
      </c>
      <c r="E93" s="94">
        <f t="shared" si="1"/>
        <v>4.2378917378917379E-2</v>
      </c>
      <c r="F93" s="95">
        <v>4027</v>
      </c>
      <c r="G93" s="96">
        <v>369</v>
      </c>
      <c r="H93" s="96">
        <v>3658</v>
      </c>
      <c r="I93" s="97" t="s">
        <v>161</v>
      </c>
    </row>
    <row r="94" spans="1:9" ht="15" x14ac:dyDescent="0.25">
      <c r="A94" s="92">
        <v>43982</v>
      </c>
      <c r="B94" s="93">
        <v>1858</v>
      </c>
      <c r="C94" s="93">
        <v>111</v>
      </c>
      <c r="D94" s="93">
        <f t="shared" si="0"/>
        <v>1747</v>
      </c>
      <c r="E94" s="94">
        <f t="shared" si="1"/>
        <v>5.9741657696447792E-2</v>
      </c>
      <c r="F94" s="95">
        <v>2654</v>
      </c>
      <c r="G94" s="96">
        <v>261</v>
      </c>
      <c r="H94" s="96">
        <v>2393</v>
      </c>
      <c r="I94" s="97" t="s">
        <v>160</v>
      </c>
    </row>
    <row r="95" spans="1:9" ht="15" x14ac:dyDescent="0.25">
      <c r="A95" s="92">
        <v>43983</v>
      </c>
      <c r="B95" s="93">
        <v>1789</v>
      </c>
      <c r="C95" s="93">
        <v>73</v>
      </c>
      <c r="D95" s="93">
        <f t="shared" si="0"/>
        <v>1716</v>
      </c>
      <c r="E95" s="94">
        <f t="shared" si="1"/>
        <v>4.0804918949133594E-2</v>
      </c>
      <c r="F95" s="95">
        <v>2555</v>
      </c>
      <c r="G95" s="96">
        <v>258</v>
      </c>
      <c r="H95" s="96">
        <v>2297</v>
      </c>
      <c r="I95" s="97" t="s">
        <v>128</v>
      </c>
    </row>
    <row r="96" spans="1:9" ht="15" x14ac:dyDescent="0.25">
      <c r="A96" s="92">
        <v>43984</v>
      </c>
      <c r="B96" s="93">
        <v>2371</v>
      </c>
      <c r="C96" s="93">
        <v>101</v>
      </c>
      <c r="D96" s="93">
        <f t="shared" si="0"/>
        <v>2270</v>
      </c>
      <c r="E96" s="94">
        <f t="shared" si="1"/>
        <v>4.2598059890341627E-2</v>
      </c>
      <c r="F96" s="95">
        <v>3391</v>
      </c>
      <c r="G96" s="96">
        <v>199</v>
      </c>
      <c r="H96" s="96">
        <v>3192</v>
      </c>
      <c r="I96" s="97" t="s">
        <v>162</v>
      </c>
    </row>
    <row r="97" spans="1:9" ht="15" x14ac:dyDescent="0.25">
      <c r="A97" s="92">
        <v>43985</v>
      </c>
      <c r="B97" s="93">
        <v>3422</v>
      </c>
      <c r="C97" s="93">
        <v>62</v>
      </c>
      <c r="D97" s="93">
        <f t="shared" si="0"/>
        <v>3360</v>
      </c>
      <c r="E97" s="94">
        <f t="shared" si="1"/>
        <v>1.8118059614260665E-2</v>
      </c>
      <c r="F97" s="95">
        <v>4900</v>
      </c>
      <c r="G97" s="96">
        <v>301</v>
      </c>
      <c r="H97" s="96">
        <v>4599</v>
      </c>
      <c r="I97" s="97" t="s">
        <v>154</v>
      </c>
    </row>
    <row r="98" spans="1:9" ht="15" x14ac:dyDescent="0.25">
      <c r="A98" s="92">
        <v>43986</v>
      </c>
      <c r="B98" s="93">
        <v>2738</v>
      </c>
      <c r="C98" s="93">
        <v>83</v>
      </c>
      <c r="D98" s="93">
        <f t="shared" si="0"/>
        <v>2655</v>
      </c>
      <c r="E98" s="94">
        <f t="shared" si="1"/>
        <v>3.0314097881665451E-2</v>
      </c>
      <c r="F98" s="95">
        <v>3918</v>
      </c>
      <c r="G98" s="96">
        <v>296</v>
      </c>
      <c r="H98" s="96">
        <v>3622</v>
      </c>
      <c r="I98" s="97" t="s">
        <v>131</v>
      </c>
    </row>
    <row r="99" spans="1:9" ht="15" x14ac:dyDescent="0.25">
      <c r="A99" s="92">
        <v>43987</v>
      </c>
      <c r="B99" s="93">
        <v>2864</v>
      </c>
      <c r="C99" s="93">
        <v>102</v>
      </c>
      <c r="D99" s="93">
        <f t="shared" si="0"/>
        <v>2762</v>
      </c>
      <c r="E99" s="94">
        <f t="shared" si="1"/>
        <v>3.5614525139664802E-2</v>
      </c>
      <c r="F99" s="95">
        <v>4103</v>
      </c>
      <c r="G99" s="96">
        <v>341</v>
      </c>
      <c r="H99" s="96">
        <v>3762</v>
      </c>
      <c r="I99" s="97" t="s">
        <v>152</v>
      </c>
    </row>
    <row r="100" spans="1:9" ht="15" x14ac:dyDescent="0.25">
      <c r="A100" s="92">
        <v>43988</v>
      </c>
      <c r="B100" s="93">
        <v>3334</v>
      </c>
      <c r="C100" s="93">
        <v>160</v>
      </c>
      <c r="D100" s="93">
        <f t="shared" si="0"/>
        <v>3174</v>
      </c>
      <c r="E100" s="94">
        <f t="shared" si="1"/>
        <v>4.799040191961608E-2</v>
      </c>
      <c r="F100" s="95">
        <v>4766</v>
      </c>
      <c r="G100" s="96">
        <v>402</v>
      </c>
      <c r="H100" s="96">
        <v>4364</v>
      </c>
      <c r="I100" s="97" t="s">
        <v>163</v>
      </c>
    </row>
    <row r="101" spans="1:9" ht="15" x14ac:dyDescent="0.25">
      <c r="A101" s="92">
        <v>43989</v>
      </c>
      <c r="B101" s="93">
        <v>1808</v>
      </c>
      <c r="C101" s="93">
        <v>96</v>
      </c>
      <c r="D101" s="93">
        <f t="shared" si="0"/>
        <v>1712</v>
      </c>
      <c r="E101" s="94">
        <f t="shared" si="1"/>
        <v>5.3097345132743362E-2</v>
      </c>
      <c r="F101" s="95">
        <v>2589</v>
      </c>
      <c r="G101" s="96">
        <v>164</v>
      </c>
      <c r="H101" s="96">
        <v>2425</v>
      </c>
      <c r="I101" s="97" t="s">
        <v>95</v>
      </c>
    </row>
    <row r="102" spans="1:9" ht="15" x14ac:dyDescent="0.25">
      <c r="A102" s="92">
        <v>43990</v>
      </c>
      <c r="B102" s="93">
        <v>2798</v>
      </c>
      <c r="C102" s="93">
        <v>194</v>
      </c>
      <c r="D102" s="93">
        <f t="shared" si="0"/>
        <v>2604</v>
      </c>
      <c r="E102" s="94">
        <f t="shared" si="1"/>
        <v>6.9335239456754821E-2</v>
      </c>
      <c r="F102" s="95">
        <v>4015</v>
      </c>
      <c r="G102" s="96">
        <v>325</v>
      </c>
      <c r="H102" s="96">
        <v>3690</v>
      </c>
      <c r="I102" s="97" t="s">
        <v>134</v>
      </c>
    </row>
    <row r="103" spans="1:9" ht="15" x14ac:dyDescent="0.25">
      <c r="A103" s="92">
        <v>43991</v>
      </c>
      <c r="B103" s="93">
        <v>3590</v>
      </c>
      <c r="C103" s="93">
        <v>187</v>
      </c>
      <c r="D103" s="93">
        <f t="shared" si="0"/>
        <v>3403</v>
      </c>
      <c r="E103" s="94">
        <f t="shared" si="1"/>
        <v>5.2089136490250695E-2</v>
      </c>
      <c r="F103" s="95">
        <v>5159</v>
      </c>
      <c r="G103" s="96">
        <v>388</v>
      </c>
      <c r="H103" s="96">
        <v>4771</v>
      </c>
      <c r="I103" s="97" t="s">
        <v>164</v>
      </c>
    </row>
    <row r="104" spans="1:9" ht="15" x14ac:dyDescent="0.25">
      <c r="A104" s="92">
        <v>43992</v>
      </c>
      <c r="B104" s="93">
        <v>4064</v>
      </c>
      <c r="C104" s="93">
        <v>129</v>
      </c>
      <c r="D104" s="93">
        <f t="shared" si="0"/>
        <v>3935</v>
      </c>
      <c r="E104" s="94">
        <f t="shared" si="1"/>
        <v>3.1742125984251968E-2</v>
      </c>
      <c r="F104" s="95">
        <v>5840</v>
      </c>
      <c r="G104" s="96">
        <v>395</v>
      </c>
      <c r="H104" s="96">
        <v>5445</v>
      </c>
      <c r="I104" s="97" t="s">
        <v>98</v>
      </c>
    </row>
    <row r="105" spans="1:9" ht="15" x14ac:dyDescent="0.25">
      <c r="A105" s="92">
        <v>43993</v>
      </c>
      <c r="B105" s="93">
        <v>2827</v>
      </c>
      <c r="C105" s="93">
        <v>76</v>
      </c>
      <c r="D105" s="93">
        <f t="shared" si="0"/>
        <v>2751</v>
      </c>
      <c r="E105" s="94">
        <f t="shared" si="1"/>
        <v>2.6883622214361514E-2</v>
      </c>
      <c r="F105" s="95">
        <v>4076</v>
      </c>
      <c r="G105" s="96">
        <v>327</v>
      </c>
      <c r="H105" s="96">
        <v>3749</v>
      </c>
      <c r="I105" s="97" t="s">
        <v>158</v>
      </c>
    </row>
    <row r="106" spans="1:9" ht="15" x14ac:dyDescent="0.25">
      <c r="A106" s="92">
        <v>43994</v>
      </c>
      <c r="B106" s="93">
        <v>3411</v>
      </c>
      <c r="C106" s="93">
        <v>120</v>
      </c>
      <c r="D106" s="93">
        <f t="shared" si="0"/>
        <v>3291</v>
      </c>
      <c r="E106" s="94">
        <f t="shared" si="1"/>
        <v>3.518029903254178E-2</v>
      </c>
      <c r="F106" s="95">
        <v>4897</v>
      </c>
      <c r="G106" s="96">
        <v>452</v>
      </c>
      <c r="H106" s="96">
        <v>4445</v>
      </c>
      <c r="I106" s="97" t="s">
        <v>161</v>
      </c>
    </row>
    <row r="107" spans="1:9" ht="15" x14ac:dyDescent="0.25">
      <c r="A107" s="92">
        <v>43995</v>
      </c>
      <c r="B107" s="93">
        <v>4955</v>
      </c>
      <c r="C107" s="93">
        <v>115</v>
      </c>
      <c r="D107" s="93">
        <f t="shared" si="0"/>
        <v>4840</v>
      </c>
      <c r="E107" s="94">
        <f t="shared" si="1"/>
        <v>2.3208879919273461E-2</v>
      </c>
      <c r="F107" s="95">
        <v>7095</v>
      </c>
      <c r="G107" s="96">
        <v>474</v>
      </c>
      <c r="H107" s="96">
        <v>6621</v>
      </c>
      <c r="I107" s="97" t="s">
        <v>141</v>
      </c>
    </row>
    <row r="108" spans="1:9" ht="15" x14ac:dyDescent="0.25">
      <c r="A108" s="92">
        <v>43996</v>
      </c>
      <c r="B108" s="93">
        <v>1851</v>
      </c>
      <c r="C108" s="93">
        <v>105</v>
      </c>
      <c r="D108" s="93">
        <f t="shared" si="0"/>
        <v>1746</v>
      </c>
      <c r="E108" s="94">
        <f t="shared" si="1"/>
        <v>5.6726094003241488E-2</v>
      </c>
      <c r="F108" s="95">
        <v>3084</v>
      </c>
      <c r="G108" s="96">
        <v>196</v>
      </c>
      <c r="H108" s="96">
        <v>2888</v>
      </c>
      <c r="I108" s="97" t="s">
        <v>157</v>
      </c>
    </row>
    <row r="109" spans="1:9" ht="15" x14ac:dyDescent="0.25">
      <c r="A109" s="92">
        <v>43997</v>
      </c>
      <c r="B109" s="93">
        <v>4605</v>
      </c>
      <c r="C109" s="93">
        <v>94</v>
      </c>
      <c r="D109" s="93">
        <f t="shared" si="0"/>
        <v>4511</v>
      </c>
      <c r="E109" s="94">
        <f t="shared" si="1"/>
        <v>2.0412595005428882E-2</v>
      </c>
      <c r="F109" s="95">
        <v>6692</v>
      </c>
      <c r="G109" s="96">
        <v>366</v>
      </c>
      <c r="H109" s="96">
        <v>6326</v>
      </c>
      <c r="I109" s="97" t="s">
        <v>165</v>
      </c>
    </row>
    <row r="110" spans="1:9" ht="15" x14ac:dyDescent="0.25">
      <c r="A110" s="92">
        <v>43998</v>
      </c>
      <c r="B110" s="93">
        <v>4702</v>
      </c>
      <c r="C110" s="93">
        <v>147</v>
      </c>
      <c r="D110" s="93">
        <f t="shared" si="0"/>
        <v>4555</v>
      </c>
      <c r="E110" s="94">
        <f t="shared" si="1"/>
        <v>3.1263292216078264E-2</v>
      </c>
      <c r="F110" s="95">
        <v>6758</v>
      </c>
      <c r="G110" s="96">
        <v>593</v>
      </c>
      <c r="H110" s="96">
        <v>6165</v>
      </c>
      <c r="I110" s="97" t="s">
        <v>119</v>
      </c>
    </row>
    <row r="111" spans="1:9" ht="15" x14ac:dyDescent="0.25">
      <c r="A111" s="92">
        <v>43999</v>
      </c>
      <c r="B111" s="93">
        <v>4740</v>
      </c>
      <c r="C111" s="93">
        <v>176</v>
      </c>
      <c r="D111" s="93">
        <f t="shared" si="0"/>
        <v>4564</v>
      </c>
      <c r="E111" s="94">
        <f t="shared" si="1"/>
        <v>3.7130801687763712E-2</v>
      </c>
      <c r="F111" s="95">
        <v>6899</v>
      </c>
      <c r="G111" s="96">
        <v>581</v>
      </c>
      <c r="H111" s="96">
        <v>6318</v>
      </c>
      <c r="I111" s="97" t="s">
        <v>163</v>
      </c>
    </row>
    <row r="112" spans="1:9" ht="15" x14ac:dyDescent="0.25">
      <c r="A112" s="92">
        <v>44000</v>
      </c>
      <c r="B112" s="93">
        <v>4260</v>
      </c>
      <c r="C112" s="93">
        <v>140</v>
      </c>
      <c r="D112" s="93">
        <f t="shared" si="0"/>
        <v>4120</v>
      </c>
      <c r="E112" s="94">
        <f t="shared" si="1"/>
        <v>3.2863849765258218E-2</v>
      </c>
      <c r="F112" s="95">
        <v>6280</v>
      </c>
      <c r="G112" s="96">
        <v>451</v>
      </c>
      <c r="H112" s="96">
        <v>5829</v>
      </c>
      <c r="I112" s="97" t="s">
        <v>135</v>
      </c>
    </row>
    <row r="113" spans="1:9" ht="15" x14ac:dyDescent="0.25">
      <c r="A113" s="92">
        <v>44001</v>
      </c>
      <c r="B113" s="93">
        <v>4794</v>
      </c>
      <c r="C113" s="93">
        <v>178</v>
      </c>
      <c r="D113" s="93">
        <f t="shared" si="0"/>
        <v>4616</v>
      </c>
      <c r="E113" s="94">
        <f t="shared" si="1"/>
        <v>3.7129745515227366E-2</v>
      </c>
      <c r="F113" s="95">
        <v>6862</v>
      </c>
      <c r="G113" s="96">
        <v>487</v>
      </c>
      <c r="H113" s="96">
        <v>6375</v>
      </c>
      <c r="I113" s="97" t="s">
        <v>166</v>
      </c>
    </row>
    <row r="114" spans="1:9" ht="15" x14ac:dyDescent="0.25">
      <c r="A114" s="92">
        <v>44002</v>
      </c>
      <c r="B114" s="93">
        <v>3258</v>
      </c>
      <c r="C114" s="93">
        <v>132</v>
      </c>
      <c r="D114" s="93">
        <f t="shared" si="0"/>
        <v>3126</v>
      </c>
      <c r="E114" s="94">
        <f t="shared" si="1"/>
        <v>4.0515653775322284E-2</v>
      </c>
      <c r="F114" s="95">
        <v>4680</v>
      </c>
      <c r="G114" s="96">
        <v>403</v>
      </c>
      <c r="H114" s="96">
        <v>4277</v>
      </c>
      <c r="I114" s="97" t="s">
        <v>129</v>
      </c>
    </row>
    <row r="115" spans="1:9" ht="15" x14ac:dyDescent="0.25">
      <c r="A115" s="92">
        <v>44003</v>
      </c>
      <c r="B115" s="93">
        <v>2806</v>
      </c>
      <c r="C115" s="93">
        <v>132</v>
      </c>
      <c r="D115" s="93">
        <f t="shared" si="0"/>
        <v>2674</v>
      </c>
      <c r="E115" s="94">
        <f t="shared" si="1"/>
        <v>4.7042052744119746E-2</v>
      </c>
      <c r="F115" s="95">
        <v>4012</v>
      </c>
      <c r="G115" s="96">
        <v>237</v>
      </c>
      <c r="H115" s="96">
        <v>3775</v>
      </c>
      <c r="I115" s="97" t="s">
        <v>162</v>
      </c>
    </row>
    <row r="116" spans="1:9" ht="15" x14ac:dyDescent="0.25">
      <c r="A116" s="92">
        <v>44004</v>
      </c>
      <c r="B116" s="93">
        <v>3627</v>
      </c>
      <c r="C116" s="93">
        <v>171</v>
      </c>
      <c r="D116" s="93">
        <f t="shared" si="0"/>
        <v>3456</v>
      </c>
      <c r="E116" s="94">
        <f t="shared" si="1"/>
        <v>4.7146401985111663E-2</v>
      </c>
      <c r="F116" s="95">
        <v>5287</v>
      </c>
      <c r="G116" s="96">
        <v>325</v>
      </c>
      <c r="H116" s="96">
        <v>4962</v>
      </c>
      <c r="I116" s="97" t="s">
        <v>154</v>
      </c>
    </row>
    <row r="117" spans="1:9" ht="15" x14ac:dyDescent="0.25">
      <c r="A117" s="92">
        <v>44005</v>
      </c>
      <c r="B117" s="93">
        <v>5986</v>
      </c>
      <c r="C117" s="93">
        <v>159</v>
      </c>
      <c r="D117" s="93">
        <f t="shared" si="0"/>
        <v>5827</v>
      </c>
      <c r="E117" s="94">
        <f t="shared" si="1"/>
        <v>2.656197794854661E-2</v>
      </c>
      <c r="F117" s="95">
        <v>8605</v>
      </c>
      <c r="G117" s="96">
        <v>412</v>
      </c>
      <c r="H117" s="96">
        <v>8193</v>
      </c>
      <c r="I117" s="97" t="s">
        <v>143</v>
      </c>
    </row>
    <row r="118" spans="1:9" ht="15" x14ac:dyDescent="0.25">
      <c r="A118" s="92">
        <v>44006</v>
      </c>
      <c r="B118" s="93">
        <v>5142</v>
      </c>
      <c r="C118" s="93">
        <v>195</v>
      </c>
      <c r="D118" s="93">
        <f t="shared" si="0"/>
        <v>4947</v>
      </c>
      <c r="E118" s="94">
        <f t="shared" si="1"/>
        <v>3.7922987164527425E-2</v>
      </c>
      <c r="F118" s="95">
        <v>7405</v>
      </c>
      <c r="G118" s="96">
        <v>501</v>
      </c>
      <c r="H118" s="96">
        <v>6904</v>
      </c>
      <c r="I118" s="97" t="s">
        <v>98</v>
      </c>
    </row>
    <row r="119" spans="1:9" ht="15" x14ac:dyDescent="0.25">
      <c r="A119" s="92">
        <v>44007</v>
      </c>
      <c r="B119" s="93">
        <v>5444</v>
      </c>
      <c r="C119" s="93">
        <v>168</v>
      </c>
      <c r="D119" s="93">
        <f t="shared" si="0"/>
        <v>5276</v>
      </c>
      <c r="E119" s="94">
        <f t="shared" si="1"/>
        <v>3.0859662013225569E-2</v>
      </c>
      <c r="F119" s="95">
        <v>7878</v>
      </c>
      <c r="G119" s="96">
        <v>428</v>
      </c>
      <c r="H119" s="96">
        <v>7450</v>
      </c>
      <c r="I119" s="97" t="s">
        <v>167</v>
      </c>
    </row>
    <row r="120" spans="1:9" ht="15" x14ac:dyDescent="0.25">
      <c r="A120" s="92">
        <v>44008</v>
      </c>
      <c r="B120" s="93">
        <v>5295</v>
      </c>
      <c r="C120" s="93">
        <v>213</v>
      </c>
      <c r="D120" s="93">
        <f t="shared" si="0"/>
        <v>5082</v>
      </c>
      <c r="E120" s="94">
        <f t="shared" si="1"/>
        <v>4.0226628895184136E-2</v>
      </c>
      <c r="F120" s="95">
        <v>7620</v>
      </c>
      <c r="G120" s="96">
        <v>592</v>
      </c>
      <c r="H120" s="96">
        <v>7028</v>
      </c>
      <c r="I120" s="97" t="s">
        <v>132</v>
      </c>
    </row>
    <row r="121" spans="1:9" ht="15" x14ac:dyDescent="0.25">
      <c r="A121" s="92">
        <v>44009</v>
      </c>
      <c r="B121" s="93">
        <v>4440</v>
      </c>
      <c r="C121" s="93">
        <v>148</v>
      </c>
      <c r="D121" s="93">
        <f t="shared" si="0"/>
        <v>4292</v>
      </c>
      <c r="E121" s="94">
        <f t="shared" si="1"/>
        <v>3.3333333333333333E-2</v>
      </c>
      <c r="F121" s="95">
        <v>6388</v>
      </c>
      <c r="G121" s="96">
        <v>449</v>
      </c>
      <c r="H121" s="96">
        <v>5939</v>
      </c>
      <c r="I121" s="97" t="s">
        <v>145</v>
      </c>
    </row>
    <row r="122" spans="1:9" ht="15" x14ac:dyDescent="0.25">
      <c r="A122" s="92">
        <v>44010</v>
      </c>
      <c r="B122" s="93">
        <v>2434</v>
      </c>
      <c r="C122" s="93">
        <v>95</v>
      </c>
      <c r="D122" s="93">
        <f t="shared" si="0"/>
        <v>2339</v>
      </c>
      <c r="E122" s="94">
        <f t="shared" si="1"/>
        <v>3.9030402629416601E-2</v>
      </c>
      <c r="F122" s="95">
        <v>3482</v>
      </c>
      <c r="G122" s="96">
        <v>305</v>
      </c>
      <c r="H122" s="96">
        <v>3177</v>
      </c>
      <c r="I122" s="97" t="s">
        <v>119</v>
      </c>
    </row>
    <row r="123" spans="1:9" ht="15" x14ac:dyDescent="0.25">
      <c r="A123" s="92">
        <v>44011</v>
      </c>
      <c r="B123" s="93">
        <v>4598</v>
      </c>
      <c r="C123" s="93">
        <v>198</v>
      </c>
      <c r="D123" s="93">
        <f t="shared" si="0"/>
        <v>4400</v>
      </c>
      <c r="E123" s="94">
        <f t="shared" si="1"/>
        <v>4.3062200956937802E-2</v>
      </c>
      <c r="F123" s="95">
        <v>7081</v>
      </c>
      <c r="G123" s="96">
        <v>345</v>
      </c>
      <c r="H123" s="96">
        <v>6736</v>
      </c>
      <c r="I123" s="97" t="s">
        <v>148</v>
      </c>
    </row>
    <row r="124" spans="1:9" ht="15" x14ac:dyDescent="0.25">
      <c r="A124" s="92">
        <v>44012</v>
      </c>
      <c r="B124" s="93">
        <v>4618</v>
      </c>
      <c r="C124" s="93">
        <v>204</v>
      </c>
      <c r="D124" s="93">
        <f t="shared" si="0"/>
        <v>4414</v>
      </c>
      <c r="E124" s="94">
        <f t="shared" si="1"/>
        <v>4.4174967518406237E-2</v>
      </c>
      <c r="F124" s="95">
        <v>7033</v>
      </c>
      <c r="G124" s="96">
        <v>690</v>
      </c>
      <c r="H124" s="96">
        <v>6343</v>
      </c>
      <c r="I124" s="97" t="s">
        <v>160</v>
      </c>
    </row>
    <row r="125" spans="1:9" ht="15" x14ac:dyDescent="0.25">
      <c r="A125" s="92">
        <v>44013</v>
      </c>
      <c r="B125" s="93">
        <v>4257</v>
      </c>
      <c r="C125" s="93">
        <v>198</v>
      </c>
      <c r="D125" s="93">
        <f t="shared" si="0"/>
        <v>4059</v>
      </c>
      <c r="E125" s="94">
        <f t="shared" si="1"/>
        <v>4.6511627906976744E-2</v>
      </c>
      <c r="F125" s="95">
        <v>6594</v>
      </c>
      <c r="G125" s="96">
        <v>557</v>
      </c>
      <c r="H125" s="96">
        <v>6037</v>
      </c>
      <c r="I125" s="97" t="s">
        <v>163</v>
      </c>
    </row>
    <row r="126" spans="1:9" ht="15" x14ac:dyDescent="0.25">
      <c r="A126" s="92">
        <v>44014</v>
      </c>
      <c r="B126" s="93">
        <v>4255</v>
      </c>
      <c r="C126" s="93">
        <v>144</v>
      </c>
      <c r="D126" s="93">
        <f t="shared" si="0"/>
        <v>4111</v>
      </c>
      <c r="E126" s="94">
        <f t="shared" si="1"/>
        <v>3.3842538190364278E-2</v>
      </c>
      <c r="F126" s="95">
        <v>6490</v>
      </c>
      <c r="G126" s="96">
        <v>472</v>
      </c>
      <c r="H126" s="96">
        <v>6018</v>
      </c>
      <c r="I126" s="97" t="s">
        <v>153</v>
      </c>
    </row>
    <row r="127" spans="1:9" ht="15" x14ac:dyDescent="0.25">
      <c r="A127" s="92">
        <v>44015</v>
      </c>
      <c r="B127" s="93">
        <v>5955</v>
      </c>
      <c r="C127" s="93">
        <v>215</v>
      </c>
      <c r="D127" s="93">
        <f t="shared" si="0"/>
        <v>5740</v>
      </c>
      <c r="E127" s="94">
        <f t="shared" si="1"/>
        <v>3.6104114189756509E-2</v>
      </c>
      <c r="F127" s="95">
        <v>8817</v>
      </c>
      <c r="G127" s="96">
        <v>777</v>
      </c>
      <c r="H127" s="96">
        <v>8040</v>
      </c>
      <c r="I127" s="97" t="s">
        <v>119</v>
      </c>
    </row>
    <row r="128" spans="1:9" ht="15" x14ac:dyDescent="0.25">
      <c r="A128" s="92">
        <v>44016</v>
      </c>
      <c r="B128" s="93">
        <v>4305</v>
      </c>
      <c r="C128" s="93">
        <v>256</v>
      </c>
      <c r="D128" s="93">
        <f t="shared" si="0"/>
        <v>4049</v>
      </c>
      <c r="E128" s="94">
        <f t="shared" si="1"/>
        <v>5.9465737514518002E-2</v>
      </c>
      <c r="F128" s="95">
        <v>6587</v>
      </c>
      <c r="G128" s="96">
        <v>579</v>
      </c>
      <c r="H128" s="96">
        <v>6008</v>
      </c>
      <c r="I128" s="97" t="s">
        <v>119</v>
      </c>
    </row>
    <row r="129" spans="1:9" ht="15" x14ac:dyDescent="0.25">
      <c r="A129" s="92">
        <v>44017</v>
      </c>
      <c r="B129" s="93">
        <v>3092</v>
      </c>
      <c r="C129" s="93">
        <v>231</v>
      </c>
      <c r="D129" s="93">
        <f t="shared" si="0"/>
        <v>2861</v>
      </c>
      <c r="E129" s="94">
        <f t="shared" si="1"/>
        <v>7.470892626131953E-2</v>
      </c>
      <c r="F129" s="95">
        <v>4549</v>
      </c>
      <c r="G129" s="96">
        <v>355</v>
      </c>
      <c r="H129" s="96">
        <v>4194</v>
      </c>
      <c r="I129" s="97" t="s">
        <v>132</v>
      </c>
    </row>
    <row r="130" spans="1:9" ht="15" x14ac:dyDescent="0.25">
      <c r="A130" s="92">
        <v>44018</v>
      </c>
      <c r="B130" s="93">
        <v>4441</v>
      </c>
      <c r="C130" s="93">
        <v>199</v>
      </c>
      <c r="D130" s="93">
        <f t="shared" si="0"/>
        <v>4242</v>
      </c>
      <c r="E130" s="94">
        <f t="shared" si="1"/>
        <v>4.4809727538842603E-2</v>
      </c>
      <c r="F130" s="95">
        <v>6122</v>
      </c>
      <c r="G130" s="96">
        <v>510</v>
      </c>
      <c r="H130" s="96">
        <v>5612</v>
      </c>
      <c r="I130" s="97" t="s">
        <v>152</v>
      </c>
    </row>
    <row r="131" spans="1:9" ht="15" x14ac:dyDescent="0.25">
      <c r="A131" s="92">
        <v>44019</v>
      </c>
      <c r="B131" s="93">
        <v>5473</v>
      </c>
      <c r="C131" s="93">
        <v>308</v>
      </c>
      <c r="D131" s="93">
        <f t="shared" si="0"/>
        <v>5165</v>
      </c>
      <c r="E131" s="94">
        <f t="shared" si="1"/>
        <v>5.6276265302393567E-2</v>
      </c>
      <c r="F131" s="95">
        <v>7260</v>
      </c>
      <c r="G131" s="96">
        <v>773</v>
      </c>
      <c r="H131" s="96">
        <v>6487</v>
      </c>
      <c r="I131" s="97" t="s">
        <v>168</v>
      </c>
    </row>
    <row r="132" spans="1:9" ht="15" x14ac:dyDescent="0.25">
      <c r="A132" s="92">
        <v>44020</v>
      </c>
      <c r="B132" s="93">
        <v>6486</v>
      </c>
      <c r="C132" s="93">
        <v>293</v>
      </c>
      <c r="D132" s="93">
        <f t="shared" si="0"/>
        <v>6193</v>
      </c>
      <c r="E132" s="94">
        <f t="shared" si="1"/>
        <v>4.5174221399938326E-2</v>
      </c>
      <c r="F132" s="95">
        <v>9631</v>
      </c>
      <c r="G132" s="96">
        <v>710</v>
      </c>
      <c r="H132" s="96">
        <v>8921</v>
      </c>
      <c r="I132" s="97" t="s">
        <v>169</v>
      </c>
    </row>
    <row r="133" spans="1:9" ht="15" x14ac:dyDescent="0.25">
      <c r="A133" s="92">
        <v>44021</v>
      </c>
      <c r="B133" s="93">
        <v>6423</v>
      </c>
      <c r="C133" s="93">
        <v>236</v>
      </c>
      <c r="D133" s="93">
        <f t="shared" si="0"/>
        <v>6187</v>
      </c>
      <c r="E133" s="94">
        <f t="shared" si="1"/>
        <v>3.674295500544917E-2</v>
      </c>
      <c r="F133" s="95">
        <v>8958</v>
      </c>
      <c r="G133" s="96">
        <v>706</v>
      </c>
      <c r="H133" s="96">
        <v>8252</v>
      </c>
      <c r="I133" s="97" t="s">
        <v>107</v>
      </c>
    </row>
    <row r="134" spans="1:9" ht="15" x14ac:dyDescent="0.25">
      <c r="A134" s="92">
        <v>44022</v>
      </c>
      <c r="B134" s="93">
        <v>6584</v>
      </c>
      <c r="C134" s="93">
        <v>359</v>
      </c>
      <c r="D134" s="93">
        <f t="shared" si="0"/>
        <v>6225</v>
      </c>
      <c r="E134" s="94">
        <f t="shared" si="1"/>
        <v>5.4526123936816523E-2</v>
      </c>
      <c r="F134" s="95">
        <v>10412</v>
      </c>
      <c r="G134" s="96">
        <v>978</v>
      </c>
      <c r="H134" s="96">
        <v>9434</v>
      </c>
      <c r="I134" s="97" t="s">
        <v>170</v>
      </c>
    </row>
    <row r="135" spans="1:9" ht="15" x14ac:dyDescent="0.25">
      <c r="A135" s="92">
        <v>44023</v>
      </c>
      <c r="B135" s="93">
        <v>5690</v>
      </c>
      <c r="C135" s="93">
        <v>404</v>
      </c>
      <c r="D135" s="93">
        <f t="shared" si="0"/>
        <v>5286</v>
      </c>
      <c r="E135" s="94">
        <f t="shared" si="1"/>
        <v>7.1001757469244295E-2</v>
      </c>
      <c r="F135" s="95">
        <v>8117</v>
      </c>
      <c r="G135" s="96">
        <v>900</v>
      </c>
      <c r="H135" s="96">
        <v>7217</v>
      </c>
      <c r="I135" s="97" t="s">
        <v>93</v>
      </c>
    </row>
    <row r="136" spans="1:9" ht="15" x14ac:dyDescent="0.25">
      <c r="A136" s="92">
        <v>44024</v>
      </c>
      <c r="B136" s="93">
        <v>4102</v>
      </c>
      <c r="C136" s="93">
        <v>279</v>
      </c>
      <c r="D136" s="93">
        <f t="shared" si="0"/>
        <v>3823</v>
      </c>
      <c r="E136" s="94">
        <f t="shared" si="1"/>
        <v>6.8015602145294979E-2</v>
      </c>
      <c r="F136" s="95">
        <v>5188</v>
      </c>
      <c r="G136" s="96">
        <v>458</v>
      </c>
      <c r="H136" s="96">
        <v>4730</v>
      </c>
      <c r="I136" s="97" t="s">
        <v>119</v>
      </c>
    </row>
    <row r="137" spans="1:9" ht="15" x14ac:dyDescent="0.25">
      <c r="A137" s="92">
        <v>44025</v>
      </c>
      <c r="B137" s="93">
        <v>5998</v>
      </c>
      <c r="C137" s="93">
        <v>275</v>
      </c>
      <c r="D137" s="93">
        <f t="shared" si="0"/>
        <v>5723</v>
      </c>
      <c r="E137" s="94">
        <f t="shared" si="1"/>
        <v>4.5848616205401801E-2</v>
      </c>
      <c r="F137" s="95">
        <v>8616</v>
      </c>
      <c r="G137" s="96">
        <v>923</v>
      </c>
      <c r="H137" s="96">
        <v>7693</v>
      </c>
      <c r="I137" s="97" t="s">
        <v>122</v>
      </c>
    </row>
    <row r="138" spans="1:9" ht="15" x14ac:dyDescent="0.25">
      <c r="A138" s="92">
        <v>44026</v>
      </c>
      <c r="B138" s="93">
        <v>5414</v>
      </c>
      <c r="C138" s="93">
        <v>258</v>
      </c>
      <c r="D138" s="93">
        <f t="shared" si="0"/>
        <v>5156</v>
      </c>
      <c r="E138" s="94">
        <f t="shared" si="1"/>
        <v>4.7654229774658295E-2</v>
      </c>
      <c r="F138" s="95">
        <v>8626</v>
      </c>
      <c r="G138" s="96">
        <v>953</v>
      </c>
      <c r="H138" s="96">
        <v>7673</v>
      </c>
      <c r="I138" s="97" t="s">
        <v>159</v>
      </c>
    </row>
    <row r="139" spans="1:9" ht="15" x14ac:dyDescent="0.25">
      <c r="A139" s="92">
        <v>44027</v>
      </c>
      <c r="B139" s="93">
        <v>6405</v>
      </c>
      <c r="C139" s="93">
        <v>304</v>
      </c>
      <c r="D139" s="93">
        <f t="shared" si="0"/>
        <v>6101</v>
      </c>
      <c r="E139" s="94">
        <f t="shared" si="1"/>
        <v>4.7462919594067135E-2</v>
      </c>
      <c r="F139" s="95">
        <v>9056</v>
      </c>
      <c r="G139" s="96">
        <v>765</v>
      </c>
      <c r="H139" s="96">
        <v>8291</v>
      </c>
      <c r="I139" s="97" t="s">
        <v>163</v>
      </c>
    </row>
    <row r="140" spans="1:9" ht="15" x14ac:dyDescent="0.25">
      <c r="A140" s="92">
        <v>44028</v>
      </c>
      <c r="B140" s="93">
        <v>6448</v>
      </c>
      <c r="C140" s="93">
        <v>231</v>
      </c>
      <c r="D140" s="93">
        <f t="shared" si="0"/>
        <v>6217</v>
      </c>
      <c r="E140" s="94">
        <f t="shared" si="1"/>
        <v>3.5825062034739452E-2</v>
      </c>
      <c r="F140" s="95">
        <v>9924</v>
      </c>
      <c r="G140" s="96">
        <v>1085</v>
      </c>
      <c r="H140" s="96">
        <v>8839</v>
      </c>
      <c r="I140" s="97" t="s">
        <v>171</v>
      </c>
    </row>
    <row r="141" spans="1:9" ht="15" x14ac:dyDescent="0.25">
      <c r="A141" s="92">
        <v>44029</v>
      </c>
      <c r="B141" s="99">
        <v>9056</v>
      </c>
      <c r="C141" s="100">
        <v>331</v>
      </c>
      <c r="D141" s="93">
        <f t="shared" si="0"/>
        <v>8725</v>
      </c>
      <c r="E141" s="94">
        <f t="shared" si="1"/>
        <v>3.6550353356890462E-2</v>
      </c>
      <c r="F141" s="95">
        <v>12098</v>
      </c>
      <c r="G141" s="96">
        <v>802</v>
      </c>
      <c r="H141" s="96">
        <v>11296</v>
      </c>
      <c r="I141" s="97" t="s">
        <v>172</v>
      </c>
    </row>
    <row r="142" spans="1:9" ht="15" x14ac:dyDescent="0.25">
      <c r="A142" s="92">
        <v>44030</v>
      </c>
      <c r="B142" s="101">
        <v>6781</v>
      </c>
      <c r="C142" s="93">
        <v>312</v>
      </c>
      <c r="D142" s="93">
        <f t="shared" si="0"/>
        <v>6469</v>
      </c>
      <c r="E142" s="94">
        <f t="shared" si="1"/>
        <v>4.6010912844713169E-2</v>
      </c>
      <c r="F142" s="95">
        <v>9982</v>
      </c>
      <c r="G142" s="96">
        <v>927</v>
      </c>
      <c r="H142" s="96">
        <v>9055</v>
      </c>
      <c r="I142" s="97" t="s">
        <v>173</v>
      </c>
    </row>
    <row r="143" spans="1:9" ht="15" x14ac:dyDescent="0.25">
      <c r="A143" s="92">
        <v>44031</v>
      </c>
      <c r="B143" s="93">
        <v>3655</v>
      </c>
      <c r="C143" s="93">
        <v>361</v>
      </c>
      <c r="D143" s="93">
        <f t="shared" si="0"/>
        <v>3294</v>
      </c>
      <c r="E143" s="94">
        <f t="shared" si="1"/>
        <v>9.8768809849521202E-2</v>
      </c>
      <c r="F143" s="95">
        <v>4935</v>
      </c>
      <c r="G143" s="96">
        <v>519</v>
      </c>
      <c r="H143" s="96">
        <v>4416</v>
      </c>
      <c r="I143" s="97" t="s">
        <v>174</v>
      </c>
    </row>
    <row r="144" spans="1:9" ht="15" x14ac:dyDescent="0.25">
      <c r="A144" s="92">
        <v>44032</v>
      </c>
      <c r="B144" s="93">
        <v>6088</v>
      </c>
      <c r="C144" s="93">
        <v>441</v>
      </c>
      <c r="D144" s="93">
        <f t="shared" si="0"/>
        <v>5647</v>
      </c>
      <c r="E144" s="94">
        <f t="shared" si="1"/>
        <v>7.2437582128777919E-2</v>
      </c>
      <c r="F144" s="95">
        <v>9365</v>
      </c>
      <c r="G144" s="96">
        <v>932</v>
      </c>
      <c r="H144" s="96">
        <v>8433</v>
      </c>
      <c r="I144" s="97" t="s">
        <v>175</v>
      </c>
    </row>
    <row r="145" spans="1:9" ht="15" x14ac:dyDescent="0.25">
      <c r="A145" s="92">
        <v>44033</v>
      </c>
      <c r="B145" s="93">
        <v>8081</v>
      </c>
      <c r="C145" s="93">
        <v>382</v>
      </c>
      <c r="D145" s="93">
        <f t="shared" si="0"/>
        <v>7699</v>
      </c>
      <c r="E145" s="94">
        <f t="shared" si="1"/>
        <v>4.727137730478901E-2</v>
      </c>
      <c r="F145" s="95">
        <v>11413</v>
      </c>
      <c r="G145" s="96">
        <v>1271</v>
      </c>
      <c r="H145" s="96">
        <v>10142</v>
      </c>
      <c r="I145" s="97" t="s">
        <v>93</v>
      </c>
    </row>
    <row r="146" spans="1:9" ht="15" x14ac:dyDescent="0.25">
      <c r="A146" s="92">
        <v>44034</v>
      </c>
      <c r="B146" s="93">
        <v>10061</v>
      </c>
      <c r="C146" s="93">
        <v>416</v>
      </c>
      <c r="D146" s="93">
        <f t="shared" si="0"/>
        <v>9645</v>
      </c>
      <c r="E146" s="94">
        <f t="shared" si="1"/>
        <v>4.1347778550839875E-2</v>
      </c>
      <c r="F146" s="95">
        <v>11692</v>
      </c>
      <c r="G146" s="96">
        <v>1368</v>
      </c>
      <c r="H146" s="96">
        <v>10324</v>
      </c>
      <c r="I146" s="97" t="s">
        <v>151</v>
      </c>
    </row>
    <row r="147" spans="1:9" ht="15" x14ac:dyDescent="0.25">
      <c r="A147" s="92">
        <v>44035</v>
      </c>
      <c r="B147" s="93">
        <v>8773</v>
      </c>
      <c r="C147" s="93">
        <v>279</v>
      </c>
      <c r="D147" s="93">
        <f t="shared" si="0"/>
        <v>8494</v>
      </c>
      <c r="E147" s="94">
        <f t="shared" si="1"/>
        <v>3.1802120141342753E-2</v>
      </c>
      <c r="F147" s="95">
        <v>11009</v>
      </c>
      <c r="G147" s="96">
        <v>1142</v>
      </c>
      <c r="H147" s="96">
        <v>9867</v>
      </c>
      <c r="I147" s="97" t="s">
        <v>176</v>
      </c>
    </row>
    <row r="148" spans="1:9" ht="15" x14ac:dyDescent="0.25">
      <c r="A148" s="92">
        <v>44036</v>
      </c>
      <c r="B148" s="93">
        <v>9100</v>
      </c>
      <c r="C148" s="93">
        <v>393</v>
      </c>
      <c r="D148" s="93">
        <f t="shared" si="0"/>
        <v>8707</v>
      </c>
      <c r="E148" s="94">
        <f t="shared" si="1"/>
        <v>4.3186813186813187E-2</v>
      </c>
      <c r="F148" s="95">
        <v>10480</v>
      </c>
      <c r="G148" s="96">
        <v>931</v>
      </c>
      <c r="H148" s="96">
        <v>9549</v>
      </c>
      <c r="I148" s="97" t="s">
        <v>177</v>
      </c>
    </row>
    <row r="149" spans="1:9" ht="15" x14ac:dyDescent="0.25">
      <c r="A149" s="92">
        <v>44037</v>
      </c>
      <c r="B149" s="93">
        <v>6887</v>
      </c>
      <c r="C149" s="93">
        <v>611</v>
      </c>
      <c r="D149" s="93">
        <f t="shared" si="0"/>
        <v>6276</v>
      </c>
      <c r="E149" s="94">
        <f t="shared" si="1"/>
        <v>8.8717874255844348E-2</v>
      </c>
      <c r="F149" s="95">
        <v>8457</v>
      </c>
      <c r="G149" s="96">
        <v>922</v>
      </c>
      <c r="H149" s="96">
        <v>7535</v>
      </c>
      <c r="I149" s="97" t="s">
        <v>171</v>
      </c>
    </row>
    <row r="150" spans="1:9" ht="15" x14ac:dyDescent="0.25">
      <c r="A150" s="92">
        <v>44038</v>
      </c>
      <c r="B150" s="93">
        <v>3148</v>
      </c>
      <c r="C150" s="93">
        <v>270</v>
      </c>
      <c r="D150" s="93">
        <f t="shared" si="0"/>
        <v>2878</v>
      </c>
      <c r="E150" s="94">
        <f t="shared" si="1"/>
        <v>8.5768742058449809E-2</v>
      </c>
      <c r="F150" s="95">
        <v>4981</v>
      </c>
      <c r="G150" s="96">
        <v>344</v>
      </c>
      <c r="H150" s="96">
        <v>4637</v>
      </c>
      <c r="I150" s="97" t="s">
        <v>149</v>
      </c>
    </row>
    <row r="151" spans="1:9" ht="15" x14ac:dyDescent="0.25">
      <c r="A151" s="92">
        <v>44039</v>
      </c>
      <c r="B151" s="93">
        <v>8184</v>
      </c>
      <c r="C151" s="93">
        <v>436</v>
      </c>
      <c r="D151" s="93">
        <f t="shared" si="0"/>
        <v>7748</v>
      </c>
      <c r="E151" s="94">
        <f t="shared" si="1"/>
        <v>5.3274682306940373E-2</v>
      </c>
      <c r="F151" s="95">
        <v>11342</v>
      </c>
      <c r="G151" s="96">
        <v>1196</v>
      </c>
      <c r="H151" s="96">
        <v>10146</v>
      </c>
      <c r="I151" s="97" t="s">
        <v>174</v>
      </c>
    </row>
    <row r="152" spans="1:9" ht="15" x14ac:dyDescent="0.25">
      <c r="A152" s="92">
        <v>44040</v>
      </c>
      <c r="B152" s="93">
        <v>8824</v>
      </c>
      <c r="C152" s="93">
        <v>542</v>
      </c>
      <c r="D152" s="93">
        <f t="shared" si="0"/>
        <v>8282</v>
      </c>
      <c r="E152" s="94">
        <f t="shared" si="1"/>
        <v>6.1423390752493201E-2</v>
      </c>
      <c r="F152" s="95">
        <v>10634</v>
      </c>
      <c r="G152" s="96">
        <v>1478</v>
      </c>
      <c r="H152" s="96">
        <v>9156</v>
      </c>
      <c r="I152" s="97" t="s">
        <v>178</v>
      </c>
    </row>
    <row r="153" spans="1:9" ht="15" x14ac:dyDescent="0.25">
      <c r="A153" s="92">
        <v>44041</v>
      </c>
      <c r="B153" s="93">
        <v>9120</v>
      </c>
      <c r="C153" s="93">
        <v>340</v>
      </c>
      <c r="D153" s="93">
        <f t="shared" si="0"/>
        <v>8780</v>
      </c>
      <c r="E153" s="94">
        <f t="shared" si="1"/>
        <v>3.7280701754385963E-2</v>
      </c>
      <c r="F153" s="95">
        <v>12297</v>
      </c>
      <c r="G153" s="96">
        <v>1718</v>
      </c>
      <c r="H153" s="96">
        <v>10579</v>
      </c>
      <c r="I153" s="97" t="s">
        <v>124</v>
      </c>
    </row>
    <row r="154" spans="1:9" ht="15" x14ac:dyDescent="0.25">
      <c r="A154" s="92">
        <v>44042</v>
      </c>
      <c r="B154" s="93">
        <v>8520</v>
      </c>
      <c r="C154" s="93">
        <v>585</v>
      </c>
      <c r="D154" s="93">
        <f t="shared" si="0"/>
        <v>7935</v>
      </c>
      <c r="E154" s="94">
        <f t="shared" si="1"/>
        <v>6.8661971830985921E-2</v>
      </c>
      <c r="F154" s="95">
        <v>10856</v>
      </c>
      <c r="G154" s="96">
        <v>1081</v>
      </c>
      <c r="H154" s="96">
        <v>9775</v>
      </c>
      <c r="I154" s="97" t="s">
        <v>175</v>
      </c>
    </row>
    <row r="155" spans="1:9" ht="15" x14ac:dyDescent="0.25">
      <c r="A155" s="92">
        <v>44043</v>
      </c>
      <c r="B155" s="93">
        <v>4222</v>
      </c>
      <c r="C155" s="93">
        <v>330</v>
      </c>
      <c r="D155" s="93">
        <f t="shared" si="0"/>
        <v>3892</v>
      </c>
      <c r="E155" s="94">
        <f t="shared" si="1"/>
        <v>7.8162008526764568E-2</v>
      </c>
      <c r="F155" s="95">
        <v>5544</v>
      </c>
      <c r="G155" s="96">
        <v>486</v>
      </c>
      <c r="H155" s="96">
        <v>5058</v>
      </c>
      <c r="I155" s="97" t="s">
        <v>119</v>
      </c>
    </row>
    <row r="156" spans="1:9" ht="15" x14ac:dyDescent="0.25">
      <c r="A156" s="92">
        <v>44044</v>
      </c>
      <c r="B156" s="93">
        <v>6366</v>
      </c>
      <c r="C156" s="93">
        <v>329</v>
      </c>
      <c r="D156" s="93">
        <f t="shared" si="0"/>
        <v>6037</v>
      </c>
      <c r="E156" s="94">
        <f t="shared" si="1"/>
        <v>5.1680804272698715E-2</v>
      </c>
      <c r="F156" s="95">
        <v>9042</v>
      </c>
      <c r="G156" s="96">
        <v>1048</v>
      </c>
      <c r="H156" s="96">
        <v>7994</v>
      </c>
      <c r="I156" s="97" t="s">
        <v>121</v>
      </c>
    </row>
    <row r="157" spans="1:9" ht="15" x14ac:dyDescent="0.25">
      <c r="A157" s="92">
        <v>44045</v>
      </c>
      <c r="B157" s="93">
        <v>3675</v>
      </c>
      <c r="C157" s="93">
        <v>439</v>
      </c>
      <c r="D157" s="93">
        <f t="shared" si="0"/>
        <v>3236</v>
      </c>
      <c r="E157" s="94">
        <f t="shared" si="1"/>
        <v>0.11945578231292517</v>
      </c>
      <c r="F157" s="95">
        <v>4671</v>
      </c>
      <c r="G157" s="96">
        <v>489</v>
      </c>
      <c r="H157" s="96">
        <v>4182</v>
      </c>
      <c r="I157" s="97" t="s">
        <v>174</v>
      </c>
    </row>
    <row r="158" spans="1:9" ht="15" x14ac:dyDescent="0.25">
      <c r="A158" s="92">
        <v>44046</v>
      </c>
      <c r="B158" s="93">
        <v>7811</v>
      </c>
      <c r="C158" s="93">
        <v>386</v>
      </c>
      <c r="D158" s="93">
        <f t="shared" si="0"/>
        <v>7425</v>
      </c>
      <c r="E158" s="94">
        <f t="shared" si="1"/>
        <v>4.9417488157726286E-2</v>
      </c>
      <c r="F158" s="95">
        <v>10802</v>
      </c>
      <c r="G158" s="96">
        <v>995</v>
      </c>
      <c r="H158" s="96">
        <v>9807</v>
      </c>
      <c r="I158" s="97" t="s">
        <v>161</v>
      </c>
    </row>
    <row r="159" spans="1:9" ht="15" x14ac:dyDescent="0.25">
      <c r="A159" s="92">
        <v>44047</v>
      </c>
      <c r="B159" s="93">
        <v>7071</v>
      </c>
      <c r="C159" s="93">
        <v>468</v>
      </c>
      <c r="D159" s="93">
        <f t="shared" si="0"/>
        <v>6603</v>
      </c>
      <c r="E159" s="94">
        <f t="shared" si="1"/>
        <v>6.6185829444208741E-2</v>
      </c>
      <c r="F159" s="95">
        <v>11922</v>
      </c>
      <c r="G159" s="96">
        <v>1654</v>
      </c>
      <c r="H159" s="96">
        <v>10268</v>
      </c>
      <c r="I159" s="97" t="s">
        <v>178</v>
      </c>
    </row>
    <row r="160" spans="1:9" ht="15" x14ac:dyDescent="0.25">
      <c r="A160" s="92">
        <v>44048</v>
      </c>
      <c r="B160" s="93">
        <v>8124</v>
      </c>
      <c r="C160" s="93">
        <v>584</v>
      </c>
      <c r="D160" s="93">
        <f t="shared" si="0"/>
        <v>7540</v>
      </c>
      <c r="E160" s="94">
        <f t="shared" si="1"/>
        <v>7.1885770556376169E-2</v>
      </c>
      <c r="F160" s="95">
        <v>12034</v>
      </c>
      <c r="G160" s="96">
        <v>1616</v>
      </c>
      <c r="H160" s="96">
        <v>10418</v>
      </c>
      <c r="I160" s="97" t="s">
        <v>179</v>
      </c>
    </row>
    <row r="161" spans="1:9" ht="15" x14ac:dyDescent="0.25">
      <c r="A161" s="92">
        <v>44049</v>
      </c>
      <c r="B161" s="93">
        <v>8065</v>
      </c>
      <c r="C161" s="93">
        <v>693</v>
      </c>
      <c r="D161" s="93">
        <f t="shared" si="0"/>
        <v>7372</v>
      </c>
      <c r="E161" s="94">
        <f t="shared" si="1"/>
        <v>8.5926844389336635E-2</v>
      </c>
      <c r="F161" s="95">
        <v>12299</v>
      </c>
      <c r="G161" s="96">
        <v>1392</v>
      </c>
      <c r="H161" s="96">
        <v>10907</v>
      </c>
      <c r="I161" s="97" t="s">
        <v>180</v>
      </c>
    </row>
    <row r="162" spans="1:9" ht="15" x14ac:dyDescent="0.25">
      <c r="A162" s="92">
        <v>44050</v>
      </c>
      <c r="B162" s="93">
        <v>8791</v>
      </c>
      <c r="C162" s="93">
        <v>776</v>
      </c>
      <c r="D162" s="93">
        <f t="shared" si="0"/>
        <v>8015</v>
      </c>
      <c r="E162" s="94">
        <f t="shared" si="1"/>
        <v>8.8272096462290978E-2</v>
      </c>
      <c r="F162" s="95">
        <v>13298</v>
      </c>
      <c r="G162" s="96">
        <v>1506</v>
      </c>
      <c r="H162" s="96">
        <v>11792</v>
      </c>
      <c r="I162" s="97" t="s">
        <v>180</v>
      </c>
    </row>
    <row r="163" spans="1:9" ht="15" x14ac:dyDescent="0.25">
      <c r="A163" s="92">
        <v>44051</v>
      </c>
      <c r="B163" s="93">
        <v>6771</v>
      </c>
      <c r="C163" s="93">
        <v>534</v>
      </c>
      <c r="D163" s="93">
        <f t="shared" si="0"/>
        <v>6237</v>
      </c>
      <c r="E163" s="94">
        <f t="shared" si="1"/>
        <v>7.8865750996898534E-2</v>
      </c>
      <c r="F163" s="95">
        <v>9129</v>
      </c>
      <c r="G163" s="96">
        <v>1197</v>
      </c>
      <c r="H163" s="96">
        <v>7932</v>
      </c>
      <c r="I163" s="97" t="s">
        <v>181</v>
      </c>
    </row>
    <row r="164" spans="1:9" ht="15" x14ac:dyDescent="0.25">
      <c r="A164" s="92">
        <v>44052</v>
      </c>
      <c r="B164" s="93">
        <v>4433</v>
      </c>
      <c r="C164" s="93">
        <v>319</v>
      </c>
      <c r="D164" s="93">
        <f t="shared" si="0"/>
        <v>4114</v>
      </c>
      <c r="E164" s="94">
        <f t="shared" si="1"/>
        <v>7.1960297766749379E-2</v>
      </c>
      <c r="F164" s="95">
        <v>5412</v>
      </c>
      <c r="G164" s="96">
        <v>652</v>
      </c>
      <c r="H164" s="96">
        <v>4760</v>
      </c>
      <c r="I164" s="97" t="s">
        <v>114</v>
      </c>
    </row>
    <row r="165" spans="1:9" ht="15" x14ac:dyDescent="0.25">
      <c r="A165" s="92">
        <v>44053</v>
      </c>
      <c r="B165" s="93">
        <v>6059</v>
      </c>
      <c r="C165" s="93">
        <v>582</v>
      </c>
      <c r="D165" s="93">
        <f t="shared" si="0"/>
        <v>5477</v>
      </c>
      <c r="E165" s="94">
        <f t="shared" si="1"/>
        <v>9.6055454695494299E-2</v>
      </c>
      <c r="F165" s="95">
        <v>8939</v>
      </c>
      <c r="G165" s="96">
        <v>1169</v>
      </c>
      <c r="H165" s="96">
        <v>7770</v>
      </c>
      <c r="I165" s="97" t="s">
        <v>181</v>
      </c>
    </row>
    <row r="166" spans="1:9" ht="15" x14ac:dyDescent="0.25">
      <c r="A166" s="92">
        <v>44054</v>
      </c>
      <c r="B166" s="93">
        <v>5841</v>
      </c>
      <c r="C166" s="93">
        <v>487</v>
      </c>
      <c r="D166" s="93">
        <f t="shared" si="0"/>
        <v>5354</v>
      </c>
      <c r="E166" s="94">
        <f t="shared" si="1"/>
        <v>8.3376134223591844E-2</v>
      </c>
      <c r="F166" s="95">
        <v>8140</v>
      </c>
      <c r="G166" s="96">
        <v>896</v>
      </c>
      <c r="H166" s="96">
        <v>7244</v>
      </c>
      <c r="I166" s="97" t="s">
        <v>159</v>
      </c>
    </row>
    <row r="167" spans="1:9" ht="15" x14ac:dyDescent="0.25">
      <c r="A167" s="92">
        <v>44055</v>
      </c>
      <c r="B167" s="93">
        <v>8015</v>
      </c>
      <c r="C167" s="93">
        <v>591</v>
      </c>
      <c r="D167" s="93">
        <f t="shared" si="0"/>
        <v>7424</v>
      </c>
      <c r="E167" s="94">
        <f t="shared" si="1"/>
        <v>7.3736743605739244E-2</v>
      </c>
      <c r="F167" s="95">
        <v>10993</v>
      </c>
      <c r="G167" s="96">
        <v>1583</v>
      </c>
      <c r="H167" s="96">
        <v>9410</v>
      </c>
      <c r="I167" s="97" t="s">
        <v>127</v>
      </c>
    </row>
    <row r="168" spans="1:9" ht="15" x14ac:dyDescent="0.25">
      <c r="A168" s="92">
        <v>44056</v>
      </c>
      <c r="B168" s="93">
        <v>6881</v>
      </c>
      <c r="C168" s="93">
        <v>495</v>
      </c>
      <c r="D168" s="93">
        <f t="shared" si="0"/>
        <v>6386</v>
      </c>
      <c r="E168" s="94">
        <f t="shared" si="1"/>
        <v>7.1937218427554128E-2</v>
      </c>
      <c r="F168" s="95">
        <v>9144</v>
      </c>
      <c r="G168" s="96">
        <v>1362</v>
      </c>
      <c r="H168" s="96">
        <v>7782</v>
      </c>
      <c r="I168" s="97" t="s">
        <v>110</v>
      </c>
    </row>
    <row r="169" spans="1:9" ht="15" x14ac:dyDescent="0.25">
      <c r="A169" s="92">
        <v>44057</v>
      </c>
      <c r="B169" s="93">
        <v>8211</v>
      </c>
      <c r="C169" s="93">
        <v>729</v>
      </c>
      <c r="D169" s="93">
        <f t="shared" si="0"/>
        <v>7482</v>
      </c>
      <c r="E169" s="94">
        <f t="shared" si="1"/>
        <v>8.8783339422725607E-2</v>
      </c>
      <c r="F169" s="95">
        <v>11553</v>
      </c>
      <c r="G169" s="96">
        <v>1364</v>
      </c>
      <c r="H169" s="96">
        <v>10189</v>
      </c>
      <c r="I169" s="97" t="s">
        <v>182</v>
      </c>
    </row>
    <row r="170" spans="1:9" ht="15" x14ac:dyDescent="0.25">
      <c r="A170" s="92">
        <v>44058</v>
      </c>
      <c r="B170" s="93">
        <v>9669</v>
      </c>
      <c r="C170" s="93">
        <v>625</v>
      </c>
      <c r="D170" s="93">
        <f t="shared" si="0"/>
        <v>9044</v>
      </c>
      <c r="E170" s="94">
        <f t="shared" si="1"/>
        <v>6.4639569759023685E-2</v>
      </c>
      <c r="F170" s="95">
        <v>11769</v>
      </c>
      <c r="G170" s="96">
        <v>1656</v>
      </c>
      <c r="H170" s="96">
        <v>10113</v>
      </c>
      <c r="I170" s="97" t="s">
        <v>183</v>
      </c>
    </row>
    <row r="171" spans="1:9" ht="15" x14ac:dyDescent="0.25">
      <c r="A171" s="92">
        <v>44059</v>
      </c>
      <c r="B171" s="93">
        <v>5266</v>
      </c>
      <c r="C171" s="93">
        <v>534</v>
      </c>
      <c r="D171" s="93">
        <f t="shared" si="0"/>
        <v>4732</v>
      </c>
      <c r="E171" s="94">
        <f t="shared" si="1"/>
        <v>0.10140524116976833</v>
      </c>
      <c r="F171" s="95">
        <v>7387</v>
      </c>
      <c r="G171" s="96">
        <v>908</v>
      </c>
      <c r="H171" s="96">
        <v>6479</v>
      </c>
      <c r="I171" s="97" t="s">
        <v>150</v>
      </c>
    </row>
    <row r="172" spans="1:9" ht="15" x14ac:dyDescent="0.25">
      <c r="A172" s="92">
        <v>44060</v>
      </c>
      <c r="B172" s="93">
        <v>7215</v>
      </c>
      <c r="C172" s="93">
        <v>555</v>
      </c>
      <c r="D172" s="93">
        <f t="shared" si="0"/>
        <v>6660</v>
      </c>
      <c r="E172" s="94">
        <f t="shared" si="1"/>
        <v>7.6923076923076927E-2</v>
      </c>
      <c r="F172" s="95">
        <v>9212</v>
      </c>
      <c r="G172" s="96">
        <v>931</v>
      </c>
      <c r="H172" s="96">
        <v>8281</v>
      </c>
      <c r="I172" s="97" t="s">
        <v>128</v>
      </c>
    </row>
    <row r="173" spans="1:9" ht="15" x14ac:dyDescent="0.25">
      <c r="A173" s="92">
        <v>44061</v>
      </c>
      <c r="B173" s="93">
        <v>7097</v>
      </c>
      <c r="C173" s="93">
        <v>601</v>
      </c>
      <c r="D173" s="93">
        <f t="shared" si="0"/>
        <v>6496</v>
      </c>
      <c r="E173" s="94">
        <f t="shared" si="1"/>
        <v>8.4683669155981398E-2</v>
      </c>
      <c r="F173" s="95">
        <v>9548</v>
      </c>
      <c r="G173" s="96">
        <v>1327</v>
      </c>
      <c r="H173" s="96">
        <v>8221</v>
      </c>
      <c r="I173" s="97" t="s">
        <v>178</v>
      </c>
    </row>
    <row r="174" spans="1:9" ht="15" x14ac:dyDescent="0.25">
      <c r="A174" s="92">
        <v>44062</v>
      </c>
      <c r="B174" s="93">
        <v>10636</v>
      </c>
      <c r="C174" s="93">
        <v>695</v>
      </c>
      <c r="D174" s="93">
        <f t="shared" si="0"/>
        <v>9941</v>
      </c>
      <c r="E174" s="94">
        <f t="shared" si="1"/>
        <v>6.5344114328694997E-2</v>
      </c>
      <c r="F174" s="95">
        <v>14015</v>
      </c>
      <c r="G174" s="96">
        <v>2127</v>
      </c>
      <c r="H174" s="96">
        <v>11888</v>
      </c>
      <c r="I174" s="97" t="s">
        <v>184</v>
      </c>
    </row>
    <row r="175" spans="1:9" ht="15" x14ac:dyDescent="0.25">
      <c r="A175" s="92">
        <v>44063</v>
      </c>
      <c r="B175" s="93">
        <v>5422</v>
      </c>
      <c r="C175" s="93">
        <v>511</v>
      </c>
      <c r="D175" s="93">
        <f t="shared" si="0"/>
        <v>4911</v>
      </c>
      <c r="E175" s="94">
        <f t="shared" si="1"/>
        <v>9.4245665805975654E-2</v>
      </c>
      <c r="F175" s="95">
        <v>7015</v>
      </c>
      <c r="G175" s="96">
        <v>1076</v>
      </c>
      <c r="H175" s="96">
        <v>5939</v>
      </c>
      <c r="I175" s="97" t="s">
        <v>185</v>
      </c>
    </row>
    <row r="176" spans="1:9" ht="15" x14ac:dyDescent="0.25">
      <c r="A176" s="92">
        <v>44064</v>
      </c>
      <c r="B176" s="93">
        <v>7422</v>
      </c>
      <c r="C176" s="93">
        <v>760</v>
      </c>
      <c r="D176" s="93">
        <f t="shared" si="0"/>
        <v>6662</v>
      </c>
      <c r="E176" s="94">
        <f t="shared" si="1"/>
        <v>0.10239827539746699</v>
      </c>
      <c r="F176" s="95">
        <v>11260</v>
      </c>
      <c r="G176" s="96">
        <v>1858</v>
      </c>
      <c r="H176" s="96">
        <v>9402</v>
      </c>
      <c r="I176" s="97" t="s">
        <v>186</v>
      </c>
    </row>
    <row r="177" spans="1:9" ht="15" x14ac:dyDescent="0.25">
      <c r="A177" s="92">
        <v>44065</v>
      </c>
      <c r="B177" s="93">
        <v>6821</v>
      </c>
      <c r="C177" s="93">
        <v>854</v>
      </c>
      <c r="D177" s="93">
        <f t="shared" si="0"/>
        <v>5967</v>
      </c>
      <c r="E177" s="94">
        <f t="shared" si="1"/>
        <v>0.12520158334555051</v>
      </c>
      <c r="F177" s="95">
        <v>10132</v>
      </c>
      <c r="G177" s="96">
        <v>1864</v>
      </c>
      <c r="H177" s="96">
        <v>8268</v>
      </c>
      <c r="I177" s="97" t="s">
        <v>187</v>
      </c>
    </row>
    <row r="178" spans="1:9" ht="15" x14ac:dyDescent="0.25">
      <c r="A178" s="92">
        <v>44066</v>
      </c>
      <c r="B178" s="93">
        <v>3691</v>
      </c>
      <c r="C178" s="93">
        <v>508</v>
      </c>
      <c r="D178" s="93">
        <f t="shared" si="0"/>
        <v>3183</v>
      </c>
      <c r="E178" s="94">
        <f t="shared" si="1"/>
        <v>0.13763207802763477</v>
      </c>
      <c r="F178" s="95">
        <v>6484</v>
      </c>
      <c r="G178" s="96">
        <v>1157</v>
      </c>
      <c r="H178" s="96">
        <v>5327</v>
      </c>
      <c r="I178" s="97" t="s">
        <v>188</v>
      </c>
    </row>
    <row r="179" spans="1:9" ht="15" x14ac:dyDescent="0.25">
      <c r="A179" s="92">
        <v>44067</v>
      </c>
      <c r="B179" s="93">
        <v>8941</v>
      </c>
      <c r="C179" s="93">
        <v>704</v>
      </c>
      <c r="D179" s="93">
        <f t="shared" si="0"/>
        <v>8237</v>
      </c>
      <c r="E179" s="94">
        <f t="shared" si="1"/>
        <v>7.8738396152555637E-2</v>
      </c>
      <c r="F179" s="95">
        <v>11929</v>
      </c>
      <c r="G179" s="96">
        <v>1821</v>
      </c>
      <c r="H179" s="96">
        <v>10108</v>
      </c>
      <c r="I179" s="97" t="s">
        <v>185</v>
      </c>
    </row>
    <row r="180" spans="1:9" ht="15" x14ac:dyDescent="0.25">
      <c r="A180" s="92">
        <v>44068</v>
      </c>
      <c r="B180" s="93">
        <v>8794</v>
      </c>
      <c r="C180" s="93">
        <v>569</v>
      </c>
      <c r="D180" s="93">
        <f t="shared" si="0"/>
        <v>8225</v>
      </c>
      <c r="E180" s="94">
        <f t="shared" si="1"/>
        <v>6.4703206731862639E-2</v>
      </c>
      <c r="F180" s="95">
        <v>12056</v>
      </c>
      <c r="G180" s="96">
        <v>1871</v>
      </c>
      <c r="H180" s="96">
        <v>10185</v>
      </c>
      <c r="I180" s="97" t="s">
        <v>189</v>
      </c>
    </row>
    <row r="181" spans="1:9" ht="15" x14ac:dyDescent="0.25">
      <c r="A181" s="92">
        <v>44069</v>
      </c>
      <c r="B181" s="93">
        <v>11436</v>
      </c>
      <c r="C181" s="93">
        <v>907</v>
      </c>
      <c r="D181" s="93">
        <f t="shared" si="0"/>
        <v>10529</v>
      </c>
      <c r="E181" s="94">
        <f t="shared" si="1"/>
        <v>7.9310947883875479E-2</v>
      </c>
      <c r="F181" s="95">
        <v>14863</v>
      </c>
      <c r="G181" s="96">
        <v>2488</v>
      </c>
      <c r="H181" s="96">
        <v>12375</v>
      </c>
      <c r="I181" s="97" t="s">
        <v>190</v>
      </c>
    </row>
    <row r="182" spans="1:9" ht="15" x14ac:dyDescent="0.25">
      <c r="A182" s="92">
        <v>44070</v>
      </c>
      <c r="B182" s="93">
        <v>9360</v>
      </c>
      <c r="C182" s="93">
        <v>879</v>
      </c>
      <c r="D182" s="93">
        <f t="shared" si="0"/>
        <v>8481</v>
      </c>
      <c r="E182" s="94">
        <f t="shared" si="1"/>
        <v>9.391025641025641E-2</v>
      </c>
      <c r="F182" s="95">
        <v>14337</v>
      </c>
      <c r="G182" s="96">
        <v>2158</v>
      </c>
      <c r="H182" s="96">
        <v>12179</v>
      </c>
      <c r="I182" s="97" t="s">
        <v>191</v>
      </c>
    </row>
    <row r="183" spans="1:9" ht="15" x14ac:dyDescent="0.25">
      <c r="A183" s="92">
        <v>44071</v>
      </c>
      <c r="B183" s="93">
        <v>10266</v>
      </c>
      <c r="C183" s="93">
        <v>882</v>
      </c>
      <c r="D183" s="93">
        <f t="shared" si="0"/>
        <v>9384</v>
      </c>
      <c r="E183" s="94">
        <f t="shared" si="1"/>
        <v>8.5914669783752187E-2</v>
      </c>
      <c r="F183" s="95">
        <v>13469</v>
      </c>
      <c r="G183" s="96">
        <v>2047</v>
      </c>
      <c r="H183" s="96">
        <v>11422</v>
      </c>
      <c r="I183" s="97" t="s">
        <v>184</v>
      </c>
    </row>
    <row r="184" spans="1:9" ht="15" x14ac:dyDescent="0.25">
      <c r="A184" s="92">
        <v>44072</v>
      </c>
      <c r="B184" s="93">
        <v>9392</v>
      </c>
      <c r="C184" s="93">
        <v>974</v>
      </c>
      <c r="D184" s="93">
        <f t="shared" si="0"/>
        <v>8418</v>
      </c>
      <c r="E184" s="94">
        <f t="shared" si="1"/>
        <v>0.10370528109028961</v>
      </c>
      <c r="F184" s="95">
        <v>12916</v>
      </c>
      <c r="G184" s="96">
        <v>2111</v>
      </c>
      <c r="H184" s="96">
        <v>10805</v>
      </c>
      <c r="I184" s="97" t="s">
        <v>192</v>
      </c>
    </row>
    <row r="185" spans="1:9" ht="15" x14ac:dyDescent="0.25">
      <c r="A185" s="92">
        <v>44073</v>
      </c>
      <c r="B185" s="93">
        <v>4880</v>
      </c>
      <c r="C185" s="93">
        <v>703</v>
      </c>
      <c r="D185" s="93">
        <f t="shared" si="0"/>
        <v>4177</v>
      </c>
      <c r="E185" s="94">
        <f t="shared" si="1"/>
        <v>0.14405737704918034</v>
      </c>
      <c r="F185" s="95">
        <v>7578</v>
      </c>
      <c r="G185" s="96">
        <v>1567</v>
      </c>
      <c r="H185" s="96">
        <v>6011</v>
      </c>
      <c r="I185" s="97" t="s">
        <v>193</v>
      </c>
    </row>
    <row r="186" spans="1:9" ht="15" x14ac:dyDescent="0.25">
      <c r="A186" s="92">
        <v>44074</v>
      </c>
      <c r="B186" s="93">
        <v>7514</v>
      </c>
      <c r="C186" s="93">
        <v>1024</v>
      </c>
      <c r="D186" s="93">
        <f t="shared" si="0"/>
        <v>6490</v>
      </c>
      <c r="E186" s="94">
        <f t="shared" si="1"/>
        <v>0.13627894596752729</v>
      </c>
      <c r="F186" s="95">
        <v>10024</v>
      </c>
      <c r="G186" s="96">
        <v>1996</v>
      </c>
      <c r="H186" s="96">
        <v>8028</v>
      </c>
      <c r="I186" s="97" t="s">
        <v>194</v>
      </c>
    </row>
    <row r="187" spans="1:9" ht="15" x14ac:dyDescent="0.25">
      <c r="A187" s="92">
        <v>44075</v>
      </c>
      <c r="B187" s="93">
        <v>8222</v>
      </c>
      <c r="C187" s="93">
        <v>1121</v>
      </c>
      <c r="D187" s="93">
        <f t="shared" si="0"/>
        <v>7101</v>
      </c>
      <c r="E187" s="94">
        <f t="shared" si="1"/>
        <v>0.13634152274385794</v>
      </c>
      <c r="F187" s="95">
        <v>12001</v>
      </c>
      <c r="G187" s="96">
        <v>2172</v>
      </c>
      <c r="H187" s="96">
        <v>9829</v>
      </c>
      <c r="I187" s="97" t="s">
        <v>195</v>
      </c>
    </row>
    <row r="188" spans="1:9" ht="15" x14ac:dyDescent="0.25">
      <c r="A188" s="92">
        <v>44076</v>
      </c>
      <c r="B188" s="93">
        <v>9971</v>
      </c>
      <c r="C188" s="93">
        <v>1135</v>
      </c>
      <c r="D188" s="93">
        <f t="shared" si="0"/>
        <v>8836</v>
      </c>
      <c r="E188" s="94">
        <f t="shared" si="1"/>
        <v>0.11383010731120249</v>
      </c>
      <c r="F188" s="95">
        <v>12117</v>
      </c>
      <c r="G188" s="96">
        <v>2242</v>
      </c>
      <c r="H188" s="96">
        <v>9875</v>
      </c>
      <c r="I188" s="97" t="s">
        <v>196</v>
      </c>
    </row>
    <row r="189" spans="1:9" ht="15" x14ac:dyDescent="0.25">
      <c r="A189" s="92">
        <v>44077</v>
      </c>
      <c r="B189" s="93">
        <v>12131</v>
      </c>
      <c r="C189" s="93">
        <v>1013</v>
      </c>
      <c r="D189" s="93">
        <f t="shared" si="0"/>
        <v>11118</v>
      </c>
      <c r="E189" s="94">
        <f t="shared" si="1"/>
        <v>8.3505069656252581E-2</v>
      </c>
      <c r="F189" s="95">
        <v>15390</v>
      </c>
      <c r="G189" s="96">
        <v>2607</v>
      </c>
      <c r="H189" s="96">
        <v>12783</v>
      </c>
      <c r="I189" s="97" t="s">
        <v>117</v>
      </c>
    </row>
    <row r="190" spans="1:9" ht="15" x14ac:dyDescent="0.25">
      <c r="A190" s="92">
        <v>44078</v>
      </c>
      <c r="B190" s="93">
        <v>10248</v>
      </c>
      <c r="C190" s="93">
        <v>1242</v>
      </c>
      <c r="D190" s="93">
        <f t="shared" si="0"/>
        <v>9006</v>
      </c>
      <c r="E190" s="94">
        <f t="shared" si="1"/>
        <v>0.1211943793911007</v>
      </c>
      <c r="F190" s="95">
        <v>12252</v>
      </c>
      <c r="G190" s="96">
        <v>2263</v>
      </c>
      <c r="H190" s="96">
        <v>9989</v>
      </c>
      <c r="I190" s="97" t="s">
        <v>196</v>
      </c>
    </row>
    <row r="191" spans="1:9" ht="15" x14ac:dyDescent="0.25">
      <c r="A191" s="92">
        <v>44079</v>
      </c>
      <c r="B191" s="93">
        <v>9866</v>
      </c>
      <c r="C191" s="93">
        <v>1130</v>
      </c>
      <c r="D191" s="93">
        <f t="shared" si="0"/>
        <v>8736</v>
      </c>
      <c r="E191" s="94">
        <f t="shared" si="1"/>
        <v>0.11453476586255829</v>
      </c>
      <c r="F191" s="95">
        <v>11771</v>
      </c>
      <c r="G191" s="96">
        <v>2208</v>
      </c>
      <c r="H191" s="96">
        <v>9563</v>
      </c>
      <c r="I191" s="97" t="s">
        <v>197</v>
      </c>
    </row>
    <row r="192" spans="1:9" ht="15" x14ac:dyDescent="0.25">
      <c r="A192" s="92">
        <v>44080</v>
      </c>
      <c r="B192" s="93">
        <v>4979</v>
      </c>
      <c r="C192" s="93">
        <v>703</v>
      </c>
      <c r="D192" s="93">
        <f t="shared" si="0"/>
        <v>4276</v>
      </c>
      <c r="E192" s="94">
        <f t="shared" si="1"/>
        <v>0.14119301064470777</v>
      </c>
      <c r="F192" s="95">
        <v>6622</v>
      </c>
      <c r="G192" s="96">
        <v>1167</v>
      </c>
      <c r="H192" s="96">
        <v>5455</v>
      </c>
      <c r="I192" s="97" t="s">
        <v>198</v>
      </c>
    </row>
    <row r="193" spans="1:9" ht="15" x14ac:dyDescent="0.25">
      <c r="A193" s="92">
        <v>44081</v>
      </c>
      <c r="B193" s="93">
        <v>12302</v>
      </c>
      <c r="C193" s="93">
        <v>1289</v>
      </c>
      <c r="D193" s="93">
        <f t="shared" si="0"/>
        <v>11013</v>
      </c>
      <c r="E193" s="94">
        <f t="shared" si="1"/>
        <v>0.10477971061615997</v>
      </c>
      <c r="F193" s="95">
        <v>14808</v>
      </c>
      <c r="G193" s="96">
        <v>2427</v>
      </c>
      <c r="H193" s="96">
        <v>12381</v>
      </c>
      <c r="I193" s="97" t="s">
        <v>199</v>
      </c>
    </row>
    <row r="194" spans="1:9" ht="15" x14ac:dyDescent="0.25">
      <c r="A194" s="92">
        <v>44082</v>
      </c>
      <c r="B194" s="93">
        <v>12891</v>
      </c>
      <c r="C194" s="93">
        <v>1326</v>
      </c>
      <c r="D194" s="93">
        <f t="shared" si="0"/>
        <v>11565</v>
      </c>
      <c r="E194" s="94">
        <f t="shared" si="1"/>
        <v>0.10286246218291832</v>
      </c>
      <c r="F194" s="95">
        <v>14488</v>
      </c>
      <c r="G194" s="96">
        <v>2658</v>
      </c>
      <c r="H194" s="96">
        <v>11830</v>
      </c>
      <c r="I194" s="97" t="s">
        <v>200</v>
      </c>
    </row>
    <row r="195" spans="1:9" ht="15" x14ac:dyDescent="0.25">
      <c r="A195" s="92">
        <v>44083</v>
      </c>
      <c r="B195" s="93">
        <v>10005</v>
      </c>
      <c r="C195" s="93">
        <v>1102</v>
      </c>
      <c r="D195" s="93">
        <f t="shared" si="0"/>
        <v>8903</v>
      </c>
      <c r="E195" s="94">
        <f t="shared" si="1"/>
        <v>0.11014492753623188</v>
      </c>
      <c r="F195" s="95">
        <v>13666</v>
      </c>
      <c r="G195" s="96">
        <v>2232</v>
      </c>
      <c r="H195" s="96">
        <v>11434</v>
      </c>
      <c r="I195" s="97" t="s">
        <v>192</v>
      </c>
    </row>
    <row r="196" spans="1:9" ht="15" x14ac:dyDescent="0.25">
      <c r="A196" s="92">
        <v>44084</v>
      </c>
      <c r="B196" s="93">
        <v>12103</v>
      </c>
      <c r="C196" s="93">
        <v>1203</v>
      </c>
      <c r="D196" s="93">
        <f t="shared" si="0"/>
        <v>10900</v>
      </c>
      <c r="E196" s="94">
        <f t="shared" si="1"/>
        <v>9.9396843757746017E-2</v>
      </c>
      <c r="F196" s="95">
        <v>14034</v>
      </c>
      <c r="G196" s="96">
        <v>2476</v>
      </c>
      <c r="H196" s="96">
        <v>11558</v>
      </c>
      <c r="I196" s="97" t="s">
        <v>198</v>
      </c>
    </row>
    <row r="197" spans="1:9" ht="15" x14ac:dyDescent="0.25">
      <c r="A197" s="92">
        <v>44085</v>
      </c>
      <c r="B197" s="93">
        <v>10311</v>
      </c>
      <c r="C197" s="93">
        <v>1435</v>
      </c>
      <c r="D197" s="93">
        <f t="shared" si="0"/>
        <v>8876</v>
      </c>
      <c r="E197" s="94">
        <f t="shared" si="1"/>
        <v>0.13917175831636117</v>
      </c>
      <c r="F197" s="95">
        <v>13386</v>
      </c>
      <c r="G197" s="96">
        <v>2501</v>
      </c>
      <c r="H197" s="96">
        <v>10885</v>
      </c>
      <c r="I197" s="97" t="s">
        <v>201</v>
      </c>
    </row>
    <row r="198" spans="1:9" ht="15" x14ac:dyDescent="0.25">
      <c r="A198" s="92">
        <v>44086</v>
      </c>
      <c r="B198" s="93">
        <v>10567</v>
      </c>
      <c r="C198" s="93">
        <v>1702</v>
      </c>
      <c r="D198" s="93">
        <f t="shared" si="0"/>
        <v>8865</v>
      </c>
      <c r="E198" s="94">
        <f t="shared" si="1"/>
        <v>0.16106747421216996</v>
      </c>
      <c r="F198" s="95">
        <v>13078</v>
      </c>
      <c r="G198" s="96">
        <v>2826</v>
      </c>
      <c r="H198" s="96">
        <v>10252</v>
      </c>
      <c r="I198" s="97" t="s">
        <v>202</v>
      </c>
    </row>
    <row r="199" spans="1:9" ht="15" x14ac:dyDescent="0.25">
      <c r="A199" s="92">
        <v>44087</v>
      </c>
      <c r="B199" s="93">
        <v>5085</v>
      </c>
      <c r="C199" s="93">
        <v>768</v>
      </c>
      <c r="D199" s="93">
        <f t="shared" si="0"/>
        <v>4317</v>
      </c>
      <c r="E199" s="94">
        <f t="shared" si="1"/>
        <v>0.15103244837758112</v>
      </c>
      <c r="F199" s="95">
        <v>7427</v>
      </c>
      <c r="G199" s="96">
        <v>1528</v>
      </c>
      <c r="H199" s="96">
        <v>5899</v>
      </c>
      <c r="I199" s="97" t="s">
        <v>203</v>
      </c>
    </row>
    <row r="200" spans="1:9" ht="15" x14ac:dyDescent="0.25">
      <c r="A200" s="92">
        <v>44088</v>
      </c>
      <c r="B200" s="93">
        <v>12510</v>
      </c>
      <c r="C200" s="93">
        <v>1263</v>
      </c>
      <c r="D200" s="93">
        <f t="shared" si="0"/>
        <v>11247</v>
      </c>
      <c r="E200" s="94">
        <f t="shared" si="1"/>
        <v>0.10095923261390888</v>
      </c>
      <c r="F200" s="95">
        <v>14901</v>
      </c>
      <c r="G200" s="96">
        <v>3021</v>
      </c>
      <c r="H200" s="96">
        <v>11880</v>
      </c>
      <c r="I200" s="97" t="s">
        <v>204</v>
      </c>
    </row>
    <row r="201" spans="1:9" ht="15" x14ac:dyDescent="0.25">
      <c r="A201" s="92">
        <v>44089</v>
      </c>
      <c r="B201" s="93">
        <v>8677</v>
      </c>
      <c r="C201" s="93">
        <v>1037</v>
      </c>
      <c r="D201" s="93">
        <f t="shared" si="0"/>
        <v>7640</v>
      </c>
      <c r="E201" s="94">
        <f t="shared" si="1"/>
        <v>0.11951135184971765</v>
      </c>
      <c r="F201" s="95">
        <v>11472</v>
      </c>
      <c r="G201" s="96">
        <v>2074</v>
      </c>
      <c r="H201" s="96">
        <v>9398</v>
      </c>
      <c r="I201" s="97" t="s">
        <v>195</v>
      </c>
    </row>
    <row r="202" spans="1:9" ht="15" x14ac:dyDescent="0.25">
      <c r="A202" s="92">
        <v>44090</v>
      </c>
      <c r="B202" s="93">
        <v>13090</v>
      </c>
      <c r="C202" s="93">
        <v>1048</v>
      </c>
      <c r="D202" s="93">
        <f t="shared" si="0"/>
        <v>12042</v>
      </c>
      <c r="E202" s="94">
        <f t="shared" si="1"/>
        <v>8.0061115355232998E-2</v>
      </c>
      <c r="F202" s="95">
        <v>15747</v>
      </c>
      <c r="G202" s="96">
        <v>3215</v>
      </c>
      <c r="H202" s="96">
        <v>12532</v>
      </c>
      <c r="I202" s="97" t="s">
        <v>205</v>
      </c>
    </row>
    <row r="203" spans="1:9" ht="15" x14ac:dyDescent="0.25">
      <c r="A203" s="92">
        <v>44091</v>
      </c>
      <c r="B203" s="93">
        <v>13012</v>
      </c>
      <c r="C203" s="93">
        <v>1403</v>
      </c>
      <c r="D203" s="93">
        <f t="shared" si="0"/>
        <v>11609</v>
      </c>
      <c r="E203" s="94">
        <f t="shared" si="1"/>
        <v>0.10782354749462035</v>
      </c>
      <c r="F203" s="95">
        <v>15665</v>
      </c>
      <c r="G203" s="96">
        <v>2699</v>
      </c>
      <c r="H203" s="96">
        <v>12966</v>
      </c>
      <c r="I203" s="97" t="s">
        <v>206</v>
      </c>
    </row>
    <row r="204" spans="1:9" ht="15" x14ac:dyDescent="0.25">
      <c r="A204" s="92">
        <v>44092</v>
      </c>
      <c r="B204" s="93">
        <v>13890</v>
      </c>
      <c r="C204" s="93">
        <v>1166</v>
      </c>
      <c r="D204" s="93">
        <f t="shared" si="0"/>
        <v>12724</v>
      </c>
      <c r="E204" s="94">
        <f t="shared" si="1"/>
        <v>8.3945284377249824E-2</v>
      </c>
      <c r="F204" s="95">
        <v>16387</v>
      </c>
      <c r="G204" s="96">
        <v>2842</v>
      </c>
      <c r="H204" s="96">
        <v>13545</v>
      </c>
      <c r="I204" s="97" t="s">
        <v>207</v>
      </c>
    </row>
    <row r="205" spans="1:9" ht="15" x14ac:dyDescent="0.25">
      <c r="A205" s="92">
        <v>44093</v>
      </c>
      <c r="B205" s="93">
        <v>11118</v>
      </c>
      <c r="C205" s="93">
        <v>1177</v>
      </c>
      <c r="D205" s="93">
        <f t="shared" si="0"/>
        <v>9941</v>
      </c>
      <c r="E205" s="94">
        <f t="shared" si="1"/>
        <v>0.10586436409426156</v>
      </c>
      <c r="F205" s="95">
        <v>14296</v>
      </c>
      <c r="G205" s="96">
        <v>2878</v>
      </c>
      <c r="H205" s="96">
        <v>11418</v>
      </c>
      <c r="I205" s="97" t="s">
        <v>208</v>
      </c>
    </row>
    <row r="206" spans="1:9" ht="15" x14ac:dyDescent="0.25">
      <c r="A206" s="92">
        <v>44094</v>
      </c>
      <c r="B206" s="93">
        <v>6818</v>
      </c>
      <c r="C206" s="93">
        <v>929</v>
      </c>
      <c r="D206" s="93">
        <f t="shared" si="0"/>
        <v>5889</v>
      </c>
      <c r="E206" s="94">
        <f t="shared" si="1"/>
        <v>0.1362569668524494</v>
      </c>
      <c r="F206" s="95">
        <v>8583</v>
      </c>
      <c r="G206" s="96">
        <v>1824</v>
      </c>
      <c r="H206" s="96">
        <v>6759</v>
      </c>
      <c r="I206" s="97" t="s">
        <v>209</v>
      </c>
    </row>
    <row r="207" spans="1:9" ht="15" x14ac:dyDescent="0.25">
      <c r="A207" s="92">
        <v>44095</v>
      </c>
      <c r="B207" s="93">
        <v>14050</v>
      </c>
      <c r="C207" s="93">
        <v>1265</v>
      </c>
      <c r="D207" s="93">
        <f t="shared" si="0"/>
        <v>12785</v>
      </c>
      <c r="E207" s="94">
        <f t="shared" si="1"/>
        <v>9.0035587188612098E-2</v>
      </c>
      <c r="F207" s="95">
        <v>17814</v>
      </c>
      <c r="G207" s="96">
        <v>3127</v>
      </c>
      <c r="H207" s="96">
        <v>14687</v>
      </c>
      <c r="I207" s="97" t="s">
        <v>198</v>
      </c>
    </row>
    <row r="208" spans="1:9" ht="15" x14ac:dyDescent="0.25">
      <c r="A208" s="92">
        <v>44096</v>
      </c>
      <c r="B208" s="93">
        <v>12368</v>
      </c>
      <c r="C208" s="93">
        <v>1187</v>
      </c>
      <c r="D208" s="93">
        <f t="shared" si="0"/>
        <v>11181</v>
      </c>
      <c r="E208" s="94">
        <f t="shared" si="1"/>
        <v>9.5973479948253559E-2</v>
      </c>
      <c r="F208" s="95">
        <v>14999</v>
      </c>
      <c r="G208" s="96">
        <v>2424</v>
      </c>
      <c r="H208" s="96">
        <v>12575</v>
      </c>
      <c r="I208" s="97" t="s">
        <v>210</v>
      </c>
    </row>
    <row r="209" spans="1:9" ht="15" x14ac:dyDescent="0.25">
      <c r="A209" s="92">
        <v>44097</v>
      </c>
      <c r="B209" s="93">
        <v>12446</v>
      </c>
      <c r="C209" s="93">
        <v>937</v>
      </c>
      <c r="D209" s="93">
        <f t="shared" si="0"/>
        <v>11509</v>
      </c>
      <c r="E209" s="94">
        <f t="shared" si="1"/>
        <v>7.5285232203117461E-2</v>
      </c>
      <c r="F209" s="95">
        <v>15558</v>
      </c>
      <c r="G209" s="96">
        <v>2754</v>
      </c>
      <c r="H209" s="96">
        <v>12804</v>
      </c>
      <c r="I209" s="97" t="s">
        <v>211</v>
      </c>
    </row>
    <row r="210" spans="1:9" ht="15" x14ac:dyDescent="0.25">
      <c r="A210" s="92">
        <v>44098</v>
      </c>
      <c r="B210" s="93">
        <v>14461</v>
      </c>
      <c r="C210" s="93">
        <v>1199</v>
      </c>
      <c r="D210" s="93">
        <f t="shared" si="0"/>
        <v>13262</v>
      </c>
      <c r="E210" s="94">
        <f t="shared" si="1"/>
        <v>8.2912661641656865E-2</v>
      </c>
      <c r="F210" s="95">
        <v>17423</v>
      </c>
      <c r="G210" s="96">
        <v>2801</v>
      </c>
      <c r="H210" s="96">
        <v>14622</v>
      </c>
      <c r="I210" s="97" t="s">
        <v>212</v>
      </c>
    </row>
    <row r="211" spans="1:9" ht="15" x14ac:dyDescent="0.25">
      <c r="A211" s="92">
        <v>44099</v>
      </c>
      <c r="B211" s="93">
        <v>13100</v>
      </c>
      <c r="C211" s="93">
        <v>1253</v>
      </c>
      <c r="D211" s="93">
        <f t="shared" si="0"/>
        <v>11847</v>
      </c>
      <c r="E211" s="94">
        <f t="shared" si="1"/>
        <v>9.5648854961832064E-2</v>
      </c>
      <c r="F211" s="95">
        <v>16250</v>
      </c>
      <c r="G211" s="96">
        <v>2814</v>
      </c>
      <c r="H211" s="96">
        <v>13436</v>
      </c>
      <c r="I211" s="97" t="s">
        <v>207</v>
      </c>
    </row>
    <row r="212" spans="1:9" ht="15" x14ac:dyDescent="0.25">
      <c r="A212" s="92">
        <v>44100</v>
      </c>
      <c r="B212" s="93">
        <v>12736</v>
      </c>
      <c r="C212" s="93">
        <v>1305</v>
      </c>
      <c r="D212" s="93">
        <f t="shared" si="0"/>
        <v>11431</v>
      </c>
      <c r="E212" s="94">
        <f t="shared" si="1"/>
        <v>0.10246545226130653</v>
      </c>
      <c r="F212" s="95">
        <v>15920</v>
      </c>
      <c r="G212" s="96">
        <v>2653</v>
      </c>
      <c r="H212" s="96">
        <v>13267</v>
      </c>
      <c r="I212" s="97" t="s">
        <v>190</v>
      </c>
    </row>
    <row r="213" spans="1:9" ht="15" x14ac:dyDescent="0.25">
      <c r="A213" s="92">
        <v>44101</v>
      </c>
      <c r="B213" s="93">
        <v>6127</v>
      </c>
      <c r="C213" s="93">
        <v>807</v>
      </c>
      <c r="D213" s="93">
        <f t="shared" si="0"/>
        <v>5320</v>
      </c>
      <c r="E213" s="94">
        <f t="shared" si="1"/>
        <v>0.13171209401011916</v>
      </c>
      <c r="F213" s="95">
        <v>9014</v>
      </c>
      <c r="G213" s="96">
        <v>1724</v>
      </c>
      <c r="H213" s="96">
        <v>7290</v>
      </c>
      <c r="I213" s="97" t="s">
        <v>213</v>
      </c>
    </row>
    <row r="214" spans="1:9" ht="15" x14ac:dyDescent="0.25">
      <c r="A214" s="92">
        <v>44102</v>
      </c>
      <c r="B214" s="93">
        <v>10211</v>
      </c>
      <c r="C214" s="93">
        <v>1204</v>
      </c>
      <c r="D214" s="93">
        <f t="shared" si="0"/>
        <v>9007</v>
      </c>
      <c r="E214" s="94">
        <f t="shared" si="1"/>
        <v>0.11791205562628537</v>
      </c>
      <c r="F214" s="95">
        <v>13092</v>
      </c>
      <c r="G214" s="96">
        <v>2157</v>
      </c>
      <c r="H214" s="96">
        <v>10935</v>
      </c>
      <c r="I214" s="97" t="s">
        <v>186</v>
      </c>
    </row>
    <row r="215" spans="1:9" ht="15" x14ac:dyDescent="0.25">
      <c r="A215" s="92">
        <v>44103</v>
      </c>
      <c r="B215" s="93">
        <v>13569</v>
      </c>
      <c r="C215" s="93">
        <v>1253</v>
      </c>
      <c r="D215" s="93">
        <f t="shared" si="0"/>
        <v>12316</v>
      </c>
      <c r="E215" s="94">
        <f t="shared" si="1"/>
        <v>9.2342840297737497E-2</v>
      </c>
      <c r="F215" s="95">
        <v>16962</v>
      </c>
      <c r="G215" s="96">
        <v>2658</v>
      </c>
      <c r="H215" s="96">
        <v>14304</v>
      </c>
      <c r="I215" s="97" t="s">
        <v>214</v>
      </c>
    </row>
    <row r="216" spans="1:9" ht="15" x14ac:dyDescent="0.25">
      <c r="A216" s="92">
        <v>44104</v>
      </c>
      <c r="B216" s="93">
        <v>11914</v>
      </c>
      <c r="C216" s="93">
        <v>1141</v>
      </c>
      <c r="D216" s="93">
        <f t="shared" si="0"/>
        <v>10773</v>
      </c>
      <c r="E216" s="94">
        <f t="shared" si="1"/>
        <v>9.5769682726204466E-2</v>
      </c>
      <c r="F216" s="95">
        <v>14893</v>
      </c>
      <c r="G216" s="96">
        <v>2607</v>
      </c>
      <c r="H216" s="96">
        <v>12286</v>
      </c>
      <c r="I216" s="97" t="s">
        <v>215</v>
      </c>
    </row>
    <row r="217" spans="1:9" ht="15" x14ac:dyDescent="0.25">
      <c r="A217" s="92">
        <v>44105</v>
      </c>
      <c r="B217" s="93">
        <v>10648</v>
      </c>
      <c r="C217" s="93">
        <v>1103</v>
      </c>
      <c r="D217" s="93">
        <f t="shared" si="0"/>
        <v>9545</v>
      </c>
      <c r="E217" s="94">
        <f t="shared" si="1"/>
        <v>0.10358752817430503</v>
      </c>
      <c r="F217" s="95">
        <v>13311</v>
      </c>
      <c r="G217" s="96">
        <v>2428</v>
      </c>
      <c r="H217" s="96">
        <v>10883</v>
      </c>
      <c r="I217" s="97" t="s">
        <v>216</v>
      </c>
    </row>
    <row r="218" spans="1:9" ht="15" x14ac:dyDescent="0.25">
      <c r="A218" s="92">
        <v>44106</v>
      </c>
      <c r="B218" s="93">
        <v>11800</v>
      </c>
      <c r="C218" s="93">
        <v>1110</v>
      </c>
      <c r="D218" s="93">
        <f t="shared" si="0"/>
        <v>10690</v>
      </c>
      <c r="E218" s="94">
        <f t="shared" si="1"/>
        <v>9.4067796610169493E-2</v>
      </c>
      <c r="F218" s="95">
        <v>14750</v>
      </c>
      <c r="G218" s="96">
        <v>2385</v>
      </c>
      <c r="H218" s="96">
        <v>12365</v>
      </c>
      <c r="I218" s="97" t="s">
        <v>210</v>
      </c>
    </row>
    <row r="219" spans="1:9" ht="15" x14ac:dyDescent="0.25">
      <c r="A219" s="92">
        <v>44107</v>
      </c>
      <c r="B219" s="93">
        <v>11265</v>
      </c>
      <c r="C219" s="93">
        <v>1141</v>
      </c>
      <c r="D219" s="93">
        <f t="shared" si="0"/>
        <v>10124</v>
      </c>
      <c r="E219" s="94">
        <f t="shared" si="1"/>
        <v>0.10128717265867732</v>
      </c>
      <c r="F219" s="95">
        <v>14082</v>
      </c>
      <c r="G219" s="96">
        <v>2562</v>
      </c>
      <c r="H219" s="96">
        <v>11520</v>
      </c>
      <c r="I219" s="97" t="s">
        <v>216</v>
      </c>
    </row>
    <row r="220" spans="1:9" ht="15" x14ac:dyDescent="0.25">
      <c r="A220" s="92">
        <v>44108</v>
      </c>
      <c r="B220" s="93">
        <v>5066</v>
      </c>
      <c r="C220" s="93">
        <v>696</v>
      </c>
      <c r="D220" s="93">
        <f t="shared" si="0"/>
        <v>4370</v>
      </c>
      <c r="E220" s="94">
        <f t="shared" si="1"/>
        <v>0.13738649822345045</v>
      </c>
      <c r="F220" s="95">
        <v>7514</v>
      </c>
      <c r="G220" s="96">
        <v>1505</v>
      </c>
      <c r="H220" s="96">
        <v>6009</v>
      </c>
      <c r="I220" s="97" t="s">
        <v>92</v>
      </c>
    </row>
    <row r="221" spans="1:9" ht="15" x14ac:dyDescent="0.25">
      <c r="A221" s="92">
        <v>44109</v>
      </c>
      <c r="B221" s="93">
        <v>10756</v>
      </c>
      <c r="C221" s="93">
        <v>1082</v>
      </c>
      <c r="D221" s="93">
        <f t="shared" si="0"/>
        <v>9674</v>
      </c>
      <c r="E221" s="94">
        <f t="shared" si="1"/>
        <v>0.10059501673484567</v>
      </c>
      <c r="F221" s="95">
        <v>13445</v>
      </c>
      <c r="G221" s="96">
        <v>2434</v>
      </c>
      <c r="H221" s="96">
        <v>11011</v>
      </c>
      <c r="I221" s="97" t="s">
        <v>195</v>
      </c>
    </row>
    <row r="222" spans="1:9" ht="15" x14ac:dyDescent="0.25">
      <c r="A222" s="92">
        <v>44110</v>
      </c>
      <c r="B222" s="93">
        <v>11702</v>
      </c>
      <c r="C222" s="93">
        <v>1091</v>
      </c>
      <c r="D222" s="93">
        <f t="shared" si="0"/>
        <v>10611</v>
      </c>
      <c r="E222" s="94">
        <f t="shared" si="1"/>
        <v>9.3231926166467277E-2</v>
      </c>
      <c r="F222" s="95">
        <v>14628</v>
      </c>
      <c r="G222" s="96">
        <v>2526</v>
      </c>
      <c r="H222" s="96">
        <v>12102</v>
      </c>
      <c r="I222" s="97" t="s">
        <v>207</v>
      </c>
    </row>
    <row r="223" spans="1:9" ht="15" x14ac:dyDescent="0.25">
      <c r="A223" s="92">
        <v>44111</v>
      </c>
      <c r="B223" s="93">
        <v>12335</v>
      </c>
      <c r="C223" s="93">
        <v>1140</v>
      </c>
      <c r="D223" s="93">
        <f t="shared" si="0"/>
        <v>11195</v>
      </c>
      <c r="E223" s="94">
        <f t="shared" si="1"/>
        <v>9.2419943250912046E-2</v>
      </c>
      <c r="F223" s="95">
        <v>15419</v>
      </c>
      <c r="G223" s="96">
        <v>2497</v>
      </c>
      <c r="H223" s="96">
        <v>12922</v>
      </c>
      <c r="I223" s="97" t="s">
        <v>210</v>
      </c>
    </row>
    <row r="224" spans="1:9" ht="15" x14ac:dyDescent="0.25">
      <c r="A224" s="92">
        <v>44112</v>
      </c>
      <c r="B224" s="93">
        <v>12432</v>
      </c>
      <c r="C224" s="93">
        <v>1173</v>
      </c>
      <c r="D224" s="93">
        <f t="shared" si="0"/>
        <v>11259</v>
      </c>
      <c r="E224" s="94">
        <f t="shared" si="1"/>
        <v>9.4353281853281859E-2</v>
      </c>
      <c r="F224" s="95">
        <v>15540</v>
      </c>
      <c r="G224" s="96">
        <v>2154</v>
      </c>
      <c r="H224" s="96">
        <v>13386</v>
      </c>
      <c r="I224" s="97" t="s">
        <v>178</v>
      </c>
    </row>
    <row r="225" spans="1:9" ht="15" x14ac:dyDescent="0.25">
      <c r="A225" s="92">
        <v>44113</v>
      </c>
      <c r="B225" s="93">
        <v>12421</v>
      </c>
      <c r="C225" s="93">
        <v>1103</v>
      </c>
      <c r="D225" s="93">
        <f t="shared" si="0"/>
        <v>11318</v>
      </c>
      <c r="E225" s="94">
        <f t="shared" si="1"/>
        <v>8.8801223733998874E-2</v>
      </c>
      <c r="F225" s="95">
        <v>15148</v>
      </c>
      <c r="G225" s="96">
        <v>2466</v>
      </c>
      <c r="H225" s="96">
        <v>12682</v>
      </c>
      <c r="I225" s="97" t="s">
        <v>192</v>
      </c>
    </row>
    <row r="226" spans="1:9" ht="15" x14ac:dyDescent="0.25">
      <c r="A226" s="92">
        <v>44114</v>
      </c>
      <c r="B226" s="93">
        <v>10074</v>
      </c>
      <c r="C226" s="93">
        <v>1117</v>
      </c>
      <c r="D226" s="93">
        <f t="shared" si="0"/>
        <v>8957</v>
      </c>
      <c r="E226" s="94">
        <f t="shared" si="1"/>
        <v>0.11087949176096883</v>
      </c>
      <c r="F226" s="95">
        <v>13636</v>
      </c>
      <c r="G226" s="96">
        <v>1981</v>
      </c>
      <c r="H226" s="96">
        <v>11655</v>
      </c>
      <c r="I226" s="97" t="s">
        <v>217</v>
      </c>
    </row>
    <row r="227" spans="1:9" ht="15" x14ac:dyDescent="0.25">
      <c r="A227" s="92">
        <v>44115</v>
      </c>
      <c r="B227" s="93">
        <v>7834</v>
      </c>
      <c r="C227" s="93">
        <v>893</v>
      </c>
      <c r="D227" s="93">
        <f t="shared" si="0"/>
        <v>6941</v>
      </c>
      <c r="E227" s="94">
        <f t="shared" si="1"/>
        <v>0.11399029869798315</v>
      </c>
      <c r="F227" s="95">
        <v>9759</v>
      </c>
      <c r="G227" s="96">
        <v>1572</v>
      </c>
      <c r="H227" s="96">
        <v>8187</v>
      </c>
      <c r="I227" s="97" t="s">
        <v>212</v>
      </c>
    </row>
    <row r="228" spans="1:9" ht="15" x14ac:dyDescent="0.25">
      <c r="A228" s="92">
        <v>44116</v>
      </c>
      <c r="B228" s="93">
        <v>14336</v>
      </c>
      <c r="C228" s="93">
        <v>1612</v>
      </c>
      <c r="D228" s="93">
        <f t="shared" si="0"/>
        <v>12724</v>
      </c>
      <c r="E228" s="94">
        <f t="shared" si="1"/>
        <v>0.11244419642857142</v>
      </c>
      <c r="F228" s="95">
        <v>17483</v>
      </c>
      <c r="G228" s="96">
        <v>2899</v>
      </c>
      <c r="H228" s="96">
        <v>14584</v>
      </c>
      <c r="I228" s="97" t="s">
        <v>218</v>
      </c>
    </row>
    <row r="229" spans="1:9" ht="15" x14ac:dyDescent="0.25">
      <c r="A229" s="92">
        <v>44117</v>
      </c>
      <c r="B229" s="93">
        <v>12339</v>
      </c>
      <c r="C229" s="93">
        <v>1270</v>
      </c>
      <c r="D229" s="93">
        <f t="shared" si="0"/>
        <v>11069</v>
      </c>
      <c r="E229" s="94">
        <f t="shared" si="1"/>
        <v>0.10292568279439177</v>
      </c>
      <c r="F229" s="95">
        <v>15499</v>
      </c>
      <c r="G229" s="96">
        <v>2378</v>
      </c>
      <c r="H229" s="96">
        <v>13121</v>
      </c>
      <c r="I229" s="97" t="s">
        <v>185</v>
      </c>
    </row>
    <row r="230" spans="1:9" ht="15" x14ac:dyDescent="0.25">
      <c r="A230" s="92">
        <v>44118</v>
      </c>
      <c r="B230" s="93">
        <v>13165</v>
      </c>
      <c r="C230" s="93">
        <v>1324</v>
      </c>
      <c r="D230" s="93">
        <f t="shared" si="0"/>
        <v>11841</v>
      </c>
      <c r="E230" s="94">
        <f t="shared" si="1"/>
        <v>0.10056969236612229</v>
      </c>
      <c r="F230" s="95">
        <v>16056</v>
      </c>
      <c r="G230" s="96">
        <v>2476</v>
      </c>
      <c r="H230" s="96">
        <v>13580</v>
      </c>
      <c r="I230" s="97" t="s">
        <v>219</v>
      </c>
    </row>
    <row r="231" spans="1:9" ht="15" x14ac:dyDescent="0.25">
      <c r="A231" s="92">
        <v>44119</v>
      </c>
      <c r="B231" s="93">
        <v>12158</v>
      </c>
      <c r="C231" s="93">
        <v>1101</v>
      </c>
      <c r="D231" s="93">
        <f t="shared" si="0"/>
        <v>11057</v>
      </c>
      <c r="E231" s="94">
        <f t="shared" si="1"/>
        <v>9.0557657509458794E-2</v>
      </c>
      <c r="F231" s="95">
        <v>15114</v>
      </c>
      <c r="G231" s="96">
        <v>2475</v>
      </c>
      <c r="H231" s="96">
        <v>12639</v>
      </c>
      <c r="I231" s="97" t="s">
        <v>199</v>
      </c>
    </row>
    <row r="232" spans="1:9" ht="15" x14ac:dyDescent="0.25">
      <c r="A232" s="92">
        <v>44120</v>
      </c>
      <c r="B232" s="93">
        <v>9877</v>
      </c>
      <c r="C232" s="93">
        <v>951</v>
      </c>
      <c r="D232" s="93">
        <f t="shared" si="0"/>
        <v>8926</v>
      </c>
      <c r="E232" s="94">
        <f t="shared" si="1"/>
        <v>9.6284296851270629E-2</v>
      </c>
      <c r="F232" s="95">
        <v>12663</v>
      </c>
      <c r="G232" s="96">
        <v>1879</v>
      </c>
      <c r="H232" s="96">
        <v>10784</v>
      </c>
      <c r="I232" s="97" t="s">
        <v>220</v>
      </c>
    </row>
    <row r="233" spans="1:9" ht="15" x14ac:dyDescent="0.25">
      <c r="A233" s="92">
        <v>44121</v>
      </c>
      <c r="B233" s="93">
        <v>8767</v>
      </c>
      <c r="C233" s="93">
        <v>913</v>
      </c>
      <c r="D233" s="93">
        <f t="shared" si="0"/>
        <v>7854</v>
      </c>
      <c r="E233" s="94">
        <f t="shared" si="1"/>
        <v>0.10414052697616061</v>
      </c>
      <c r="F233" s="95">
        <v>11240</v>
      </c>
      <c r="G233" s="96">
        <v>1952</v>
      </c>
      <c r="H233" s="96">
        <v>9288</v>
      </c>
      <c r="I233" s="97" t="s">
        <v>221</v>
      </c>
    </row>
    <row r="234" spans="1:9" ht="15" x14ac:dyDescent="0.25">
      <c r="A234" s="92">
        <v>44122</v>
      </c>
      <c r="B234" s="93">
        <v>5785</v>
      </c>
      <c r="C234" s="93">
        <v>667</v>
      </c>
      <c r="D234" s="93">
        <f t="shared" si="0"/>
        <v>5118</v>
      </c>
      <c r="E234" s="94">
        <f t="shared" si="1"/>
        <v>0.1152981849611063</v>
      </c>
      <c r="F234" s="95">
        <v>6963</v>
      </c>
      <c r="G234" s="96">
        <v>979</v>
      </c>
      <c r="H234" s="96">
        <v>5984</v>
      </c>
      <c r="I234" s="97" t="s">
        <v>183</v>
      </c>
    </row>
    <row r="235" spans="1:9" ht="15" x14ac:dyDescent="0.25">
      <c r="A235" s="92">
        <v>44123</v>
      </c>
      <c r="B235" s="93">
        <v>10070</v>
      </c>
      <c r="C235" s="93">
        <v>899</v>
      </c>
      <c r="D235" s="93">
        <f t="shared" si="0"/>
        <v>9171</v>
      </c>
      <c r="E235" s="94">
        <f t="shared" si="1"/>
        <v>8.9275074478649449E-2</v>
      </c>
      <c r="F235" s="95">
        <v>12588</v>
      </c>
      <c r="G235" s="96">
        <v>1770</v>
      </c>
      <c r="H235" s="96">
        <v>10818</v>
      </c>
      <c r="I235" s="97" t="s">
        <v>183</v>
      </c>
    </row>
    <row r="236" spans="1:9" ht="15" x14ac:dyDescent="0.25">
      <c r="A236" s="92">
        <v>44124</v>
      </c>
      <c r="B236" s="93">
        <v>10412</v>
      </c>
      <c r="C236" s="93">
        <v>1002</v>
      </c>
      <c r="D236" s="93">
        <f t="shared" si="0"/>
        <v>9410</v>
      </c>
      <c r="E236" s="94">
        <f t="shared" si="1"/>
        <v>9.6235113330772185E-2</v>
      </c>
      <c r="F236" s="95">
        <v>13016</v>
      </c>
      <c r="G236" s="96">
        <v>2008</v>
      </c>
      <c r="H236" s="96">
        <v>11008</v>
      </c>
      <c r="I236" s="97" t="s">
        <v>219</v>
      </c>
    </row>
    <row r="237" spans="1:9" ht="15" x14ac:dyDescent="0.25">
      <c r="A237" s="92">
        <v>44125</v>
      </c>
      <c r="B237" s="93">
        <v>12520</v>
      </c>
      <c r="C237" s="93">
        <v>1094</v>
      </c>
      <c r="D237" s="93">
        <f t="shared" si="0"/>
        <v>11426</v>
      </c>
      <c r="E237" s="94">
        <f t="shared" si="1"/>
        <v>8.738019169329074E-2</v>
      </c>
      <c r="F237" s="95">
        <v>15651</v>
      </c>
      <c r="G237" s="96">
        <v>2069</v>
      </c>
      <c r="H237" s="96">
        <v>13582</v>
      </c>
      <c r="I237" s="97" t="s">
        <v>130</v>
      </c>
    </row>
    <row r="238" spans="1:9" ht="15" x14ac:dyDescent="0.25">
      <c r="A238" s="92">
        <v>44126</v>
      </c>
      <c r="B238" s="93">
        <v>10631</v>
      </c>
      <c r="C238" s="93">
        <v>937</v>
      </c>
      <c r="D238" s="93">
        <f t="shared" si="0"/>
        <v>9694</v>
      </c>
      <c r="E238" s="94">
        <f t="shared" si="1"/>
        <v>8.8138462985608124E-2</v>
      </c>
      <c r="F238" s="95">
        <v>13289</v>
      </c>
      <c r="G238" s="96">
        <v>1825</v>
      </c>
      <c r="H238" s="96">
        <v>11464</v>
      </c>
      <c r="I238" s="97" t="s">
        <v>222</v>
      </c>
    </row>
    <row r="239" spans="1:9" ht="15" x14ac:dyDescent="0.25">
      <c r="A239" s="92">
        <v>44127</v>
      </c>
      <c r="B239" s="93">
        <v>10377</v>
      </c>
      <c r="C239" s="93">
        <v>877</v>
      </c>
      <c r="D239" s="93">
        <f t="shared" si="0"/>
        <v>9500</v>
      </c>
      <c r="E239" s="94">
        <f t="shared" si="1"/>
        <v>8.4513828659535509E-2</v>
      </c>
      <c r="F239" s="95">
        <v>12766</v>
      </c>
      <c r="G239" s="96">
        <v>1941</v>
      </c>
      <c r="H239" s="96">
        <v>10825</v>
      </c>
      <c r="I239" s="97" t="s">
        <v>184</v>
      </c>
    </row>
    <row r="240" spans="1:9" ht="15" x14ac:dyDescent="0.25">
      <c r="A240" s="92">
        <v>44128</v>
      </c>
      <c r="B240" s="93">
        <v>11012</v>
      </c>
      <c r="C240" s="93">
        <v>1005</v>
      </c>
      <c r="D240" s="93">
        <f t="shared" si="0"/>
        <v>10007</v>
      </c>
      <c r="E240" s="94">
        <f t="shared" si="1"/>
        <v>9.1264075553941157E-2</v>
      </c>
      <c r="F240" s="95">
        <v>13192</v>
      </c>
      <c r="G240" s="96">
        <v>1971</v>
      </c>
      <c r="H240" s="96">
        <v>11221</v>
      </c>
      <c r="I240" s="97" t="s">
        <v>110</v>
      </c>
    </row>
    <row r="241" spans="1:9" ht="15" x14ac:dyDescent="0.25">
      <c r="A241" s="92">
        <v>44129</v>
      </c>
      <c r="B241" s="93">
        <v>4701</v>
      </c>
      <c r="C241" s="93">
        <v>550</v>
      </c>
      <c r="D241" s="93">
        <f t="shared" si="0"/>
        <v>4151</v>
      </c>
      <c r="E241" s="94">
        <f t="shared" si="1"/>
        <v>0.1169963837481387</v>
      </c>
      <c r="F241" s="95">
        <v>5692</v>
      </c>
      <c r="G241" s="96">
        <v>967</v>
      </c>
      <c r="H241" s="96">
        <v>4725</v>
      </c>
      <c r="I241" s="97" t="s">
        <v>223</v>
      </c>
    </row>
    <row r="242" spans="1:9" ht="15" x14ac:dyDescent="0.25">
      <c r="A242" s="92">
        <v>44130</v>
      </c>
      <c r="B242" s="93">
        <v>10221</v>
      </c>
      <c r="C242" s="93">
        <v>842</v>
      </c>
      <c r="D242" s="93">
        <f t="shared" si="0"/>
        <v>9379</v>
      </c>
      <c r="E242" s="94">
        <f t="shared" si="1"/>
        <v>8.2379414930045983E-2</v>
      </c>
      <c r="F242" s="95">
        <v>12277</v>
      </c>
      <c r="G242" s="96">
        <v>1620</v>
      </c>
      <c r="H242" s="96">
        <v>10657</v>
      </c>
      <c r="I242" s="97" t="s">
        <v>130</v>
      </c>
    </row>
    <row r="243" spans="1:9" ht="15" x14ac:dyDescent="0.25">
      <c r="A243" s="92">
        <v>44131</v>
      </c>
      <c r="B243" s="93">
        <v>13815</v>
      </c>
      <c r="C243" s="93">
        <v>981</v>
      </c>
      <c r="D243" s="93">
        <f t="shared" si="0"/>
        <v>12834</v>
      </c>
      <c r="E243" s="94">
        <f t="shared" si="1"/>
        <v>7.1009771986970685E-2</v>
      </c>
      <c r="F243" s="95">
        <v>15433</v>
      </c>
      <c r="G243" s="96">
        <v>2064</v>
      </c>
      <c r="H243" s="96">
        <v>13369</v>
      </c>
      <c r="I243" s="97" t="s">
        <v>179</v>
      </c>
    </row>
    <row r="244" spans="1:9" ht="15" x14ac:dyDescent="0.25">
      <c r="A244" s="92">
        <v>44132</v>
      </c>
      <c r="B244" s="93">
        <v>10021</v>
      </c>
      <c r="C244" s="93">
        <v>803</v>
      </c>
      <c r="D244" s="93">
        <f t="shared" si="0"/>
        <v>9218</v>
      </c>
      <c r="E244" s="94">
        <f t="shared" si="1"/>
        <v>8.0131723380900105E-2</v>
      </c>
      <c r="F244" s="95">
        <v>12228</v>
      </c>
      <c r="G244" s="96">
        <v>1851</v>
      </c>
      <c r="H244" s="96">
        <v>10377</v>
      </c>
      <c r="I244" s="97" t="s">
        <v>191</v>
      </c>
    </row>
    <row r="245" spans="1:9" ht="15" x14ac:dyDescent="0.25">
      <c r="A245" s="92">
        <v>44133</v>
      </c>
      <c r="B245" s="93">
        <v>4932</v>
      </c>
      <c r="C245" s="93">
        <v>604</v>
      </c>
      <c r="D245" s="93">
        <f t="shared" si="0"/>
        <v>4328</v>
      </c>
      <c r="E245" s="94">
        <f t="shared" si="1"/>
        <v>0.12246553122465531</v>
      </c>
      <c r="F245" s="95">
        <v>6255</v>
      </c>
      <c r="G245" s="96">
        <v>1072</v>
      </c>
      <c r="H245" s="96">
        <v>5183</v>
      </c>
      <c r="I245" s="97" t="s">
        <v>224</v>
      </c>
    </row>
    <row r="246" spans="1:9" ht="15" x14ac:dyDescent="0.25">
      <c r="A246" s="92">
        <v>44134</v>
      </c>
      <c r="B246" s="93">
        <v>8870</v>
      </c>
      <c r="C246" s="93">
        <v>665</v>
      </c>
      <c r="D246" s="93">
        <f t="shared" si="0"/>
        <v>8205</v>
      </c>
      <c r="E246" s="94">
        <f t="shared" si="1"/>
        <v>7.4971815107102588E-2</v>
      </c>
      <c r="F246" s="95">
        <v>10395</v>
      </c>
      <c r="G246" s="96">
        <v>1683</v>
      </c>
      <c r="H246" s="96">
        <v>8712</v>
      </c>
      <c r="I246" s="97" t="s">
        <v>210</v>
      </c>
    </row>
    <row r="247" spans="1:9" ht="15" x14ac:dyDescent="0.25">
      <c r="A247" s="92">
        <v>44135</v>
      </c>
      <c r="B247" s="93">
        <v>7328</v>
      </c>
      <c r="C247" s="93">
        <v>668</v>
      </c>
      <c r="D247" s="93">
        <f t="shared" si="0"/>
        <v>6660</v>
      </c>
      <c r="E247" s="94">
        <f t="shared" si="1"/>
        <v>9.1157205240174677E-2</v>
      </c>
      <c r="F247" s="95">
        <v>9414</v>
      </c>
      <c r="G247" s="96">
        <v>1561</v>
      </c>
      <c r="H247" s="96">
        <v>7853</v>
      </c>
      <c r="I247" s="97" t="s">
        <v>218</v>
      </c>
    </row>
    <row r="248" spans="1:9" ht="15" x14ac:dyDescent="0.25">
      <c r="A248" s="92">
        <v>44136</v>
      </c>
      <c r="B248" s="93">
        <v>4199</v>
      </c>
      <c r="C248" s="93">
        <v>620</v>
      </c>
      <c r="D248" s="93">
        <f t="shared" si="0"/>
        <v>3579</v>
      </c>
      <c r="E248" s="94">
        <f t="shared" si="1"/>
        <v>0.14765420338175755</v>
      </c>
      <c r="F248" s="95">
        <v>6055</v>
      </c>
      <c r="G248" s="96">
        <v>905</v>
      </c>
      <c r="H248" s="96">
        <v>5150</v>
      </c>
      <c r="I248" s="97" t="s">
        <v>110</v>
      </c>
    </row>
    <row r="249" spans="1:9" ht="15" x14ac:dyDescent="0.25">
      <c r="A249" s="92">
        <v>44137</v>
      </c>
      <c r="B249" s="93">
        <v>8215</v>
      </c>
      <c r="C249" s="93">
        <v>782</v>
      </c>
      <c r="D249" s="93">
        <f t="shared" si="0"/>
        <v>7433</v>
      </c>
      <c r="E249" s="94">
        <f t="shared" si="1"/>
        <v>9.5191722458916619E-2</v>
      </c>
      <c r="F249" s="95">
        <v>11107</v>
      </c>
      <c r="G249" s="96">
        <v>1398</v>
      </c>
      <c r="H249" s="96">
        <v>9709</v>
      </c>
      <c r="I249" s="97" t="s">
        <v>225</v>
      </c>
    </row>
    <row r="250" spans="1:9" ht="15" x14ac:dyDescent="0.25">
      <c r="A250" s="92">
        <v>44138</v>
      </c>
      <c r="B250" s="93">
        <v>12127</v>
      </c>
      <c r="C250" s="93">
        <v>1096</v>
      </c>
      <c r="D250" s="93">
        <f t="shared" si="0"/>
        <v>11031</v>
      </c>
      <c r="E250" s="94">
        <f t="shared" si="1"/>
        <v>9.0376845056485522E-2</v>
      </c>
      <c r="F250" s="95">
        <v>14500</v>
      </c>
      <c r="G250" s="96">
        <v>2048</v>
      </c>
      <c r="H250" s="96">
        <v>12452</v>
      </c>
      <c r="I250" s="97" t="s">
        <v>183</v>
      </c>
    </row>
    <row r="251" spans="1:9" ht="15" x14ac:dyDescent="0.25">
      <c r="A251" s="92">
        <v>44139</v>
      </c>
      <c r="B251" s="93">
        <v>12245</v>
      </c>
      <c r="C251" s="93">
        <v>1205</v>
      </c>
      <c r="D251" s="93">
        <f t="shared" si="0"/>
        <v>11040</v>
      </c>
      <c r="E251" s="94">
        <f t="shared" si="1"/>
        <v>9.8407513270722738E-2</v>
      </c>
      <c r="F251" s="95">
        <v>14246</v>
      </c>
      <c r="G251" s="96">
        <v>1946</v>
      </c>
      <c r="H251" s="96">
        <v>12300</v>
      </c>
      <c r="I251" s="97" t="s">
        <v>222</v>
      </c>
    </row>
    <row r="252" spans="1:9" ht="15" x14ac:dyDescent="0.25">
      <c r="A252" s="92">
        <v>44140</v>
      </c>
      <c r="B252" s="93">
        <v>10271</v>
      </c>
      <c r="C252" s="93">
        <v>1096</v>
      </c>
      <c r="D252" s="93">
        <f t="shared" si="0"/>
        <v>9175</v>
      </c>
      <c r="E252" s="94">
        <f t="shared" si="1"/>
        <v>0.10670820757472495</v>
      </c>
      <c r="F252" s="95">
        <v>12261</v>
      </c>
      <c r="G252" s="96">
        <v>1568</v>
      </c>
      <c r="H252" s="96">
        <v>10693</v>
      </c>
      <c r="I252" s="97" t="s">
        <v>226</v>
      </c>
    </row>
    <row r="253" spans="1:9" ht="15" x14ac:dyDescent="0.25">
      <c r="A253" s="92">
        <v>44141</v>
      </c>
      <c r="B253" s="93">
        <v>11151</v>
      </c>
      <c r="C253" s="93">
        <v>1069</v>
      </c>
      <c r="D253" s="93">
        <f t="shared" si="0"/>
        <v>10082</v>
      </c>
      <c r="E253" s="94">
        <f t="shared" si="1"/>
        <v>9.5865841628553494E-2</v>
      </c>
      <c r="F253" s="95">
        <v>13591</v>
      </c>
      <c r="G253" s="96">
        <v>1747</v>
      </c>
      <c r="H253" s="96">
        <v>11844</v>
      </c>
      <c r="I253" s="97" t="s">
        <v>120</v>
      </c>
    </row>
    <row r="254" spans="1:9" ht="15" x14ac:dyDescent="0.25">
      <c r="A254" s="92">
        <v>44142</v>
      </c>
      <c r="B254" s="93">
        <v>10451</v>
      </c>
      <c r="C254" s="93">
        <v>988</v>
      </c>
      <c r="D254" s="93">
        <f t="shared" si="0"/>
        <v>9463</v>
      </c>
      <c r="E254" s="94">
        <f t="shared" si="1"/>
        <v>9.4536407999234517E-2</v>
      </c>
      <c r="F254" s="95">
        <v>12829</v>
      </c>
      <c r="G254" s="96">
        <v>1842</v>
      </c>
      <c r="H254" s="96">
        <v>10987</v>
      </c>
      <c r="I254" s="97" t="s">
        <v>127</v>
      </c>
    </row>
    <row r="255" spans="1:9" ht="15" x14ac:dyDescent="0.25">
      <c r="A255" s="92">
        <v>44143</v>
      </c>
      <c r="B255" s="93">
        <v>5312</v>
      </c>
      <c r="C255" s="93">
        <v>570</v>
      </c>
      <c r="D255" s="93">
        <f t="shared" si="0"/>
        <v>4742</v>
      </c>
      <c r="E255" s="94">
        <f t="shared" si="1"/>
        <v>0.10730421686746988</v>
      </c>
      <c r="F255" s="95">
        <v>7382</v>
      </c>
      <c r="G255" s="96">
        <v>997</v>
      </c>
      <c r="H255" s="96">
        <v>6385</v>
      </c>
      <c r="I255" s="97" t="s">
        <v>227</v>
      </c>
    </row>
    <row r="256" spans="1:9" ht="15" x14ac:dyDescent="0.25">
      <c r="A256" s="92">
        <v>44144</v>
      </c>
      <c r="B256" s="93">
        <v>8621</v>
      </c>
      <c r="C256" s="93">
        <v>786</v>
      </c>
      <c r="D256" s="93">
        <f t="shared" si="0"/>
        <v>7835</v>
      </c>
      <c r="E256" s="94">
        <f t="shared" si="1"/>
        <v>9.1172717782159837E-2</v>
      </c>
      <c r="F256" s="95">
        <v>10973</v>
      </c>
      <c r="G256" s="96">
        <v>1510</v>
      </c>
      <c r="H256" s="96">
        <v>9463</v>
      </c>
      <c r="I256" s="97" t="s">
        <v>228</v>
      </c>
    </row>
    <row r="257" spans="1:9" ht="15" x14ac:dyDescent="0.25">
      <c r="A257" s="92">
        <v>44145</v>
      </c>
      <c r="B257" s="93">
        <v>13812</v>
      </c>
      <c r="C257" s="93">
        <v>1028</v>
      </c>
      <c r="D257" s="93">
        <f t="shared" si="0"/>
        <v>12784</v>
      </c>
      <c r="E257" s="94">
        <f t="shared" si="1"/>
        <v>7.4428033593976248E-2</v>
      </c>
      <c r="F257" s="95">
        <v>15375</v>
      </c>
      <c r="G257" s="96">
        <v>2157</v>
      </c>
      <c r="H257" s="96">
        <v>13218</v>
      </c>
      <c r="I257" s="97" t="s">
        <v>124</v>
      </c>
    </row>
    <row r="258" spans="1:9" ht="15" x14ac:dyDescent="0.25">
      <c r="A258" s="92">
        <v>44146</v>
      </c>
      <c r="B258" s="93">
        <v>12981</v>
      </c>
      <c r="C258" s="93">
        <v>971</v>
      </c>
      <c r="D258" s="93">
        <f t="shared" si="0"/>
        <v>12010</v>
      </c>
      <c r="E258" s="94">
        <f t="shared" si="1"/>
        <v>7.4801633156151293E-2</v>
      </c>
      <c r="F258" s="95">
        <v>15081</v>
      </c>
      <c r="G258" s="96">
        <v>2296</v>
      </c>
      <c r="H258" s="96">
        <v>12785</v>
      </c>
      <c r="I258" s="97" t="s">
        <v>184</v>
      </c>
    </row>
    <row r="259" spans="1:9" ht="15" x14ac:dyDescent="0.25">
      <c r="A259" s="92">
        <v>44147</v>
      </c>
      <c r="B259" s="93">
        <v>13451</v>
      </c>
      <c r="C259" s="93">
        <v>1020</v>
      </c>
      <c r="D259" s="93">
        <f t="shared" si="0"/>
        <v>12431</v>
      </c>
      <c r="E259" s="94">
        <f t="shared" si="1"/>
        <v>7.5830793249572523E-2</v>
      </c>
      <c r="F259" s="95">
        <v>15842</v>
      </c>
      <c r="G259" s="96">
        <v>2291</v>
      </c>
      <c r="H259" s="96">
        <v>13551</v>
      </c>
      <c r="I259" s="97" t="s">
        <v>217</v>
      </c>
    </row>
    <row r="260" spans="1:9" ht="15" x14ac:dyDescent="0.25">
      <c r="A260" s="92">
        <v>44148</v>
      </c>
      <c r="B260" s="93">
        <v>10812</v>
      </c>
      <c r="C260" s="93">
        <v>987</v>
      </c>
      <c r="D260" s="93">
        <f t="shared" si="0"/>
        <v>9825</v>
      </c>
      <c r="E260" s="94">
        <f t="shared" si="1"/>
        <v>9.1287458379578246E-2</v>
      </c>
      <c r="F260" s="95">
        <v>13160</v>
      </c>
      <c r="G260" s="96">
        <v>1802</v>
      </c>
      <c r="H260" s="96">
        <v>11358</v>
      </c>
      <c r="I260" s="97" t="s">
        <v>222</v>
      </c>
    </row>
    <row r="261" spans="1:9" ht="15" x14ac:dyDescent="0.25">
      <c r="A261" s="92">
        <v>44149</v>
      </c>
      <c r="B261" s="93">
        <v>12651</v>
      </c>
      <c r="C261" s="93">
        <v>949</v>
      </c>
      <c r="D261" s="93">
        <f t="shared" si="0"/>
        <v>11702</v>
      </c>
      <c r="E261" s="94">
        <f t="shared" si="1"/>
        <v>7.5013832898585098E-2</v>
      </c>
      <c r="F261" s="95">
        <v>14553</v>
      </c>
      <c r="G261" s="96">
        <v>2478</v>
      </c>
      <c r="H261" s="96">
        <v>12075</v>
      </c>
      <c r="I261" s="97" t="s">
        <v>223</v>
      </c>
    </row>
    <row r="262" spans="1:9" ht="15" x14ac:dyDescent="0.25">
      <c r="A262" s="92">
        <v>44150</v>
      </c>
      <c r="B262" s="93">
        <v>8081</v>
      </c>
      <c r="C262" s="93">
        <v>844</v>
      </c>
      <c r="D262" s="93">
        <f t="shared" si="0"/>
        <v>7237</v>
      </c>
      <c r="E262" s="94">
        <f t="shared" si="1"/>
        <v>0.1044425194901621</v>
      </c>
      <c r="F262" s="95">
        <v>9328</v>
      </c>
      <c r="G262" s="96">
        <v>2057</v>
      </c>
      <c r="H262" s="96">
        <v>7271</v>
      </c>
      <c r="I262" s="97" t="s">
        <v>229</v>
      </c>
    </row>
    <row r="263" spans="1:9" ht="15" x14ac:dyDescent="0.25">
      <c r="A263" s="92">
        <v>44151</v>
      </c>
      <c r="B263" s="93">
        <v>11913</v>
      </c>
      <c r="C263" s="93">
        <v>1158</v>
      </c>
      <c r="D263" s="93">
        <f t="shared" si="0"/>
        <v>10755</v>
      </c>
      <c r="E263" s="94">
        <f t="shared" si="1"/>
        <v>9.7204734323847894E-2</v>
      </c>
      <c r="F263" s="95">
        <v>13717</v>
      </c>
      <c r="G263" s="96">
        <v>2224</v>
      </c>
      <c r="H263" s="96">
        <v>11493</v>
      </c>
      <c r="I263" s="97" t="s">
        <v>210</v>
      </c>
    </row>
    <row r="264" spans="1:9" ht="15" x14ac:dyDescent="0.25">
      <c r="A264" s="92">
        <v>44152</v>
      </c>
      <c r="B264" s="93">
        <v>14981</v>
      </c>
      <c r="C264" s="93">
        <v>1239</v>
      </c>
      <c r="D264" s="93">
        <f t="shared" si="0"/>
        <v>13742</v>
      </c>
      <c r="E264" s="94">
        <f t="shared" si="1"/>
        <v>8.2704759361858352E-2</v>
      </c>
      <c r="F264" s="95">
        <v>16291</v>
      </c>
      <c r="G264" s="96">
        <v>2769</v>
      </c>
      <c r="H264" s="96">
        <v>13522</v>
      </c>
      <c r="I264" s="97" t="s">
        <v>223</v>
      </c>
    </row>
    <row r="265" spans="1:9" ht="15" x14ac:dyDescent="0.25">
      <c r="A265" s="92">
        <v>44153</v>
      </c>
      <c r="B265" s="93">
        <v>12891</v>
      </c>
      <c r="C265" s="93">
        <v>1137</v>
      </c>
      <c r="D265" s="93">
        <f t="shared" si="0"/>
        <v>11754</v>
      </c>
      <c r="E265" s="94">
        <f t="shared" si="1"/>
        <v>8.8201070514312307E-2</v>
      </c>
      <c r="F265" s="95">
        <v>14303</v>
      </c>
      <c r="G265" s="96">
        <v>1894</v>
      </c>
      <c r="H265" s="96">
        <v>12409</v>
      </c>
      <c r="I265" s="97" t="s">
        <v>130</v>
      </c>
    </row>
    <row r="266" spans="1:9" ht="15" x14ac:dyDescent="0.25">
      <c r="A266" s="92">
        <v>44154</v>
      </c>
      <c r="B266" s="93">
        <v>13251</v>
      </c>
      <c r="C266" s="93">
        <v>1205</v>
      </c>
      <c r="D266" s="93">
        <f t="shared" si="0"/>
        <v>12046</v>
      </c>
      <c r="E266" s="94">
        <f t="shared" si="1"/>
        <v>9.0936533091842131E-2</v>
      </c>
      <c r="F266" s="95">
        <v>15251</v>
      </c>
      <c r="G266" s="96">
        <v>2622</v>
      </c>
      <c r="H266" s="96">
        <v>12629</v>
      </c>
      <c r="I266" s="97" t="s">
        <v>206</v>
      </c>
    </row>
    <row r="267" spans="1:9" ht="15" x14ac:dyDescent="0.25">
      <c r="A267" s="92">
        <v>44155</v>
      </c>
      <c r="B267" s="93">
        <v>13988</v>
      </c>
      <c r="C267" s="93">
        <v>1216</v>
      </c>
      <c r="D267" s="93">
        <f t="shared" si="0"/>
        <v>12772</v>
      </c>
      <c r="E267" s="94">
        <f t="shared" si="1"/>
        <v>8.6931655704889907E-2</v>
      </c>
      <c r="F267" s="95">
        <v>16016</v>
      </c>
      <c r="G267" s="96">
        <v>2918</v>
      </c>
      <c r="H267" s="96">
        <v>13098</v>
      </c>
      <c r="I267" s="97" t="s">
        <v>216</v>
      </c>
    </row>
    <row r="268" spans="1:9" ht="15" x14ac:dyDescent="0.25">
      <c r="A268" s="92">
        <v>44156</v>
      </c>
      <c r="B268" s="93">
        <v>13781</v>
      </c>
      <c r="C268" s="93">
        <v>1144</v>
      </c>
      <c r="D268" s="93">
        <f t="shared" si="0"/>
        <v>12637</v>
      </c>
      <c r="E268" s="94">
        <f t="shared" si="1"/>
        <v>8.3012843770408531E-2</v>
      </c>
      <c r="F268" s="95">
        <v>15563</v>
      </c>
      <c r="G268" s="96">
        <v>2767</v>
      </c>
      <c r="H268" s="96">
        <v>12796</v>
      </c>
      <c r="I268" s="97" t="s">
        <v>188</v>
      </c>
    </row>
    <row r="269" spans="1:9" ht="15" x14ac:dyDescent="0.25">
      <c r="A269" s="92">
        <v>44157</v>
      </c>
      <c r="B269" s="93">
        <v>8991</v>
      </c>
      <c r="C269" s="93">
        <v>1009</v>
      </c>
      <c r="D269" s="93">
        <f t="shared" si="0"/>
        <v>7982</v>
      </c>
      <c r="E269" s="94">
        <f t="shared" si="1"/>
        <v>0.11222333444555667</v>
      </c>
      <c r="F269" s="95">
        <v>11111</v>
      </c>
      <c r="G269" s="96">
        <v>1979</v>
      </c>
      <c r="H269" s="96">
        <v>9132</v>
      </c>
      <c r="I269" s="97" t="s">
        <v>188</v>
      </c>
    </row>
    <row r="270" spans="1:9" ht="15" x14ac:dyDescent="0.25">
      <c r="A270" s="92">
        <v>44158</v>
      </c>
      <c r="B270" s="93">
        <v>14101</v>
      </c>
      <c r="C270" s="93">
        <v>1202</v>
      </c>
      <c r="D270" s="93">
        <f t="shared" si="0"/>
        <v>12899</v>
      </c>
      <c r="E270" s="94">
        <f t="shared" si="1"/>
        <v>8.5242181405574075E-2</v>
      </c>
      <c r="F270" s="95">
        <v>16162</v>
      </c>
      <c r="G270" s="96">
        <v>2445</v>
      </c>
      <c r="H270" s="96">
        <v>13717</v>
      </c>
      <c r="I270" s="97" t="s">
        <v>191</v>
      </c>
    </row>
    <row r="271" spans="1:9" ht="15" x14ac:dyDescent="0.25">
      <c r="A271" s="92">
        <v>44159</v>
      </c>
      <c r="B271" s="93">
        <v>17871</v>
      </c>
      <c r="C271" s="93">
        <v>1291</v>
      </c>
      <c r="D271" s="93">
        <f t="shared" si="0"/>
        <v>16580</v>
      </c>
      <c r="E271" s="94">
        <f t="shared" si="1"/>
        <v>7.2239941805159191E-2</v>
      </c>
      <c r="F271" s="95">
        <v>20276</v>
      </c>
      <c r="G271" s="96">
        <v>3555</v>
      </c>
      <c r="H271" s="96">
        <v>16721</v>
      </c>
      <c r="I271" s="97" t="s">
        <v>215</v>
      </c>
    </row>
    <row r="272" spans="1:9" ht="15" x14ac:dyDescent="0.25">
      <c r="A272" s="92">
        <v>44160</v>
      </c>
      <c r="B272" s="93">
        <v>15381</v>
      </c>
      <c r="C272" s="93">
        <v>1124</v>
      </c>
      <c r="D272" s="93">
        <f t="shared" si="0"/>
        <v>14257</v>
      </c>
      <c r="E272" s="94">
        <f t="shared" si="1"/>
        <v>7.3077173135686888E-2</v>
      </c>
      <c r="F272" s="95">
        <v>17836</v>
      </c>
      <c r="G272" s="96">
        <v>3787</v>
      </c>
      <c r="H272" s="96">
        <v>14049</v>
      </c>
      <c r="I272" s="97" t="s">
        <v>230</v>
      </c>
    </row>
    <row r="273" spans="1:9" ht="15" x14ac:dyDescent="0.25">
      <c r="A273" s="92">
        <v>44161</v>
      </c>
      <c r="B273" s="93">
        <v>15821</v>
      </c>
      <c r="C273" s="93">
        <v>1285</v>
      </c>
      <c r="D273" s="93">
        <f t="shared" si="0"/>
        <v>14536</v>
      </c>
      <c r="E273" s="94">
        <f t="shared" si="1"/>
        <v>8.1221161747045065E-2</v>
      </c>
      <c r="F273" s="95">
        <v>18214</v>
      </c>
      <c r="G273" s="96">
        <v>3469</v>
      </c>
      <c r="H273" s="96">
        <v>14745</v>
      </c>
      <c r="I273" s="97" t="s">
        <v>231</v>
      </c>
    </row>
    <row r="274" spans="1:9" ht="15" x14ac:dyDescent="0.25">
      <c r="A274" s="92">
        <v>44162</v>
      </c>
      <c r="B274" s="93">
        <v>15122</v>
      </c>
      <c r="C274" s="93">
        <v>1320</v>
      </c>
      <c r="D274" s="93">
        <f t="shared" si="0"/>
        <v>13802</v>
      </c>
      <c r="E274" s="94">
        <f t="shared" si="1"/>
        <v>8.7290040999867743E-2</v>
      </c>
      <c r="F274" s="95">
        <v>17642</v>
      </c>
      <c r="G274" s="96">
        <v>3598</v>
      </c>
      <c r="H274" s="96">
        <v>14044</v>
      </c>
      <c r="I274" s="97" t="s">
        <v>205</v>
      </c>
    </row>
    <row r="275" spans="1:9" ht="15" x14ac:dyDescent="0.25">
      <c r="A275" s="92">
        <v>44163</v>
      </c>
      <c r="B275" s="93">
        <v>14412</v>
      </c>
      <c r="C275" s="93">
        <v>1140</v>
      </c>
      <c r="D275" s="93">
        <f t="shared" si="0"/>
        <v>13272</v>
      </c>
      <c r="E275" s="94">
        <f t="shared" si="1"/>
        <v>7.9100749375520404E-2</v>
      </c>
      <c r="F275" s="95">
        <v>16473</v>
      </c>
      <c r="G275" s="96">
        <v>3745</v>
      </c>
      <c r="H275" s="96">
        <v>12728</v>
      </c>
      <c r="I275" s="97" t="s">
        <v>232</v>
      </c>
    </row>
    <row r="276" spans="1:9" ht="15" x14ac:dyDescent="0.25">
      <c r="A276" s="92">
        <v>44164</v>
      </c>
      <c r="B276" s="93">
        <v>7983</v>
      </c>
      <c r="C276" s="93">
        <v>907</v>
      </c>
      <c r="D276" s="93">
        <f t="shared" si="0"/>
        <v>7076</v>
      </c>
      <c r="E276" s="94">
        <f t="shared" si="1"/>
        <v>0.11361643492421396</v>
      </c>
      <c r="F276" s="95">
        <v>10500</v>
      </c>
      <c r="G276" s="96">
        <v>1795</v>
      </c>
      <c r="H276" s="96">
        <v>8705</v>
      </c>
      <c r="I276" s="97" t="s">
        <v>224</v>
      </c>
    </row>
    <row r="277" spans="1:9" ht="15" x14ac:dyDescent="0.25">
      <c r="A277" s="92">
        <v>44165</v>
      </c>
      <c r="B277" s="93">
        <v>14812</v>
      </c>
      <c r="C277" s="93">
        <v>1218</v>
      </c>
      <c r="D277" s="93">
        <f t="shared" si="0"/>
        <v>13594</v>
      </c>
      <c r="E277" s="94">
        <f t="shared" si="1"/>
        <v>8.2230623818525514E-2</v>
      </c>
      <c r="F277" s="95">
        <v>17275</v>
      </c>
      <c r="G277" s="96">
        <v>2610</v>
      </c>
      <c r="H277" s="96">
        <v>14665</v>
      </c>
      <c r="I277" s="97" t="s">
        <v>191</v>
      </c>
    </row>
    <row r="278" spans="1:9" ht="15" x14ac:dyDescent="0.25">
      <c r="A278" s="92">
        <v>44166</v>
      </c>
      <c r="B278" s="93">
        <v>17812</v>
      </c>
      <c r="C278" s="93">
        <v>1248</v>
      </c>
      <c r="D278" s="93">
        <f t="shared" si="0"/>
        <v>16564</v>
      </c>
      <c r="E278" s="94">
        <f t="shared" si="1"/>
        <v>7.0065124635077469E-2</v>
      </c>
      <c r="F278" s="95">
        <v>19782</v>
      </c>
      <c r="G278" s="96">
        <v>3568</v>
      </c>
      <c r="H278" s="96">
        <v>16214</v>
      </c>
      <c r="I278" s="97" t="s">
        <v>233</v>
      </c>
    </row>
    <row r="279" spans="1:9" ht="15" x14ac:dyDescent="0.25">
      <c r="A279" s="92">
        <v>44167</v>
      </c>
      <c r="B279" s="93">
        <v>14211</v>
      </c>
      <c r="C279" s="93">
        <v>1303</v>
      </c>
      <c r="D279" s="93">
        <f t="shared" si="0"/>
        <v>12908</v>
      </c>
      <c r="E279" s="94">
        <f t="shared" si="1"/>
        <v>9.1689536274716765E-2</v>
      </c>
      <c r="F279" s="95">
        <v>16183</v>
      </c>
      <c r="G279" s="96">
        <v>3273</v>
      </c>
      <c r="H279" s="96">
        <v>12910</v>
      </c>
      <c r="I279" s="97" t="s">
        <v>234</v>
      </c>
    </row>
    <row r="280" spans="1:9" ht="15" x14ac:dyDescent="0.25">
      <c r="A280" s="92">
        <v>44168</v>
      </c>
      <c r="B280" s="93">
        <v>14671</v>
      </c>
      <c r="C280" s="93">
        <v>1232</v>
      </c>
      <c r="D280" s="93">
        <f t="shared" si="0"/>
        <v>13439</v>
      </c>
      <c r="E280" s="94">
        <f t="shared" si="1"/>
        <v>8.3975189148660617E-2</v>
      </c>
      <c r="F280" s="95">
        <v>17106</v>
      </c>
      <c r="G280" s="96">
        <v>3169</v>
      </c>
      <c r="H280" s="96">
        <v>13937</v>
      </c>
      <c r="I280" s="97" t="s">
        <v>196</v>
      </c>
    </row>
    <row r="281" spans="1:9" ht="15" x14ac:dyDescent="0.25">
      <c r="A281" s="92">
        <v>44169</v>
      </c>
      <c r="B281" s="93">
        <v>16534</v>
      </c>
      <c r="C281" s="93">
        <v>1510</v>
      </c>
      <c r="D281" s="93">
        <f t="shared" si="0"/>
        <v>15024</v>
      </c>
      <c r="E281" s="94">
        <f t="shared" si="1"/>
        <v>9.1326962622474903E-2</v>
      </c>
      <c r="F281" s="95">
        <v>19014</v>
      </c>
      <c r="G281" s="96">
        <v>3444</v>
      </c>
      <c r="H281" s="96">
        <v>15570</v>
      </c>
      <c r="I281" s="97" t="s">
        <v>195</v>
      </c>
    </row>
    <row r="282" spans="1:9" ht="15" x14ac:dyDescent="0.25">
      <c r="A282" s="92">
        <v>44170</v>
      </c>
      <c r="B282" s="93">
        <v>14671</v>
      </c>
      <c r="C282" s="93">
        <v>1168</v>
      </c>
      <c r="D282" s="93">
        <f t="shared" si="0"/>
        <v>13503</v>
      </c>
      <c r="E282" s="94">
        <f t="shared" si="1"/>
        <v>7.9612841660418515E-2</v>
      </c>
      <c r="F282" s="95">
        <v>17437</v>
      </c>
      <c r="G282" s="96">
        <v>3642</v>
      </c>
      <c r="H282" s="96">
        <v>13795</v>
      </c>
      <c r="I282" s="97" t="s">
        <v>235</v>
      </c>
    </row>
    <row r="283" spans="1:9" ht="15" x14ac:dyDescent="0.25">
      <c r="A283" s="92">
        <v>44171</v>
      </c>
      <c r="B283" s="93">
        <v>7812</v>
      </c>
      <c r="C283" s="93">
        <v>936</v>
      </c>
      <c r="D283" s="93">
        <f t="shared" si="0"/>
        <v>6876</v>
      </c>
      <c r="E283" s="94">
        <f t="shared" si="1"/>
        <v>0.11981566820276497</v>
      </c>
      <c r="F283" s="95">
        <v>9399</v>
      </c>
      <c r="G283" s="96">
        <v>2358</v>
      </c>
      <c r="H283" s="96">
        <v>7041</v>
      </c>
      <c r="I283" s="97" t="s">
        <v>236</v>
      </c>
    </row>
    <row r="284" spans="1:9" ht="15" x14ac:dyDescent="0.25">
      <c r="A284" s="92">
        <v>44172</v>
      </c>
      <c r="B284" s="93">
        <v>15711</v>
      </c>
      <c r="C284" s="93">
        <v>1254</v>
      </c>
      <c r="D284" s="93">
        <f t="shared" si="0"/>
        <v>14457</v>
      </c>
      <c r="E284" s="94">
        <f t="shared" si="1"/>
        <v>7.9816688944051944E-2</v>
      </c>
      <c r="F284" s="95">
        <v>17721</v>
      </c>
      <c r="G284" s="96">
        <v>3339</v>
      </c>
      <c r="H284" s="96">
        <v>14382</v>
      </c>
      <c r="I284" s="97" t="s">
        <v>197</v>
      </c>
    </row>
    <row r="285" spans="1:9" ht="15" x14ac:dyDescent="0.25">
      <c r="A285" s="92">
        <v>44173</v>
      </c>
      <c r="B285" s="93">
        <v>13678</v>
      </c>
      <c r="C285" s="93">
        <v>1352</v>
      </c>
      <c r="D285" s="93">
        <f t="shared" si="0"/>
        <v>12326</v>
      </c>
      <c r="E285" s="94">
        <f t="shared" si="1"/>
        <v>9.8844860359701706E-2</v>
      </c>
      <c r="F285" s="95">
        <v>15915</v>
      </c>
      <c r="G285" s="96">
        <v>3190</v>
      </c>
      <c r="H285" s="96">
        <v>12725</v>
      </c>
      <c r="I285" s="97" t="s">
        <v>92</v>
      </c>
    </row>
    <row r="286" spans="1:9" ht="15" x14ac:dyDescent="0.25">
      <c r="A286" s="92">
        <v>44174</v>
      </c>
      <c r="B286" s="93">
        <v>15061</v>
      </c>
      <c r="C286" s="93">
        <v>1180</v>
      </c>
      <c r="D286" s="93">
        <f t="shared" si="0"/>
        <v>13881</v>
      </c>
      <c r="E286" s="94">
        <f t="shared" si="1"/>
        <v>7.8348051258216589E-2</v>
      </c>
      <c r="F286" s="95">
        <v>17326</v>
      </c>
      <c r="G286" s="96">
        <v>2692</v>
      </c>
      <c r="H286" s="96">
        <v>14634</v>
      </c>
      <c r="I286" s="97" t="s">
        <v>189</v>
      </c>
    </row>
    <row r="287" spans="1:9" ht="15" x14ac:dyDescent="0.25">
      <c r="A287" s="92">
        <v>44175</v>
      </c>
      <c r="B287" s="93">
        <v>16712</v>
      </c>
      <c r="C287" s="93">
        <v>1447</v>
      </c>
      <c r="D287" s="93">
        <f t="shared" si="0"/>
        <v>15265</v>
      </c>
      <c r="E287" s="94">
        <f t="shared" si="1"/>
        <v>8.6584490186692203E-2</v>
      </c>
      <c r="F287" s="95">
        <v>19322</v>
      </c>
      <c r="G287" s="96">
        <v>3906</v>
      </c>
      <c r="H287" s="96">
        <v>15416</v>
      </c>
      <c r="I287" s="97" t="s">
        <v>234</v>
      </c>
    </row>
    <row r="288" spans="1:9" ht="15" x14ac:dyDescent="0.25">
      <c r="A288" s="92">
        <v>44176</v>
      </c>
      <c r="B288" s="93">
        <v>15921</v>
      </c>
      <c r="C288" s="93">
        <v>1346</v>
      </c>
      <c r="D288" s="93">
        <f t="shared" si="0"/>
        <v>14575</v>
      </c>
      <c r="E288" s="94">
        <f t="shared" si="1"/>
        <v>8.4542428239432199E-2</v>
      </c>
      <c r="F288" s="95">
        <v>18042</v>
      </c>
      <c r="G288" s="96">
        <v>3463</v>
      </c>
      <c r="H288" s="96">
        <v>14579</v>
      </c>
      <c r="I288" s="97" t="s">
        <v>237</v>
      </c>
    </row>
    <row r="289" spans="1:9" ht="15" x14ac:dyDescent="0.25">
      <c r="A289" s="92">
        <v>44177</v>
      </c>
      <c r="B289" s="93">
        <v>12321</v>
      </c>
      <c r="C289" s="93">
        <v>1443</v>
      </c>
      <c r="D289" s="93">
        <f t="shared" si="0"/>
        <v>10878</v>
      </c>
      <c r="E289" s="94">
        <f t="shared" si="1"/>
        <v>0.11711711711711711</v>
      </c>
      <c r="F289" s="95">
        <v>13779</v>
      </c>
      <c r="G289" s="96">
        <v>3152</v>
      </c>
      <c r="H289" s="96">
        <v>10627</v>
      </c>
      <c r="I289" s="97" t="s">
        <v>238</v>
      </c>
    </row>
    <row r="290" spans="1:9" ht="15" x14ac:dyDescent="0.25">
      <c r="A290" s="92">
        <v>44178</v>
      </c>
      <c r="B290" s="93">
        <v>7121</v>
      </c>
      <c r="C290" s="93">
        <v>1190</v>
      </c>
      <c r="D290" s="93">
        <f t="shared" si="0"/>
        <v>5931</v>
      </c>
      <c r="E290" s="94">
        <f t="shared" si="1"/>
        <v>0.16711136076393765</v>
      </c>
      <c r="F290" s="95">
        <v>9258</v>
      </c>
      <c r="G290" s="96">
        <v>2025</v>
      </c>
      <c r="H290" s="96">
        <v>7233</v>
      </c>
      <c r="I290" s="97" t="s">
        <v>239</v>
      </c>
    </row>
    <row r="291" spans="1:9" ht="15" x14ac:dyDescent="0.25">
      <c r="A291" s="92">
        <v>44179</v>
      </c>
      <c r="B291" s="93">
        <v>14125</v>
      </c>
      <c r="C291" s="93">
        <v>1407</v>
      </c>
      <c r="D291" s="93">
        <f t="shared" si="0"/>
        <v>12718</v>
      </c>
      <c r="E291" s="94">
        <f t="shared" si="1"/>
        <v>9.9610619469026551E-2</v>
      </c>
      <c r="F291" s="95">
        <v>16536</v>
      </c>
      <c r="G291" s="96">
        <v>3529</v>
      </c>
      <c r="H291" s="96">
        <v>13007</v>
      </c>
      <c r="I291" s="97" t="s">
        <v>209</v>
      </c>
    </row>
    <row r="292" spans="1:9" ht="15" x14ac:dyDescent="0.25">
      <c r="A292" s="92">
        <v>44180</v>
      </c>
      <c r="B292" s="93">
        <v>16123</v>
      </c>
      <c r="C292" s="93">
        <v>1675</v>
      </c>
      <c r="D292" s="93">
        <f t="shared" si="0"/>
        <v>14448</v>
      </c>
      <c r="E292" s="94">
        <f t="shared" si="1"/>
        <v>0.1038888544315574</v>
      </c>
      <c r="F292" s="95">
        <v>20013</v>
      </c>
      <c r="G292" s="96">
        <v>4117</v>
      </c>
      <c r="H292" s="96">
        <v>15896</v>
      </c>
      <c r="I292" s="97" t="s">
        <v>203</v>
      </c>
    </row>
    <row r="293" spans="1:9" ht="15" x14ac:dyDescent="0.25">
      <c r="A293" s="92">
        <v>44181</v>
      </c>
      <c r="B293" s="93">
        <v>19211</v>
      </c>
      <c r="C293" s="93">
        <v>1888</v>
      </c>
      <c r="D293" s="93">
        <f t="shared" si="0"/>
        <v>17323</v>
      </c>
      <c r="E293" s="94">
        <f t="shared" si="1"/>
        <v>9.8277028785591594E-2</v>
      </c>
      <c r="F293" s="95">
        <v>21754</v>
      </c>
      <c r="G293" s="96">
        <v>4951</v>
      </c>
      <c r="H293" s="96">
        <v>16803</v>
      </c>
      <c r="I293" s="97" t="s">
        <v>240</v>
      </c>
    </row>
    <row r="294" spans="1:9" ht="15" x14ac:dyDescent="0.25">
      <c r="A294" s="92">
        <v>44182</v>
      </c>
      <c r="B294" s="93">
        <v>21021</v>
      </c>
      <c r="C294" s="93">
        <v>1952</v>
      </c>
      <c r="D294" s="93">
        <f t="shared" si="0"/>
        <v>19069</v>
      </c>
      <c r="E294" s="94">
        <f t="shared" si="1"/>
        <v>9.2859521430949998E-2</v>
      </c>
      <c r="F294" s="95">
        <v>24343</v>
      </c>
      <c r="G294" s="96">
        <v>4999</v>
      </c>
      <c r="H294" s="96">
        <v>19344</v>
      </c>
      <c r="I294" s="97" t="s">
        <v>108</v>
      </c>
    </row>
    <row r="295" spans="1:9" ht="15" x14ac:dyDescent="0.25">
      <c r="A295" s="92">
        <v>44183</v>
      </c>
      <c r="B295" s="93">
        <v>18100</v>
      </c>
      <c r="C295" s="93">
        <v>1772</v>
      </c>
      <c r="D295" s="93">
        <f t="shared" si="0"/>
        <v>16328</v>
      </c>
      <c r="E295" s="94">
        <f t="shared" si="1"/>
        <v>9.7900552486187842E-2</v>
      </c>
      <c r="F295" s="95">
        <v>21044</v>
      </c>
      <c r="G295" s="96">
        <v>4292</v>
      </c>
      <c r="H295" s="96">
        <v>16752</v>
      </c>
      <c r="I295" s="97" t="s">
        <v>205</v>
      </c>
    </row>
    <row r="296" spans="1:9" ht="15" x14ac:dyDescent="0.25">
      <c r="A296" s="92">
        <v>44184</v>
      </c>
      <c r="B296" s="93">
        <v>12812</v>
      </c>
      <c r="C296" s="93">
        <v>1311</v>
      </c>
      <c r="D296" s="93">
        <f t="shared" si="0"/>
        <v>11501</v>
      </c>
      <c r="E296" s="94">
        <f t="shared" si="1"/>
        <v>0.10232594442709959</v>
      </c>
      <c r="F296" s="95">
        <v>14905</v>
      </c>
      <c r="G296" s="96">
        <v>3535</v>
      </c>
      <c r="H296" s="96">
        <v>11370</v>
      </c>
      <c r="I296" s="97" t="s">
        <v>241</v>
      </c>
    </row>
    <row r="297" spans="1:9" ht="15" x14ac:dyDescent="0.25">
      <c r="A297" s="92">
        <v>44185</v>
      </c>
      <c r="B297" s="93">
        <v>8314</v>
      </c>
      <c r="C297" s="93">
        <v>1151</v>
      </c>
      <c r="D297" s="93">
        <f t="shared" si="0"/>
        <v>7163</v>
      </c>
      <c r="E297" s="94">
        <f t="shared" si="1"/>
        <v>0.13844118354582632</v>
      </c>
      <c r="F297" s="95">
        <v>10298</v>
      </c>
      <c r="G297" s="96">
        <v>2265</v>
      </c>
      <c r="H297" s="96">
        <v>8033</v>
      </c>
      <c r="I297" s="97" t="s">
        <v>242</v>
      </c>
    </row>
    <row r="298" spans="1:9" ht="15" x14ac:dyDescent="0.25">
      <c r="A298" s="92">
        <v>44186</v>
      </c>
      <c r="B298" s="93">
        <v>17312</v>
      </c>
      <c r="C298" s="93">
        <v>2028</v>
      </c>
      <c r="D298" s="93">
        <f t="shared" si="0"/>
        <v>15284</v>
      </c>
      <c r="E298" s="94">
        <f t="shared" si="1"/>
        <v>0.1171441774491682</v>
      </c>
      <c r="F298" s="95">
        <v>19709</v>
      </c>
      <c r="G298" s="96">
        <v>4368</v>
      </c>
      <c r="H298" s="96">
        <v>15341</v>
      </c>
      <c r="I298" s="97" t="s">
        <v>243</v>
      </c>
    </row>
    <row r="299" spans="1:9" ht="15" x14ac:dyDescent="0.25">
      <c r="A299" s="92">
        <v>44187</v>
      </c>
      <c r="B299" s="102">
        <v>15524</v>
      </c>
      <c r="C299" s="102">
        <v>1652</v>
      </c>
      <c r="D299" s="93">
        <f t="shared" si="0"/>
        <v>13872</v>
      </c>
      <c r="E299" s="94">
        <f t="shared" si="1"/>
        <v>0.10641587219788715</v>
      </c>
      <c r="F299" s="95">
        <v>18364</v>
      </c>
      <c r="G299" s="96">
        <v>4284</v>
      </c>
      <c r="H299" s="96">
        <v>14080</v>
      </c>
      <c r="I299" s="97" t="s">
        <v>244</v>
      </c>
    </row>
    <row r="300" spans="1:9" ht="15" x14ac:dyDescent="0.25">
      <c r="A300" s="92">
        <v>44188</v>
      </c>
      <c r="B300" s="101">
        <v>19341</v>
      </c>
      <c r="C300" s="101">
        <v>2070</v>
      </c>
      <c r="D300" s="93">
        <f t="shared" si="0"/>
        <v>17271</v>
      </c>
      <c r="E300" s="94">
        <f t="shared" si="1"/>
        <v>0.10702652396463472</v>
      </c>
      <c r="F300" s="95">
        <v>21881</v>
      </c>
      <c r="G300" s="96">
        <v>5089</v>
      </c>
      <c r="H300" s="96">
        <v>16792</v>
      </c>
      <c r="I300" s="97" t="s">
        <v>244</v>
      </c>
    </row>
    <row r="301" spans="1:9" ht="15" x14ac:dyDescent="0.25">
      <c r="A301" s="92">
        <v>44189</v>
      </c>
      <c r="B301" s="93">
        <v>18471</v>
      </c>
      <c r="C301" s="93">
        <v>1899</v>
      </c>
      <c r="D301" s="93">
        <f t="shared" si="0"/>
        <v>16572</v>
      </c>
      <c r="E301" s="94">
        <f t="shared" si="1"/>
        <v>0.10280980997238916</v>
      </c>
      <c r="F301" s="95">
        <v>20883</v>
      </c>
      <c r="G301" s="96">
        <v>5119</v>
      </c>
      <c r="H301" s="96">
        <v>15764</v>
      </c>
      <c r="I301" s="97" t="s">
        <v>245</v>
      </c>
    </row>
    <row r="302" spans="1:9" ht="15" x14ac:dyDescent="0.25">
      <c r="A302" s="92">
        <v>44190</v>
      </c>
      <c r="B302" s="93">
        <v>10882</v>
      </c>
      <c r="C302" s="93">
        <v>1881</v>
      </c>
      <c r="D302" s="93">
        <f t="shared" si="0"/>
        <v>9001</v>
      </c>
      <c r="E302" s="94">
        <f t="shared" si="1"/>
        <v>0.17285425473258592</v>
      </c>
      <c r="F302" s="95">
        <v>12981</v>
      </c>
      <c r="G302" s="96">
        <v>3867</v>
      </c>
      <c r="H302" s="96">
        <v>9114</v>
      </c>
      <c r="I302" s="97" t="s">
        <v>246</v>
      </c>
    </row>
    <row r="303" spans="1:9" ht="15" x14ac:dyDescent="0.25">
      <c r="A303" s="92">
        <v>44191</v>
      </c>
      <c r="B303" s="93">
        <v>10612</v>
      </c>
      <c r="C303" s="93">
        <v>1531</v>
      </c>
      <c r="D303" s="93">
        <f t="shared" si="0"/>
        <v>9081</v>
      </c>
      <c r="E303" s="94">
        <f t="shared" si="1"/>
        <v>0.14427063701470033</v>
      </c>
      <c r="F303" s="95">
        <v>12836</v>
      </c>
      <c r="G303" s="96">
        <v>3412</v>
      </c>
      <c r="H303" s="96">
        <v>9424</v>
      </c>
      <c r="I303" s="97" t="s">
        <v>247</v>
      </c>
    </row>
    <row r="304" spans="1:9" ht="15" x14ac:dyDescent="0.25">
      <c r="A304" s="92">
        <v>44192</v>
      </c>
      <c r="B304" s="93">
        <v>10712</v>
      </c>
      <c r="C304" s="93">
        <v>1294</v>
      </c>
      <c r="D304" s="93">
        <f t="shared" si="0"/>
        <v>9418</v>
      </c>
      <c r="E304" s="94">
        <f t="shared" si="1"/>
        <v>0.12079910380881255</v>
      </c>
      <c r="F304" s="95">
        <v>12828</v>
      </c>
      <c r="G304" s="96">
        <v>3539</v>
      </c>
      <c r="H304" s="96">
        <v>9289</v>
      </c>
      <c r="I304" s="97" t="s">
        <v>248</v>
      </c>
    </row>
    <row r="305" spans="1:9" ht="15" x14ac:dyDescent="0.25">
      <c r="A305" s="92">
        <v>44193</v>
      </c>
      <c r="B305" s="93">
        <v>20216</v>
      </c>
      <c r="C305" s="93">
        <v>2181</v>
      </c>
      <c r="D305" s="93">
        <f t="shared" si="0"/>
        <v>18035</v>
      </c>
      <c r="E305" s="94">
        <f t="shared" si="1"/>
        <v>0.10788484368816779</v>
      </c>
      <c r="F305" s="95">
        <v>22711</v>
      </c>
      <c r="G305" s="96">
        <v>5842</v>
      </c>
      <c r="H305" s="96">
        <v>16869</v>
      </c>
      <c r="I305" s="97" t="s">
        <v>249</v>
      </c>
    </row>
    <row r="306" spans="1:9" ht="15" x14ac:dyDescent="0.25">
      <c r="A306" s="92">
        <v>44194</v>
      </c>
      <c r="B306" s="93">
        <v>20112</v>
      </c>
      <c r="C306" s="93">
        <v>2547</v>
      </c>
      <c r="D306" s="93">
        <f t="shared" si="0"/>
        <v>17565</v>
      </c>
      <c r="E306" s="94">
        <f t="shared" si="1"/>
        <v>0.12664081145584727</v>
      </c>
      <c r="F306" s="95">
        <v>23008</v>
      </c>
      <c r="G306" s="96">
        <v>6740</v>
      </c>
      <c r="H306" s="96">
        <v>16268</v>
      </c>
      <c r="I306" s="97" t="s">
        <v>250</v>
      </c>
    </row>
    <row r="307" spans="1:9" ht="15" x14ac:dyDescent="0.25">
      <c r="A307" s="92">
        <v>44195</v>
      </c>
      <c r="B307" s="93">
        <v>19514</v>
      </c>
      <c r="C307" s="93">
        <v>2565</v>
      </c>
      <c r="D307" s="93">
        <f t="shared" si="0"/>
        <v>16949</v>
      </c>
      <c r="E307" s="94">
        <f t="shared" si="1"/>
        <v>0.13144409142154351</v>
      </c>
      <c r="F307" s="95">
        <v>22156</v>
      </c>
      <c r="G307" s="96">
        <v>6529</v>
      </c>
      <c r="H307" s="96">
        <v>15627</v>
      </c>
      <c r="I307" s="97" t="s">
        <v>251</v>
      </c>
    </row>
    <row r="308" spans="1:9" ht="15" x14ac:dyDescent="0.25">
      <c r="A308" s="92">
        <v>44196</v>
      </c>
      <c r="B308" s="93">
        <v>16718</v>
      </c>
      <c r="C308" s="93">
        <v>2321</v>
      </c>
      <c r="D308" s="93">
        <f t="shared" si="0"/>
        <v>14397</v>
      </c>
      <c r="E308" s="94">
        <f t="shared" si="1"/>
        <v>0.13883239621964349</v>
      </c>
      <c r="F308" s="95">
        <v>18999</v>
      </c>
      <c r="G308" s="96">
        <v>6088</v>
      </c>
      <c r="H308" s="96">
        <v>12911</v>
      </c>
      <c r="I308" s="97" t="s">
        <v>252</v>
      </c>
    </row>
    <row r="309" spans="1:9" ht="15" x14ac:dyDescent="0.25">
      <c r="A309" s="92">
        <v>44197</v>
      </c>
      <c r="B309" s="93">
        <v>7812</v>
      </c>
      <c r="C309" s="93">
        <v>1281</v>
      </c>
      <c r="D309" s="93">
        <f t="shared" si="0"/>
        <v>6531</v>
      </c>
      <c r="E309" s="94">
        <f t="shared" si="1"/>
        <v>0.16397849462365591</v>
      </c>
      <c r="F309" s="95">
        <v>9703</v>
      </c>
      <c r="G309" s="96">
        <v>3273</v>
      </c>
      <c r="H309" s="96">
        <v>6430</v>
      </c>
      <c r="I309" s="97" t="s">
        <v>253</v>
      </c>
    </row>
    <row r="310" spans="1:9" ht="15" x14ac:dyDescent="0.25">
      <c r="A310" s="92">
        <v>44198</v>
      </c>
      <c r="B310" s="93">
        <v>12611</v>
      </c>
      <c r="C310" s="93">
        <v>1960</v>
      </c>
      <c r="D310" s="93">
        <f t="shared" si="0"/>
        <v>10651</v>
      </c>
      <c r="E310" s="94">
        <f t="shared" si="1"/>
        <v>0.15541987154071843</v>
      </c>
      <c r="F310" s="95">
        <v>15322</v>
      </c>
      <c r="G310" s="96">
        <v>5195</v>
      </c>
      <c r="H310" s="96">
        <v>10127</v>
      </c>
      <c r="I310" s="97" t="s">
        <v>254</v>
      </c>
    </row>
    <row r="311" spans="1:9" ht="15" x14ac:dyDescent="0.25">
      <c r="A311" s="92">
        <v>44199</v>
      </c>
      <c r="B311" s="93">
        <v>10391</v>
      </c>
      <c r="C311" s="93">
        <v>1671</v>
      </c>
      <c r="D311" s="93">
        <f t="shared" si="0"/>
        <v>8720</v>
      </c>
      <c r="E311" s="94">
        <f t="shared" si="1"/>
        <v>0.16081224136271774</v>
      </c>
      <c r="F311" s="95">
        <v>12473</v>
      </c>
      <c r="G311" s="96">
        <v>4153</v>
      </c>
      <c r="H311" s="96">
        <v>8320</v>
      </c>
      <c r="I311" s="97" t="s">
        <v>97</v>
      </c>
    </row>
    <row r="312" spans="1:9" ht="15" x14ac:dyDescent="0.25">
      <c r="A312" s="92">
        <v>44200</v>
      </c>
      <c r="B312" s="93">
        <v>18712</v>
      </c>
      <c r="C312" s="93">
        <v>2186</v>
      </c>
      <c r="D312" s="93">
        <f t="shared" si="0"/>
        <v>16526</v>
      </c>
      <c r="E312" s="94">
        <f t="shared" si="1"/>
        <v>0.11682342881573322</v>
      </c>
      <c r="F312" s="95">
        <v>21065</v>
      </c>
      <c r="G312" s="96">
        <v>6074</v>
      </c>
      <c r="H312" s="96">
        <v>14991</v>
      </c>
      <c r="I312" s="97" t="s">
        <v>102</v>
      </c>
    </row>
    <row r="313" spans="1:9" ht="15" x14ac:dyDescent="0.25">
      <c r="A313" s="92">
        <v>44201</v>
      </c>
      <c r="B313" s="93">
        <v>19123</v>
      </c>
      <c r="C313" s="93">
        <v>2420</v>
      </c>
      <c r="D313" s="93">
        <f t="shared" si="0"/>
        <v>16703</v>
      </c>
      <c r="E313" s="94">
        <f t="shared" si="1"/>
        <v>0.12654918161376352</v>
      </c>
      <c r="F313" s="95">
        <v>21799</v>
      </c>
      <c r="G313" s="96">
        <v>6628</v>
      </c>
      <c r="H313" s="96">
        <v>15171</v>
      </c>
      <c r="I313" s="97" t="s">
        <v>255</v>
      </c>
    </row>
    <row r="314" spans="1:9" ht="15" x14ac:dyDescent="0.25">
      <c r="A314" s="92">
        <v>44202</v>
      </c>
      <c r="B314" s="93">
        <v>22131</v>
      </c>
      <c r="C314" s="93">
        <v>2481</v>
      </c>
      <c r="D314" s="93">
        <f t="shared" si="0"/>
        <v>19650</v>
      </c>
      <c r="E314" s="94">
        <f t="shared" si="1"/>
        <v>0.11210519181238986</v>
      </c>
      <c r="F314" s="95">
        <v>24637</v>
      </c>
      <c r="G314" s="96">
        <v>7354</v>
      </c>
      <c r="H314" s="96">
        <v>17283</v>
      </c>
      <c r="I314" s="97" t="s">
        <v>246</v>
      </c>
    </row>
    <row r="315" spans="1:9" ht="15" x14ac:dyDescent="0.25">
      <c r="A315" s="92">
        <v>44203</v>
      </c>
      <c r="B315" s="93">
        <v>20011</v>
      </c>
      <c r="C315" s="93">
        <v>2834</v>
      </c>
      <c r="D315" s="93">
        <f t="shared" si="0"/>
        <v>17177</v>
      </c>
      <c r="E315" s="94">
        <f t="shared" si="1"/>
        <v>0.14162210784068763</v>
      </c>
      <c r="F315" s="95">
        <v>22622</v>
      </c>
      <c r="G315" s="96">
        <v>7163</v>
      </c>
      <c r="H315" s="96">
        <v>15459</v>
      </c>
      <c r="I315" s="97" t="s">
        <v>256</v>
      </c>
    </row>
    <row r="316" spans="1:9" ht="15" x14ac:dyDescent="0.25">
      <c r="A316" s="92">
        <v>44204</v>
      </c>
      <c r="B316" s="93">
        <v>20471</v>
      </c>
      <c r="C316" s="93">
        <v>2774</v>
      </c>
      <c r="D316" s="93">
        <f t="shared" si="0"/>
        <v>17697</v>
      </c>
      <c r="E316" s="94">
        <f t="shared" si="1"/>
        <v>0.13550876850178301</v>
      </c>
      <c r="F316" s="95">
        <v>23062</v>
      </c>
      <c r="G316" s="96">
        <v>7184</v>
      </c>
      <c r="H316" s="96">
        <v>15878</v>
      </c>
      <c r="I316" s="97" t="s">
        <v>103</v>
      </c>
    </row>
    <row r="317" spans="1:9" ht="15" x14ac:dyDescent="0.25">
      <c r="A317" s="92">
        <v>44205</v>
      </c>
      <c r="B317" s="93">
        <v>17512</v>
      </c>
      <c r="C317" s="93">
        <v>2892</v>
      </c>
      <c r="D317" s="93">
        <f t="shared" si="0"/>
        <v>14620</v>
      </c>
      <c r="E317" s="94">
        <f t="shared" si="1"/>
        <v>0.16514390132480586</v>
      </c>
      <c r="F317" s="95">
        <v>19890</v>
      </c>
      <c r="G317" s="96">
        <v>6416</v>
      </c>
      <c r="H317" s="96">
        <v>13474</v>
      </c>
      <c r="I317" s="97" t="s">
        <v>257</v>
      </c>
    </row>
    <row r="318" spans="1:9" ht="15" x14ac:dyDescent="0.25">
      <c r="A318" s="92">
        <v>44206</v>
      </c>
      <c r="B318" s="93">
        <v>10312</v>
      </c>
      <c r="C318" s="93">
        <v>2346</v>
      </c>
      <c r="D318" s="93">
        <f t="shared" si="0"/>
        <v>7966</v>
      </c>
      <c r="E318" s="94">
        <f t="shared" si="1"/>
        <v>0.22750193948797517</v>
      </c>
      <c r="F318" s="95">
        <v>12390</v>
      </c>
      <c r="G318" s="96">
        <v>4380</v>
      </c>
      <c r="H318" s="96">
        <v>8010</v>
      </c>
      <c r="I318" s="97" t="s">
        <v>258</v>
      </c>
    </row>
    <row r="319" spans="1:9" ht="15" x14ac:dyDescent="0.25">
      <c r="A319" s="92">
        <v>44207</v>
      </c>
      <c r="B319" s="93">
        <v>14715</v>
      </c>
      <c r="C319" s="93">
        <v>2869</v>
      </c>
      <c r="D319" s="93">
        <f t="shared" si="0"/>
        <v>11846</v>
      </c>
      <c r="E319" s="94">
        <f t="shared" si="1"/>
        <v>0.19497111790689772</v>
      </c>
      <c r="F319" s="95">
        <v>17884</v>
      </c>
      <c r="G319" s="96">
        <v>5609</v>
      </c>
      <c r="H319" s="96">
        <v>12275</v>
      </c>
      <c r="I319" s="97" t="s">
        <v>259</v>
      </c>
    </row>
    <row r="320" spans="1:9" ht="15" x14ac:dyDescent="0.25">
      <c r="A320" s="92">
        <v>44208</v>
      </c>
      <c r="B320" s="93">
        <v>16312</v>
      </c>
      <c r="C320" s="93">
        <v>3088</v>
      </c>
      <c r="D320" s="93">
        <f t="shared" si="0"/>
        <v>13224</v>
      </c>
      <c r="E320" s="94">
        <f t="shared" si="1"/>
        <v>0.1893084845512506</v>
      </c>
      <c r="F320" s="95">
        <v>19662</v>
      </c>
      <c r="G320" s="96">
        <v>5787</v>
      </c>
      <c r="H320" s="96">
        <v>13875</v>
      </c>
      <c r="I320" s="97" t="s">
        <v>260</v>
      </c>
    </row>
    <row r="321" spans="1:9" ht="15" x14ac:dyDescent="0.25">
      <c r="A321" s="92">
        <v>44209</v>
      </c>
      <c r="B321" s="93">
        <v>19121</v>
      </c>
      <c r="C321" s="93">
        <v>3214</v>
      </c>
      <c r="D321" s="93">
        <f t="shared" si="0"/>
        <v>15907</v>
      </c>
      <c r="E321" s="94">
        <f t="shared" si="1"/>
        <v>0.16808744312535956</v>
      </c>
      <c r="F321" s="95">
        <v>22305</v>
      </c>
      <c r="G321" s="96">
        <v>6839</v>
      </c>
      <c r="H321" s="96">
        <v>15466</v>
      </c>
      <c r="I321" s="97" t="s">
        <v>261</v>
      </c>
    </row>
    <row r="322" spans="1:9" ht="15" x14ac:dyDescent="0.25">
      <c r="A322" s="92">
        <v>44210</v>
      </c>
      <c r="B322" s="93">
        <v>20982</v>
      </c>
      <c r="C322" s="93">
        <v>2759</v>
      </c>
      <c r="D322" s="93">
        <f t="shared" si="0"/>
        <v>18223</v>
      </c>
      <c r="E322" s="94">
        <f t="shared" si="1"/>
        <v>0.1314936612334382</v>
      </c>
      <c r="F322" s="95">
        <v>23897</v>
      </c>
      <c r="G322" s="96">
        <v>8169</v>
      </c>
      <c r="H322" s="96">
        <v>15728</v>
      </c>
      <c r="I322" s="97" t="s">
        <v>94</v>
      </c>
    </row>
    <row r="323" spans="1:9" ht="15" x14ac:dyDescent="0.25">
      <c r="A323" s="92">
        <v>44211</v>
      </c>
      <c r="B323" s="93">
        <v>22812</v>
      </c>
      <c r="C323" s="93">
        <v>3217</v>
      </c>
      <c r="D323" s="93">
        <f t="shared" si="0"/>
        <v>19595</v>
      </c>
      <c r="E323" s="94">
        <f t="shared" si="1"/>
        <v>0.14102226898123796</v>
      </c>
      <c r="F323" s="95">
        <v>25602</v>
      </c>
      <c r="G323" s="96">
        <v>7679</v>
      </c>
      <c r="H323" s="96">
        <v>17923</v>
      </c>
      <c r="I323" s="97" t="s">
        <v>262</v>
      </c>
    </row>
    <row r="324" spans="1:9" ht="15" x14ac:dyDescent="0.25">
      <c r="A324" s="92">
        <v>44212</v>
      </c>
      <c r="B324" s="93">
        <v>17617</v>
      </c>
      <c r="C324" s="93">
        <v>2559</v>
      </c>
      <c r="D324" s="93">
        <f t="shared" si="0"/>
        <v>15058</v>
      </c>
      <c r="E324" s="94">
        <f t="shared" si="1"/>
        <v>0.14525742180848045</v>
      </c>
      <c r="F324" s="95">
        <v>20260</v>
      </c>
      <c r="G324" s="96">
        <v>6842</v>
      </c>
      <c r="H324" s="96">
        <v>13418</v>
      </c>
      <c r="I324" s="97" t="s">
        <v>263</v>
      </c>
    </row>
    <row r="325" spans="1:9" ht="15" x14ac:dyDescent="0.25">
      <c r="A325" s="92">
        <v>44213</v>
      </c>
      <c r="B325" s="93">
        <v>12813</v>
      </c>
      <c r="C325" s="93">
        <v>2361</v>
      </c>
      <c r="D325" s="93">
        <f t="shared" si="0"/>
        <v>10452</v>
      </c>
      <c r="E325" s="94">
        <f t="shared" si="1"/>
        <v>0.18426597986420043</v>
      </c>
      <c r="F325" s="95">
        <v>14991</v>
      </c>
      <c r="G325" s="96">
        <v>5254</v>
      </c>
      <c r="H325" s="96">
        <v>9737</v>
      </c>
      <c r="I325" s="97" t="s">
        <v>264</v>
      </c>
    </row>
    <row r="326" spans="1:9" ht="15" x14ac:dyDescent="0.25">
      <c r="A326" s="92">
        <v>44214</v>
      </c>
      <c r="B326" s="93">
        <v>20101</v>
      </c>
      <c r="C326" s="93">
        <v>2839</v>
      </c>
      <c r="D326" s="93">
        <f t="shared" si="0"/>
        <v>17262</v>
      </c>
      <c r="E326" s="94">
        <f t="shared" si="1"/>
        <v>0.14123675439032884</v>
      </c>
      <c r="F326" s="95">
        <v>23667</v>
      </c>
      <c r="G326" s="96">
        <v>7974</v>
      </c>
      <c r="H326" s="96">
        <v>15693</v>
      </c>
      <c r="I326" s="97" t="s">
        <v>253</v>
      </c>
    </row>
    <row r="327" spans="1:9" ht="15" x14ac:dyDescent="0.25">
      <c r="A327" s="92">
        <v>44215</v>
      </c>
      <c r="B327" s="93">
        <v>20812</v>
      </c>
      <c r="C327" s="93">
        <v>3126</v>
      </c>
      <c r="D327" s="93">
        <f t="shared" si="0"/>
        <v>17686</v>
      </c>
      <c r="E327" s="94">
        <f t="shared" si="1"/>
        <v>0.15020180665000962</v>
      </c>
      <c r="F327" s="95">
        <v>23628</v>
      </c>
      <c r="G327" s="96">
        <v>7273</v>
      </c>
      <c r="H327" s="96">
        <v>16355</v>
      </c>
      <c r="I327" s="97" t="s">
        <v>265</v>
      </c>
    </row>
    <row r="328" spans="1:9" ht="15" x14ac:dyDescent="0.25">
      <c r="A328" s="92">
        <v>44216</v>
      </c>
      <c r="B328" s="93">
        <v>23411</v>
      </c>
      <c r="C328" s="93">
        <v>3174</v>
      </c>
      <c r="D328" s="93">
        <f t="shared" si="0"/>
        <v>20237</v>
      </c>
      <c r="E328" s="94">
        <f t="shared" si="1"/>
        <v>0.13557729272564178</v>
      </c>
      <c r="F328" s="95">
        <v>25681</v>
      </c>
      <c r="G328" s="96">
        <v>7942</v>
      </c>
      <c r="H328" s="96">
        <v>17739</v>
      </c>
      <c r="I328" s="97" t="s">
        <v>266</v>
      </c>
    </row>
    <row r="329" spans="1:9" ht="15" x14ac:dyDescent="0.25">
      <c r="A329" s="92">
        <v>44217</v>
      </c>
      <c r="B329" s="93">
        <v>24312</v>
      </c>
      <c r="C329" s="93">
        <v>3719</v>
      </c>
      <c r="D329" s="93">
        <f t="shared" si="0"/>
        <v>20593</v>
      </c>
      <c r="E329" s="94">
        <f t="shared" si="1"/>
        <v>0.15296972688384336</v>
      </c>
      <c r="F329" s="95">
        <v>26971</v>
      </c>
      <c r="G329" s="96">
        <v>8889</v>
      </c>
      <c r="H329" s="96">
        <v>18082</v>
      </c>
      <c r="I329" s="97" t="s">
        <v>267</v>
      </c>
    </row>
    <row r="330" spans="1:9" ht="15" x14ac:dyDescent="0.25">
      <c r="A330" s="92">
        <v>44218</v>
      </c>
      <c r="B330" s="93">
        <v>22812</v>
      </c>
      <c r="C330" s="93">
        <v>3350</v>
      </c>
      <c r="D330" s="93">
        <f t="shared" si="0"/>
        <v>19462</v>
      </c>
      <c r="E330" s="94">
        <f t="shared" si="1"/>
        <v>0.14685253375416449</v>
      </c>
      <c r="F330" s="95">
        <v>25936</v>
      </c>
      <c r="G330" s="96">
        <v>8708</v>
      </c>
      <c r="H330" s="96">
        <v>17228</v>
      </c>
      <c r="I330" s="97" t="s">
        <v>268</v>
      </c>
    </row>
    <row r="331" spans="1:9" ht="15" x14ac:dyDescent="0.25">
      <c r="A331" s="92">
        <v>44219</v>
      </c>
      <c r="B331" s="93">
        <v>18612</v>
      </c>
      <c r="C331" s="93">
        <v>3612</v>
      </c>
      <c r="D331" s="93">
        <f t="shared" si="0"/>
        <v>15000</v>
      </c>
      <c r="E331" s="94">
        <f t="shared" si="1"/>
        <v>0.19406834300451323</v>
      </c>
      <c r="F331" s="95">
        <v>21451</v>
      </c>
      <c r="G331" s="96">
        <v>7621</v>
      </c>
      <c r="H331" s="96">
        <v>13830</v>
      </c>
      <c r="I331" s="97" t="s">
        <v>269</v>
      </c>
    </row>
    <row r="332" spans="1:9" ht="15" x14ac:dyDescent="0.25">
      <c r="A332" s="92">
        <v>44220</v>
      </c>
      <c r="B332" s="93">
        <v>16788</v>
      </c>
      <c r="C332" s="93">
        <v>2572</v>
      </c>
      <c r="D332" s="93">
        <f t="shared" si="0"/>
        <v>14216</v>
      </c>
      <c r="E332" s="94">
        <f t="shared" si="1"/>
        <v>0.15320467000238266</v>
      </c>
      <c r="F332" s="95">
        <v>19348</v>
      </c>
      <c r="G332" s="96">
        <v>6040</v>
      </c>
      <c r="H332" s="96">
        <v>13308</v>
      </c>
      <c r="I332" s="97" t="s">
        <v>103</v>
      </c>
    </row>
    <row r="333" spans="1:9" ht="15" x14ac:dyDescent="0.25">
      <c r="A333" s="92">
        <v>44221</v>
      </c>
      <c r="B333" s="93">
        <v>17812</v>
      </c>
      <c r="C333" s="93">
        <v>2038</v>
      </c>
      <c r="D333" s="93">
        <f t="shared" si="0"/>
        <v>15774</v>
      </c>
      <c r="E333" s="94">
        <f t="shared" si="1"/>
        <v>0.11441724679991017</v>
      </c>
      <c r="F333" s="95">
        <v>20197</v>
      </c>
      <c r="G333" s="96">
        <v>6831</v>
      </c>
      <c r="H333" s="96">
        <v>13366</v>
      </c>
      <c r="I333" s="97" t="s">
        <v>263</v>
      </c>
    </row>
    <row r="334" spans="1:9" ht="15" x14ac:dyDescent="0.25">
      <c r="A334" s="92">
        <v>44222</v>
      </c>
      <c r="B334" s="93">
        <v>19012</v>
      </c>
      <c r="C334" s="93">
        <v>2136</v>
      </c>
      <c r="D334" s="93">
        <f t="shared" si="0"/>
        <v>16876</v>
      </c>
      <c r="E334" s="94">
        <f t="shared" si="1"/>
        <v>0.11235009467704607</v>
      </c>
      <c r="F334" s="95">
        <v>21556</v>
      </c>
      <c r="G334" s="96">
        <v>6146</v>
      </c>
      <c r="H334" s="96">
        <v>15410</v>
      </c>
      <c r="I334" s="97" t="s">
        <v>270</v>
      </c>
    </row>
    <row r="335" spans="1:9" ht="15" x14ac:dyDescent="0.25">
      <c r="A335" s="92">
        <v>44223</v>
      </c>
      <c r="B335" s="93">
        <v>20188</v>
      </c>
      <c r="C335" s="93">
        <v>3026</v>
      </c>
      <c r="D335" s="93">
        <f t="shared" si="0"/>
        <v>17162</v>
      </c>
      <c r="E335" s="94">
        <f t="shared" si="1"/>
        <v>0.14989102437091342</v>
      </c>
      <c r="F335" s="95">
        <v>24620</v>
      </c>
      <c r="G335" s="96">
        <v>7222</v>
      </c>
      <c r="H335" s="96">
        <v>17398</v>
      </c>
      <c r="I335" s="97" t="s">
        <v>250</v>
      </c>
    </row>
    <row r="336" spans="1:9" ht="15" x14ac:dyDescent="0.25">
      <c r="A336" s="92">
        <v>44224</v>
      </c>
      <c r="B336" s="93">
        <v>21923</v>
      </c>
      <c r="C336" s="93">
        <v>3143</v>
      </c>
      <c r="D336" s="93">
        <f t="shared" si="0"/>
        <v>18780</v>
      </c>
      <c r="E336" s="94">
        <f t="shared" si="1"/>
        <v>0.14336541531724672</v>
      </c>
      <c r="F336" s="95">
        <v>24617</v>
      </c>
      <c r="G336" s="96">
        <v>6443</v>
      </c>
      <c r="H336" s="96">
        <v>18174</v>
      </c>
      <c r="I336" s="97" t="s">
        <v>271</v>
      </c>
    </row>
    <row r="337" spans="1:9" ht="15" x14ac:dyDescent="0.25">
      <c r="A337" s="92">
        <v>44225</v>
      </c>
      <c r="B337" s="93">
        <v>20312</v>
      </c>
      <c r="C337" s="93">
        <v>3160</v>
      </c>
      <c r="D337" s="93">
        <f t="shared" si="0"/>
        <v>17152</v>
      </c>
      <c r="E337" s="94">
        <f t="shared" si="1"/>
        <v>0.15557306025994486</v>
      </c>
      <c r="F337" s="95">
        <v>23326</v>
      </c>
      <c r="G337" s="96">
        <v>6774</v>
      </c>
      <c r="H337" s="96">
        <v>16552</v>
      </c>
      <c r="I337" s="97" t="s">
        <v>272</v>
      </c>
    </row>
    <row r="338" spans="1:9" ht="15" x14ac:dyDescent="0.25">
      <c r="A338" s="92">
        <v>44226</v>
      </c>
      <c r="B338" s="93">
        <v>18451</v>
      </c>
      <c r="C338" s="93">
        <v>3474</v>
      </c>
      <c r="D338" s="93">
        <f t="shared" si="0"/>
        <v>14977</v>
      </c>
      <c r="E338" s="94">
        <f t="shared" si="1"/>
        <v>0.18828247791447619</v>
      </c>
      <c r="F338" s="95">
        <v>20888</v>
      </c>
      <c r="G338" s="96">
        <v>6207</v>
      </c>
      <c r="H338" s="96">
        <v>14681</v>
      </c>
      <c r="I338" s="97" t="s">
        <v>273</v>
      </c>
    </row>
    <row r="339" spans="1:9" ht="15" x14ac:dyDescent="0.25">
      <c r="A339" s="92">
        <v>44227</v>
      </c>
      <c r="B339" s="93">
        <v>10312</v>
      </c>
      <c r="C339" s="93">
        <v>3102</v>
      </c>
      <c r="D339" s="93">
        <f t="shared" si="0"/>
        <v>7210</v>
      </c>
      <c r="E339" s="94">
        <f t="shared" si="1"/>
        <v>0.3008145849495733</v>
      </c>
      <c r="F339" s="95">
        <v>12494</v>
      </c>
      <c r="G339" s="96">
        <v>4101</v>
      </c>
      <c r="H339" s="96">
        <v>8393</v>
      </c>
      <c r="I339" s="97" t="s">
        <v>274</v>
      </c>
    </row>
    <row r="340" spans="1:9" ht="15" x14ac:dyDescent="0.25">
      <c r="A340" s="92">
        <v>44228</v>
      </c>
      <c r="B340" s="93">
        <v>16217</v>
      </c>
      <c r="C340" s="93">
        <v>3362</v>
      </c>
      <c r="D340" s="93">
        <f t="shared" si="0"/>
        <v>12855</v>
      </c>
      <c r="E340" s="94">
        <f t="shared" si="1"/>
        <v>0.20731331318986249</v>
      </c>
      <c r="F340" s="103">
        <v>18852</v>
      </c>
      <c r="G340" s="104">
        <v>5389</v>
      </c>
      <c r="H340" s="104">
        <v>13463</v>
      </c>
      <c r="I340" s="105" t="s">
        <v>275</v>
      </c>
    </row>
    <row r="341" spans="1:9" ht="15" x14ac:dyDescent="0.25">
      <c r="A341" s="92">
        <v>44229</v>
      </c>
      <c r="B341" s="106">
        <v>18121</v>
      </c>
      <c r="C341" s="106">
        <v>3567</v>
      </c>
      <c r="D341" s="106">
        <f t="shared" si="0"/>
        <v>14554</v>
      </c>
      <c r="E341" s="107">
        <f t="shared" si="1"/>
        <v>0.19684344131118592</v>
      </c>
      <c r="F341" s="108">
        <v>21193</v>
      </c>
      <c r="G341" s="109">
        <v>6480</v>
      </c>
      <c r="H341" s="109">
        <v>14713</v>
      </c>
      <c r="I341" s="105" t="s">
        <v>276</v>
      </c>
    </row>
    <row r="342" spans="1:9" ht="15" x14ac:dyDescent="0.25">
      <c r="A342" s="92">
        <v>44230</v>
      </c>
      <c r="B342" s="106">
        <v>17875</v>
      </c>
      <c r="C342" s="106">
        <v>3632</v>
      </c>
      <c r="D342" s="106">
        <f t="shared" si="0"/>
        <v>14243</v>
      </c>
      <c r="E342" s="107">
        <f t="shared" si="1"/>
        <v>0.20318881118881119</v>
      </c>
      <c r="F342" s="95">
        <v>21030</v>
      </c>
      <c r="G342" s="96">
        <v>5793</v>
      </c>
      <c r="H342" s="96">
        <v>15237</v>
      </c>
      <c r="I342" s="97" t="s">
        <v>277</v>
      </c>
    </row>
    <row r="343" spans="1:9" ht="15" x14ac:dyDescent="0.25">
      <c r="A343" s="92">
        <v>44231</v>
      </c>
      <c r="B343" s="106">
        <v>19593</v>
      </c>
      <c r="C343" s="106">
        <v>3340</v>
      </c>
      <c r="D343" s="106">
        <f t="shared" si="0"/>
        <v>16253</v>
      </c>
      <c r="E343" s="107">
        <f t="shared" si="1"/>
        <v>0.1704690450671158</v>
      </c>
      <c r="F343" s="95">
        <v>22522</v>
      </c>
      <c r="G343" s="96">
        <v>6344</v>
      </c>
      <c r="H343" s="96">
        <v>16178</v>
      </c>
      <c r="I343" s="97" t="s">
        <v>278</v>
      </c>
    </row>
    <row r="344" spans="1:9" ht="15" x14ac:dyDescent="0.25">
      <c r="A344" s="92">
        <v>44232</v>
      </c>
      <c r="B344" s="106">
        <v>17290</v>
      </c>
      <c r="C344" s="106">
        <v>2379</v>
      </c>
      <c r="D344" s="106">
        <f t="shared" si="0"/>
        <v>14911</v>
      </c>
      <c r="E344" s="107">
        <f t="shared" si="1"/>
        <v>0.13759398496240602</v>
      </c>
      <c r="F344" s="95">
        <v>19958</v>
      </c>
      <c r="G344" s="96">
        <v>5312</v>
      </c>
      <c r="H344" s="96">
        <v>14646</v>
      </c>
      <c r="I344" s="97" t="s">
        <v>247</v>
      </c>
    </row>
    <row r="345" spans="1:9" ht="15" x14ac:dyDescent="0.25">
      <c r="A345" s="92">
        <v>44233</v>
      </c>
      <c r="B345" s="106">
        <v>17758</v>
      </c>
      <c r="C345" s="106">
        <v>4213</v>
      </c>
      <c r="D345" s="106">
        <f t="shared" si="0"/>
        <v>13545</v>
      </c>
      <c r="E345" s="107">
        <f t="shared" si="1"/>
        <v>0.23724518526861132</v>
      </c>
      <c r="F345" s="95">
        <v>20412</v>
      </c>
      <c r="G345" s="96">
        <v>5505</v>
      </c>
      <c r="H345" s="96">
        <v>14907</v>
      </c>
      <c r="I345" s="97" t="s">
        <v>279</v>
      </c>
    </row>
    <row r="346" spans="1:9" ht="15" x14ac:dyDescent="0.25">
      <c r="A346" s="92">
        <v>44234</v>
      </c>
      <c r="B346" s="95">
        <v>10197</v>
      </c>
      <c r="C346" s="95">
        <v>3144</v>
      </c>
      <c r="D346" s="106">
        <f t="shared" si="0"/>
        <v>7053</v>
      </c>
      <c r="E346" s="107">
        <f t="shared" si="1"/>
        <v>0.30832597822889085</v>
      </c>
      <c r="F346" s="95">
        <v>11720</v>
      </c>
      <c r="G346" s="96">
        <v>3182</v>
      </c>
      <c r="H346" s="96">
        <v>8538</v>
      </c>
      <c r="I346" s="97" t="s">
        <v>280</v>
      </c>
    </row>
    <row r="347" spans="1:9" ht="15" x14ac:dyDescent="0.25">
      <c r="A347" s="92">
        <v>44235</v>
      </c>
      <c r="B347" s="95">
        <v>16061</v>
      </c>
      <c r="C347" s="95">
        <v>3437</v>
      </c>
      <c r="D347" s="106">
        <f t="shared" si="0"/>
        <v>12624</v>
      </c>
      <c r="E347" s="107">
        <f t="shared" si="1"/>
        <v>0.21399663781831765</v>
      </c>
      <c r="F347" s="95">
        <v>18461</v>
      </c>
      <c r="G347" s="96">
        <v>4167</v>
      </c>
      <c r="H347" s="96">
        <v>14294</v>
      </c>
      <c r="I347" s="97" t="s">
        <v>281</v>
      </c>
    </row>
    <row r="348" spans="1:9" ht="15" x14ac:dyDescent="0.25">
      <c r="A348" s="92">
        <v>44236</v>
      </c>
      <c r="B348" s="95">
        <v>17660</v>
      </c>
      <c r="C348" s="95">
        <v>3309</v>
      </c>
      <c r="D348" s="106">
        <f t="shared" si="0"/>
        <v>14351</v>
      </c>
      <c r="E348" s="107">
        <f t="shared" si="1"/>
        <v>0.18737259343148358</v>
      </c>
      <c r="F348" s="95">
        <v>20777</v>
      </c>
      <c r="G348" s="96">
        <v>5508</v>
      </c>
      <c r="H348" s="96">
        <v>15269</v>
      </c>
      <c r="I348" s="97" t="s">
        <v>282</v>
      </c>
    </row>
    <row r="349" spans="1:9" ht="15" x14ac:dyDescent="0.25">
      <c r="A349" s="92">
        <v>44237</v>
      </c>
      <c r="B349" s="95">
        <v>16571</v>
      </c>
      <c r="C349" s="95">
        <v>2514</v>
      </c>
      <c r="D349" s="106">
        <f t="shared" si="0"/>
        <v>14057</v>
      </c>
      <c r="E349" s="107">
        <f t="shared" si="1"/>
        <v>0.15171082010741657</v>
      </c>
      <c r="F349" s="95">
        <v>19727</v>
      </c>
      <c r="G349" s="96">
        <v>5252</v>
      </c>
      <c r="H349" s="96">
        <v>14475</v>
      </c>
      <c r="I349" s="97" t="s">
        <v>247</v>
      </c>
    </row>
    <row r="350" spans="1:9" ht="15" x14ac:dyDescent="0.25">
      <c r="A350" s="92">
        <v>44238</v>
      </c>
      <c r="B350" s="95">
        <v>17319</v>
      </c>
      <c r="C350" s="95">
        <v>3810</v>
      </c>
      <c r="D350" s="106">
        <f t="shared" si="0"/>
        <v>13509</v>
      </c>
      <c r="E350" s="107">
        <f t="shared" si="1"/>
        <v>0.21998960679023039</v>
      </c>
      <c r="F350" s="95">
        <v>19907</v>
      </c>
      <c r="G350" s="96">
        <v>5026</v>
      </c>
      <c r="H350" s="96">
        <v>14881</v>
      </c>
      <c r="I350" s="97" t="s">
        <v>283</v>
      </c>
    </row>
    <row r="351" spans="1:9" ht="15" x14ac:dyDescent="0.25">
      <c r="A351" s="92">
        <v>44239</v>
      </c>
      <c r="B351" s="95">
        <v>11203</v>
      </c>
      <c r="C351" s="95">
        <v>3018</v>
      </c>
      <c r="D351" s="106">
        <f t="shared" si="0"/>
        <v>8185</v>
      </c>
      <c r="E351" s="107">
        <f t="shared" si="1"/>
        <v>0.26939212710881016</v>
      </c>
      <c r="F351" s="95">
        <v>13180</v>
      </c>
      <c r="G351" s="96">
        <v>3781</v>
      </c>
      <c r="H351" s="96">
        <v>9399</v>
      </c>
      <c r="I351" s="97" t="s">
        <v>284</v>
      </c>
    </row>
    <row r="352" spans="1:9" ht="15" x14ac:dyDescent="0.25">
      <c r="A352" s="92">
        <v>44240</v>
      </c>
      <c r="B352" s="95">
        <v>13524</v>
      </c>
      <c r="C352" s="95">
        <v>2496</v>
      </c>
      <c r="D352" s="106">
        <f t="shared" si="0"/>
        <v>11028</v>
      </c>
      <c r="E352" s="107">
        <f t="shared" si="1"/>
        <v>0.18456078083407276</v>
      </c>
      <c r="F352" s="95">
        <v>16295</v>
      </c>
      <c r="G352" s="96">
        <v>4795</v>
      </c>
      <c r="H352" s="96">
        <v>11500</v>
      </c>
      <c r="I352" s="97" t="s">
        <v>260</v>
      </c>
    </row>
    <row r="353" spans="1:9" ht="15" x14ac:dyDescent="0.25">
      <c r="A353" s="92">
        <v>44241</v>
      </c>
      <c r="B353" s="95">
        <v>8239</v>
      </c>
      <c r="C353" s="95">
        <v>1879</v>
      </c>
      <c r="D353" s="106">
        <f t="shared" si="0"/>
        <v>6360</v>
      </c>
      <c r="E353" s="107">
        <f t="shared" si="1"/>
        <v>0.22806165796820002</v>
      </c>
      <c r="F353" s="95">
        <v>9926</v>
      </c>
      <c r="G353" s="96">
        <v>2727</v>
      </c>
      <c r="H353" s="96">
        <v>7199</v>
      </c>
      <c r="I353" s="97" t="s">
        <v>277</v>
      </c>
    </row>
    <row r="354" spans="1:9" ht="15" x14ac:dyDescent="0.25">
      <c r="A354" s="92">
        <v>44242</v>
      </c>
      <c r="B354" s="95">
        <v>10681</v>
      </c>
      <c r="C354" s="95">
        <v>1861</v>
      </c>
      <c r="D354" s="106">
        <f t="shared" si="0"/>
        <v>8820</v>
      </c>
      <c r="E354" s="107">
        <f t="shared" si="1"/>
        <v>0.17423462222638331</v>
      </c>
      <c r="F354" s="95">
        <v>12028</v>
      </c>
      <c r="G354" s="96">
        <v>3114</v>
      </c>
      <c r="H354" s="96">
        <v>8914</v>
      </c>
      <c r="I354" s="97" t="s">
        <v>285</v>
      </c>
    </row>
    <row r="355" spans="1:9" ht="15" x14ac:dyDescent="0.25">
      <c r="A355" s="92">
        <v>44243</v>
      </c>
      <c r="B355" s="95">
        <v>9306</v>
      </c>
      <c r="C355" s="95">
        <v>1445</v>
      </c>
      <c r="D355" s="106">
        <f t="shared" si="0"/>
        <v>7861</v>
      </c>
      <c r="E355" s="107">
        <f t="shared" si="1"/>
        <v>0.15527616591446378</v>
      </c>
      <c r="F355" s="95">
        <v>11632</v>
      </c>
      <c r="G355" s="96">
        <v>3253</v>
      </c>
      <c r="H355" s="96">
        <v>8379</v>
      </c>
      <c r="I355" s="97" t="s">
        <v>286</v>
      </c>
    </row>
    <row r="356" spans="1:9" ht="15" x14ac:dyDescent="0.25">
      <c r="A356" s="92">
        <v>44244</v>
      </c>
      <c r="B356" s="95">
        <v>9107</v>
      </c>
      <c r="C356" s="95">
        <v>373</v>
      </c>
      <c r="D356" s="106">
        <f t="shared" si="0"/>
        <v>8734</v>
      </c>
      <c r="E356" s="107">
        <f t="shared" si="1"/>
        <v>4.0957505215768089E-2</v>
      </c>
      <c r="F356" s="95">
        <v>10227</v>
      </c>
      <c r="G356" s="96">
        <v>3373</v>
      </c>
      <c r="H356" s="96">
        <v>6854</v>
      </c>
      <c r="I356" s="97" t="s">
        <v>267</v>
      </c>
    </row>
    <row r="357" spans="1:9" ht="15" x14ac:dyDescent="0.25">
      <c r="A357" s="92">
        <v>44245</v>
      </c>
      <c r="B357" s="95">
        <v>15973</v>
      </c>
      <c r="C357" s="95">
        <v>1920</v>
      </c>
      <c r="D357" s="106">
        <f t="shared" si="0"/>
        <v>14053</v>
      </c>
      <c r="E357" s="107">
        <f t="shared" si="1"/>
        <v>0.12020284229637514</v>
      </c>
      <c r="F357" s="95">
        <v>19480</v>
      </c>
      <c r="G357" s="96">
        <v>5143</v>
      </c>
      <c r="H357" s="96">
        <v>14337</v>
      </c>
      <c r="I357" s="97" t="s">
        <v>287</v>
      </c>
    </row>
    <row r="358" spans="1:9" ht="15" x14ac:dyDescent="0.25">
      <c r="A358" s="92">
        <v>44246</v>
      </c>
      <c r="B358" s="95">
        <v>12292</v>
      </c>
      <c r="C358" s="95">
        <v>2872</v>
      </c>
      <c r="D358" s="106">
        <f t="shared" si="0"/>
        <v>9420</v>
      </c>
      <c r="E358" s="107">
        <f t="shared" si="1"/>
        <v>0.23364790107386918</v>
      </c>
      <c r="F358" s="95">
        <v>14293</v>
      </c>
      <c r="G358" s="96">
        <v>3917</v>
      </c>
      <c r="H358" s="96">
        <v>10376</v>
      </c>
      <c r="I358" s="97" t="s">
        <v>288</v>
      </c>
    </row>
    <row r="359" spans="1:9" ht="15" x14ac:dyDescent="0.25">
      <c r="A359" s="92">
        <v>44247</v>
      </c>
      <c r="B359" s="95">
        <v>13045</v>
      </c>
      <c r="C359" s="95">
        <v>2720</v>
      </c>
      <c r="D359" s="106">
        <f t="shared" si="0"/>
        <v>10325</v>
      </c>
      <c r="E359" s="107">
        <f t="shared" si="1"/>
        <v>0.2085090072824837</v>
      </c>
      <c r="F359" s="95">
        <v>15717</v>
      </c>
      <c r="G359" s="96">
        <v>4011</v>
      </c>
      <c r="H359" s="96">
        <v>11706</v>
      </c>
      <c r="I359" s="97" t="s">
        <v>289</v>
      </c>
    </row>
    <row r="360" spans="1:9" ht="15" x14ac:dyDescent="0.25">
      <c r="A360" s="92">
        <v>44248</v>
      </c>
      <c r="B360" s="95">
        <v>9312</v>
      </c>
      <c r="C360" s="95">
        <v>2471</v>
      </c>
      <c r="D360" s="106">
        <f t="shared" si="0"/>
        <v>6841</v>
      </c>
      <c r="E360" s="107">
        <f t="shared" si="1"/>
        <v>0.26535652920962199</v>
      </c>
      <c r="F360" s="95">
        <v>9897</v>
      </c>
      <c r="G360" s="96">
        <v>2274</v>
      </c>
      <c r="H360" s="96">
        <v>7623</v>
      </c>
      <c r="I360" s="97" t="s">
        <v>290</v>
      </c>
    </row>
    <row r="361" spans="1:9" ht="15" x14ac:dyDescent="0.25">
      <c r="A361" s="92">
        <v>44249</v>
      </c>
      <c r="B361" s="95">
        <v>11429</v>
      </c>
      <c r="C361" s="95">
        <v>782</v>
      </c>
      <c r="D361" s="106">
        <f t="shared" si="0"/>
        <v>10647</v>
      </c>
      <c r="E361" s="107">
        <f t="shared" si="1"/>
        <v>6.8422434158719042E-2</v>
      </c>
      <c r="F361" s="95">
        <v>14844</v>
      </c>
      <c r="G361" s="96">
        <v>4027</v>
      </c>
      <c r="H361" s="96">
        <v>10817</v>
      </c>
      <c r="I361" s="97" t="s">
        <v>291</v>
      </c>
    </row>
    <row r="362" spans="1:9" ht="15" x14ac:dyDescent="0.25">
      <c r="A362" s="92">
        <v>44250</v>
      </c>
      <c r="B362" s="95">
        <v>14002</v>
      </c>
      <c r="C362" s="95">
        <v>782</v>
      </c>
      <c r="D362" s="106">
        <f t="shared" si="0"/>
        <v>13220</v>
      </c>
      <c r="E362" s="107">
        <f t="shared" si="1"/>
        <v>5.5849164405084986E-2</v>
      </c>
      <c r="F362" s="95">
        <v>18185</v>
      </c>
      <c r="G362" s="96">
        <v>4964</v>
      </c>
      <c r="H362" s="96">
        <v>13221</v>
      </c>
      <c r="I362" s="97" t="s">
        <v>292</v>
      </c>
    </row>
    <row r="363" spans="1:9" ht="15" x14ac:dyDescent="0.25">
      <c r="A363" s="92">
        <v>44251</v>
      </c>
      <c r="B363" s="95">
        <v>15038</v>
      </c>
      <c r="C363" s="95">
        <v>1581</v>
      </c>
      <c r="D363" s="106">
        <f t="shared" si="0"/>
        <v>13457</v>
      </c>
      <c r="E363" s="107">
        <f t="shared" si="1"/>
        <v>0.10513366139114244</v>
      </c>
      <c r="F363" s="95">
        <v>18340</v>
      </c>
      <c r="G363" s="96">
        <v>4720</v>
      </c>
      <c r="H363" s="96">
        <v>13620</v>
      </c>
      <c r="I363" s="97" t="s">
        <v>249</v>
      </c>
    </row>
    <row r="364" spans="1:9" ht="15" x14ac:dyDescent="0.25">
      <c r="A364" s="92">
        <v>44252</v>
      </c>
      <c r="B364" s="95">
        <v>13802</v>
      </c>
      <c r="C364" s="95">
        <v>1661</v>
      </c>
      <c r="D364" s="106">
        <f t="shared" si="0"/>
        <v>12141</v>
      </c>
      <c r="E364" s="107">
        <f t="shared" si="1"/>
        <v>0.12034487755397769</v>
      </c>
      <c r="F364" s="95">
        <v>16238</v>
      </c>
      <c r="G364" s="96">
        <v>3802</v>
      </c>
      <c r="H364" s="96">
        <v>12436</v>
      </c>
      <c r="I364" s="97" t="s">
        <v>293</v>
      </c>
    </row>
    <row r="365" spans="1:9" ht="15" x14ac:dyDescent="0.25">
      <c r="A365" s="92">
        <v>44253</v>
      </c>
      <c r="B365" s="95">
        <v>13432</v>
      </c>
      <c r="C365" s="95">
        <v>1737</v>
      </c>
      <c r="D365" s="106">
        <f t="shared" si="0"/>
        <v>11695</v>
      </c>
      <c r="E365" s="107">
        <f t="shared" si="1"/>
        <v>0.12931804645622394</v>
      </c>
      <c r="F365" s="95">
        <v>16184</v>
      </c>
      <c r="G365" s="96">
        <v>4196</v>
      </c>
      <c r="H365" s="96">
        <v>11988</v>
      </c>
      <c r="I365" s="97" t="s">
        <v>285</v>
      </c>
    </row>
    <row r="366" spans="1:9" ht="15" x14ac:dyDescent="0.25">
      <c r="A366" s="92">
        <v>44254</v>
      </c>
      <c r="B366" s="95">
        <v>12559</v>
      </c>
      <c r="C366" s="95">
        <v>2098</v>
      </c>
      <c r="D366" s="106">
        <f t="shared" si="0"/>
        <v>10461</v>
      </c>
      <c r="E366" s="107">
        <f t="shared" si="1"/>
        <v>0.16705151684051278</v>
      </c>
      <c r="F366" s="95">
        <v>14775</v>
      </c>
      <c r="G366" s="96">
        <v>4068</v>
      </c>
      <c r="H366" s="96">
        <v>10707</v>
      </c>
      <c r="I366" s="97" t="s">
        <v>277</v>
      </c>
    </row>
    <row r="367" spans="1:9" ht="15" x14ac:dyDescent="0.25">
      <c r="A367" s="92">
        <v>44255</v>
      </c>
      <c r="B367" s="95">
        <v>7797</v>
      </c>
      <c r="C367" s="95">
        <v>2058</v>
      </c>
      <c r="D367" s="106">
        <f t="shared" si="0"/>
        <v>5739</v>
      </c>
      <c r="E367" s="107">
        <f t="shared" si="1"/>
        <v>0.26394767218160831</v>
      </c>
      <c r="F367" s="95">
        <v>9828</v>
      </c>
      <c r="G367" s="96">
        <v>2487</v>
      </c>
      <c r="H367" s="96">
        <v>7341</v>
      </c>
      <c r="I367" s="97" t="s">
        <v>294</v>
      </c>
    </row>
    <row r="368" spans="1:9" ht="15" x14ac:dyDescent="0.25">
      <c r="A368" s="92">
        <v>44256</v>
      </c>
      <c r="B368" s="95">
        <v>10394</v>
      </c>
      <c r="C368" s="95">
        <v>578</v>
      </c>
      <c r="D368" s="106">
        <f t="shared" si="0"/>
        <v>9816</v>
      </c>
      <c r="E368" s="107">
        <f t="shared" si="1"/>
        <v>5.5609005195304984E-2</v>
      </c>
      <c r="F368" s="95">
        <v>13533</v>
      </c>
      <c r="G368" s="96">
        <v>2884</v>
      </c>
      <c r="H368" s="96">
        <v>10649</v>
      </c>
      <c r="I368" s="97" t="s">
        <v>209</v>
      </c>
    </row>
    <row r="369" spans="1:11" ht="15" x14ac:dyDescent="0.25">
      <c r="A369" s="92">
        <v>44257</v>
      </c>
      <c r="B369" s="95">
        <v>20538</v>
      </c>
      <c r="C369" s="95">
        <v>1437</v>
      </c>
      <c r="D369" s="106">
        <f t="shared" si="0"/>
        <v>19101</v>
      </c>
      <c r="E369" s="107">
        <f t="shared" si="1"/>
        <v>6.9967864446392053E-2</v>
      </c>
      <c r="F369" s="95">
        <v>25673</v>
      </c>
      <c r="G369" s="96">
        <v>6521</v>
      </c>
      <c r="H369" s="96">
        <v>19152</v>
      </c>
      <c r="I369" s="97" t="s">
        <v>295</v>
      </c>
    </row>
    <row r="370" spans="1:11" ht="15" x14ac:dyDescent="0.25">
      <c r="A370" s="92">
        <v>44258</v>
      </c>
      <c r="B370" s="95">
        <v>14072</v>
      </c>
      <c r="C370" s="95">
        <v>2008</v>
      </c>
      <c r="D370" s="106">
        <f t="shared" si="0"/>
        <v>12064</v>
      </c>
      <c r="E370" s="107">
        <f t="shared" si="1"/>
        <v>0.1426947129050597</v>
      </c>
      <c r="F370" s="95">
        <v>17590</v>
      </c>
      <c r="G370" s="96">
        <v>3883</v>
      </c>
      <c r="H370" s="96">
        <v>13707</v>
      </c>
      <c r="I370" s="97" t="s">
        <v>229</v>
      </c>
    </row>
    <row r="371" spans="1:11" ht="15" x14ac:dyDescent="0.25">
      <c r="A371" s="92">
        <v>44259</v>
      </c>
      <c r="B371" s="95">
        <v>12608</v>
      </c>
      <c r="C371" s="95">
        <v>1159</v>
      </c>
      <c r="D371" s="106">
        <f t="shared" si="0"/>
        <v>11449</v>
      </c>
      <c r="E371" s="107">
        <f t="shared" si="1"/>
        <v>9.1925761421319793E-2</v>
      </c>
      <c r="F371" s="95">
        <v>15761</v>
      </c>
      <c r="G371" s="96">
        <v>3477</v>
      </c>
      <c r="H371" s="96">
        <v>12284</v>
      </c>
      <c r="I371" s="97" t="s">
        <v>229</v>
      </c>
    </row>
    <row r="372" spans="1:11" ht="15" x14ac:dyDescent="0.25">
      <c r="A372" s="92">
        <v>44260</v>
      </c>
      <c r="B372" s="95">
        <v>8787</v>
      </c>
      <c r="C372" s="95">
        <v>1616</v>
      </c>
      <c r="D372" s="106">
        <f t="shared" si="0"/>
        <v>7171</v>
      </c>
      <c r="E372" s="107">
        <f t="shared" si="1"/>
        <v>0.18390804597701149</v>
      </c>
      <c r="F372" s="95">
        <v>11875</v>
      </c>
      <c r="G372" s="96">
        <v>3639</v>
      </c>
      <c r="H372" s="96">
        <v>8236</v>
      </c>
      <c r="I372" s="97" t="s">
        <v>276</v>
      </c>
    </row>
    <row r="373" spans="1:11" ht="15" x14ac:dyDescent="0.25">
      <c r="A373" s="92">
        <v>44261</v>
      </c>
      <c r="B373" s="95">
        <v>8261</v>
      </c>
      <c r="C373" s="95">
        <v>1834</v>
      </c>
      <c r="D373" s="106">
        <f t="shared" si="0"/>
        <v>6427</v>
      </c>
      <c r="E373" s="107">
        <f t="shared" si="1"/>
        <v>0.2220070209417746</v>
      </c>
      <c r="F373" s="95">
        <v>10327</v>
      </c>
      <c r="G373" s="96">
        <v>3116</v>
      </c>
      <c r="H373" s="96">
        <v>7211</v>
      </c>
      <c r="I373" s="97" t="s">
        <v>296</v>
      </c>
    </row>
    <row r="374" spans="1:11" ht="15" x14ac:dyDescent="0.25">
      <c r="A374" s="92">
        <v>44262</v>
      </c>
      <c r="B374" s="95">
        <v>11041</v>
      </c>
      <c r="C374" s="95">
        <v>1783</v>
      </c>
      <c r="D374" s="106">
        <f t="shared" si="0"/>
        <v>9258</v>
      </c>
      <c r="E374" s="107">
        <f t="shared" si="1"/>
        <v>0.1614889955619962</v>
      </c>
      <c r="F374" s="95">
        <v>5460</v>
      </c>
      <c r="G374" s="96">
        <v>1356</v>
      </c>
      <c r="H374" s="96">
        <v>4104</v>
      </c>
      <c r="I374" s="97" t="s">
        <v>297</v>
      </c>
    </row>
    <row r="375" spans="1:11" ht="15" x14ac:dyDescent="0.25">
      <c r="A375" s="92">
        <v>44263</v>
      </c>
      <c r="B375" s="95">
        <v>12172</v>
      </c>
      <c r="C375" s="95">
        <v>867</v>
      </c>
      <c r="D375" s="106">
        <f t="shared" si="0"/>
        <v>11305</v>
      </c>
      <c r="E375" s="107">
        <f t="shared" si="1"/>
        <v>7.1229050279329603E-2</v>
      </c>
      <c r="F375" s="95">
        <v>15215</v>
      </c>
      <c r="G375" s="96">
        <v>3357</v>
      </c>
      <c r="H375" s="96">
        <v>11858</v>
      </c>
      <c r="I375" s="97" t="s">
        <v>229</v>
      </c>
    </row>
    <row r="376" spans="1:11" ht="15" x14ac:dyDescent="0.25">
      <c r="A376" s="92">
        <v>44264</v>
      </c>
      <c r="B376" s="95">
        <v>13813</v>
      </c>
      <c r="C376" s="95">
        <v>1040</v>
      </c>
      <c r="D376" s="106">
        <f t="shared" si="0"/>
        <v>12773</v>
      </c>
      <c r="E376" s="107">
        <f t="shared" si="1"/>
        <v>7.5291392166799392E-2</v>
      </c>
      <c r="F376" s="95">
        <v>17709</v>
      </c>
      <c r="G376" s="96">
        <v>4373</v>
      </c>
      <c r="H376" s="96">
        <v>13336</v>
      </c>
      <c r="I376" s="97" t="s">
        <v>298</v>
      </c>
      <c r="J376" s="110"/>
      <c r="K376" s="111"/>
    </row>
    <row r="377" spans="1:11" ht="15" x14ac:dyDescent="0.25">
      <c r="A377" s="92">
        <v>44265</v>
      </c>
      <c r="B377" s="95">
        <v>14611</v>
      </c>
      <c r="C377" s="95">
        <v>1754</v>
      </c>
      <c r="D377" s="106">
        <f t="shared" si="0"/>
        <v>12857</v>
      </c>
      <c r="E377" s="107">
        <f t="shared" si="1"/>
        <v>0.12004654027787283</v>
      </c>
      <c r="F377" s="95">
        <v>18264</v>
      </c>
      <c r="G377" s="96">
        <v>4302</v>
      </c>
      <c r="H377" s="96">
        <v>13962</v>
      </c>
      <c r="I377" s="97" t="s">
        <v>299</v>
      </c>
      <c r="K377" s="111"/>
    </row>
    <row r="378" spans="1:11" ht="15" x14ac:dyDescent="0.25">
      <c r="A378" s="92">
        <v>44266</v>
      </c>
      <c r="B378" s="95">
        <v>12062</v>
      </c>
      <c r="C378" s="95">
        <v>1873</v>
      </c>
      <c r="D378" s="106">
        <f t="shared" si="0"/>
        <v>10189</v>
      </c>
      <c r="E378" s="107">
        <f t="shared" si="1"/>
        <v>0.15528104791908473</v>
      </c>
      <c r="F378" s="95">
        <v>13865</v>
      </c>
      <c r="G378" s="96">
        <v>2586</v>
      </c>
      <c r="H378" s="96">
        <f>F378-G378</f>
        <v>11279</v>
      </c>
      <c r="I378" s="97">
        <f>G378/F378</f>
        <v>0.18651280201947348</v>
      </c>
      <c r="K378" s="111"/>
    </row>
    <row r="379" spans="1:11" ht="15" x14ac:dyDescent="0.25">
      <c r="A379" s="92">
        <v>44267</v>
      </c>
      <c r="B379" s="95">
        <v>11376</v>
      </c>
      <c r="C379" s="95">
        <v>1034</v>
      </c>
      <c r="D379" s="106">
        <f t="shared" si="0"/>
        <v>10342</v>
      </c>
      <c r="E379" s="107">
        <f t="shared" si="1"/>
        <v>9.0893108298171585E-2</v>
      </c>
      <c r="F379" s="112">
        <v>14220</v>
      </c>
      <c r="G379" s="113">
        <v>3237</v>
      </c>
      <c r="H379" s="113">
        <v>10983</v>
      </c>
      <c r="I379" s="97" t="s">
        <v>240</v>
      </c>
      <c r="K379" s="111"/>
    </row>
    <row r="380" spans="1:11" ht="15" x14ac:dyDescent="0.25">
      <c r="A380" s="92">
        <v>44268</v>
      </c>
      <c r="B380" s="95">
        <v>11932</v>
      </c>
      <c r="C380" s="95">
        <v>1204</v>
      </c>
      <c r="D380" s="106">
        <f t="shared" si="0"/>
        <v>10728</v>
      </c>
      <c r="E380" s="107">
        <f t="shared" si="1"/>
        <v>0.10090512906469996</v>
      </c>
      <c r="F380" s="112">
        <v>15700</v>
      </c>
      <c r="G380" s="113">
        <v>4613</v>
      </c>
      <c r="H380" s="113">
        <v>11087</v>
      </c>
      <c r="I380" s="97" t="s">
        <v>260</v>
      </c>
      <c r="K380" s="111"/>
    </row>
    <row r="381" spans="1:11" ht="15" x14ac:dyDescent="0.25">
      <c r="A381" s="92">
        <v>44269</v>
      </c>
      <c r="B381" s="95">
        <v>9342</v>
      </c>
      <c r="C381" s="95">
        <v>1555</v>
      </c>
      <c r="D381" s="106">
        <f t="shared" si="0"/>
        <v>7787</v>
      </c>
      <c r="E381" s="107">
        <f t="shared" si="1"/>
        <v>0.16645257974737743</v>
      </c>
      <c r="F381" s="112">
        <v>10739</v>
      </c>
      <c r="G381" s="113">
        <v>1956</v>
      </c>
      <c r="H381" s="113">
        <f>F381-G381</f>
        <v>8783</v>
      </c>
      <c r="I381" s="97">
        <f>G381/F381</f>
        <v>0.18213986404693175</v>
      </c>
      <c r="K381" s="111"/>
    </row>
    <row r="382" spans="1:11" ht="15" x14ac:dyDescent="0.25">
      <c r="A382" s="92">
        <v>44270</v>
      </c>
      <c r="B382" s="95">
        <v>15239</v>
      </c>
      <c r="C382" s="95">
        <v>835</v>
      </c>
      <c r="D382" s="106">
        <f t="shared" si="0"/>
        <v>14404</v>
      </c>
      <c r="E382" s="107">
        <f t="shared" si="1"/>
        <v>5.4793621628715795E-2</v>
      </c>
      <c r="F382" s="95">
        <v>19049</v>
      </c>
      <c r="G382" s="96">
        <v>3952</v>
      </c>
      <c r="H382" s="96">
        <v>15097</v>
      </c>
      <c r="I382" s="97" t="s">
        <v>193</v>
      </c>
      <c r="K382" s="111"/>
    </row>
    <row r="383" spans="1:11" ht="15" x14ac:dyDescent="0.25">
      <c r="A383" s="92">
        <v>44271</v>
      </c>
      <c r="B383" s="95">
        <v>13736</v>
      </c>
      <c r="C383" s="95">
        <v>1330</v>
      </c>
      <c r="D383" s="106">
        <f t="shared" si="0"/>
        <v>12406</v>
      </c>
      <c r="E383" s="107">
        <f t="shared" si="1"/>
        <v>9.6825859056493879E-2</v>
      </c>
      <c r="F383" s="95">
        <v>19623</v>
      </c>
      <c r="G383" s="96">
        <v>6834</v>
      </c>
      <c r="H383" s="96">
        <v>12789</v>
      </c>
      <c r="I383" s="97" t="s">
        <v>300</v>
      </c>
    </row>
    <row r="384" spans="1:11" ht="15" x14ac:dyDescent="0.25">
      <c r="A384" s="92">
        <v>44272</v>
      </c>
      <c r="B384" s="95">
        <v>15107</v>
      </c>
      <c r="C384" s="95">
        <v>1719</v>
      </c>
      <c r="D384" s="106">
        <f t="shared" si="0"/>
        <v>13388</v>
      </c>
      <c r="E384" s="107">
        <f t="shared" si="1"/>
        <v>0.11378831005494142</v>
      </c>
      <c r="F384" s="95">
        <v>18884</v>
      </c>
      <c r="G384" s="96">
        <v>4075</v>
      </c>
      <c r="H384" s="96">
        <v>14809</v>
      </c>
      <c r="I384" s="97" t="s">
        <v>202</v>
      </c>
    </row>
    <row r="385" spans="1:9" ht="15" x14ac:dyDescent="0.25">
      <c r="A385" s="92">
        <v>44273</v>
      </c>
      <c r="B385" s="95">
        <v>11497</v>
      </c>
      <c r="C385" s="95">
        <v>1588</v>
      </c>
      <c r="D385" s="106">
        <f t="shared" si="0"/>
        <v>9909</v>
      </c>
      <c r="E385" s="107">
        <f t="shared" si="1"/>
        <v>0.13812298860572322</v>
      </c>
      <c r="F385" s="95">
        <v>14372</v>
      </c>
      <c r="G385" s="96">
        <v>3103</v>
      </c>
      <c r="H385" s="96">
        <v>11269</v>
      </c>
      <c r="I385" s="97" t="s">
        <v>202</v>
      </c>
    </row>
    <row r="386" spans="1:9" ht="15" x14ac:dyDescent="0.25">
      <c r="A386" s="92">
        <v>44274</v>
      </c>
      <c r="B386" s="95">
        <v>13204</v>
      </c>
      <c r="C386" s="95">
        <v>1937</v>
      </c>
      <c r="D386" s="106">
        <f t="shared" si="0"/>
        <v>11267</v>
      </c>
      <c r="E386" s="107">
        <f t="shared" si="1"/>
        <v>0.14669797031202667</v>
      </c>
      <c r="F386" s="95">
        <v>16506</v>
      </c>
      <c r="G386" s="96">
        <v>3572</v>
      </c>
      <c r="H386" s="96">
        <v>12934</v>
      </c>
      <c r="I386" s="97" t="s">
        <v>202</v>
      </c>
    </row>
    <row r="387" spans="1:9" ht="15" x14ac:dyDescent="0.25">
      <c r="A387" s="92">
        <v>44275</v>
      </c>
      <c r="B387" s="95">
        <v>10562</v>
      </c>
      <c r="C387" s="95">
        <v>1638</v>
      </c>
      <c r="D387" s="106">
        <f t="shared" si="0"/>
        <v>8924</v>
      </c>
      <c r="E387" s="107">
        <f t="shared" si="1"/>
        <v>0.15508426434387426</v>
      </c>
      <c r="F387" s="95">
        <v>13240</v>
      </c>
      <c r="G387" s="96">
        <v>3137</v>
      </c>
      <c r="H387" s="96">
        <v>10103</v>
      </c>
      <c r="I387" s="97" t="s">
        <v>241</v>
      </c>
    </row>
    <row r="388" spans="1:9" ht="15" x14ac:dyDescent="0.25">
      <c r="A388" s="92">
        <v>44276</v>
      </c>
      <c r="B388" s="95">
        <v>8728</v>
      </c>
      <c r="C388" s="95">
        <v>1474</v>
      </c>
      <c r="D388" s="106">
        <f t="shared" si="0"/>
        <v>7254</v>
      </c>
      <c r="E388" s="107">
        <f t="shared" si="1"/>
        <v>0.16888175985334555</v>
      </c>
      <c r="F388" s="103">
        <v>10911</v>
      </c>
      <c r="G388" s="114">
        <v>2093</v>
      </c>
      <c r="H388" s="114">
        <f>F388-G388</f>
        <v>8818</v>
      </c>
      <c r="I388" s="115">
        <f>G388/F388</f>
        <v>0.19182476399963339</v>
      </c>
    </row>
    <row r="389" spans="1:9" ht="15" x14ac:dyDescent="0.25">
      <c r="A389" s="92">
        <v>44277</v>
      </c>
      <c r="B389" s="95">
        <v>10242</v>
      </c>
      <c r="C389" s="95">
        <v>815</v>
      </c>
      <c r="D389" s="106">
        <f t="shared" si="0"/>
        <v>9427</v>
      </c>
      <c r="E389" s="107">
        <f t="shared" si="1"/>
        <v>7.9574301894161301E-2</v>
      </c>
      <c r="F389" s="95">
        <v>13132</v>
      </c>
      <c r="G389" s="96">
        <v>2977</v>
      </c>
      <c r="H389" s="96">
        <v>10155</v>
      </c>
      <c r="I389" s="97" t="s">
        <v>232</v>
      </c>
    </row>
    <row r="390" spans="1:9" ht="15" x14ac:dyDescent="0.25">
      <c r="A390" s="92">
        <v>44278</v>
      </c>
      <c r="B390" s="95">
        <v>16096</v>
      </c>
      <c r="C390" s="95">
        <v>890</v>
      </c>
      <c r="D390" s="106">
        <f t="shared" si="0"/>
        <v>15206</v>
      </c>
      <c r="E390" s="107">
        <f t="shared" si="1"/>
        <v>5.5293240556660038E-2</v>
      </c>
      <c r="F390" s="103">
        <v>20120</v>
      </c>
      <c r="G390" s="114">
        <v>4133</v>
      </c>
      <c r="H390" s="114">
        <v>15987</v>
      </c>
      <c r="I390" s="115" t="s">
        <v>108</v>
      </c>
    </row>
    <row r="391" spans="1:9" ht="15" x14ac:dyDescent="0.25">
      <c r="A391" s="92">
        <v>44279</v>
      </c>
      <c r="B391" s="95">
        <v>12742</v>
      </c>
      <c r="C391" s="95">
        <v>1726</v>
      </c>
      <c r="D391" s="106">
        <f t="shared" si="0"/>
        <v>11016</v>
      </c>
      <c r="E391" s="107">
        <f t="shared" si="1"/>
        <v>0.13545754198712917</v>
      </c>
      <c r="F391" s="103">
        <v>15928</v>
      </c>
      <c r="G391" s="114">
        <v>3326</v>
      </c>
      <c r="H391" s="114">
        <v>12602</v>
      </c>
      <c r="I391" s="115" t="s">
        <v>235</v>
      </c>
    </row>
    <row r="392" spans="1:9" ht="15" x14ac:dyDescent="0.25">
      <c r="A392" s="92">
        <v>44280</v>
      </c>
      <c r="B392" s="95">
        <v>13080</v>
      </c>
      <c r="C392" s="95">
        <v>1381</v>
      </c>
      <c r="D392" s="106">
        <f t="shared" si="0"/>
        <v>11699</v>
      </c>
      <c r="E392" s="107">
        <f t="shared" si="1"/>
        <v>0.10558103975535169</v>
      </c>
      <c r="F392" s="103">
        <v>16350</v>
      </c>
      <c r="G392" s="114">
        <v>3064</v>
      </c>
      <c r="H392" s="114">
        <v>13286</v>
      </c>
      <c r="I392" s="115" t="s">
        <v>201</v>
      </c>
    </row>
    <row r="393" spans="1:9" ht="15" x14ac:dyDescent="0.25">
      <c r="A393" s="92">
        <v>44281</v>
      </c>
      <c r="B393" s="95">
        <v>13086</v>
      </c>
      <c r="C393" s="95">
        <v>1354</v>
      </c>
      <c r="D393" s="106">
        <f t="shared" si="0"/>
        <v>11732</v>
      </c>
      <c r="E393" s="107">
        <f t="shared" si="1"/>
        <v>0.10346935656426716</v>
      </c>
      <c r="F393" s="95">
        <v>16714</v>
      </c>
      <c r="G393" s="96">
        <v>3259</v>
      </c>
      <c r="H393" s="96">
        <v>13455</v>
      </c>
      <c r="I393" s="97" t="s">
        <v>301</v>
      </c>
    </row>
    <row r="394" spans="1:9" ht="15" x14ac:dyDescent="0.25">
      <c r="A394" s="92">
        <v>44282</v>
      </c>
      <c r="B394" s="95">
        <v>12292</v>
      </c>
      <c r="C394" s="95">
        <v>1470</v>
      </c>
      <c r="D394" s="106">
        <f t="shared" si="0"/>
        <v>10822</v>
      </c>
      <c r="E394" s="107">
        <f t="shared" si="1"/>
        <v>0.11958997722095673</v>
      </c>
      <c r="F394" s="103">
        <v>15365</v>
      </c>
      <c r="G394" s="114">
        <v>2520</v>
      </c>
      <c r="H394" s="114">
        <v>12845</v>
      </c>
      <c r="I394" s="115" t="s">
        <v>199</v>
      </c>
    </row>
    <row r="395" spans="1:9" ht="15" x14ac:dyDescent="0.25">
      <c r="A395" s="92">
        <v>44283</v>
      </c>
      <c r="B395" s="95">
        <v>7497</v>
      </c>
      <c r="C395" s="95">
        <v>1014</v>
      </c>
      <c r="D395" s="106">
        <f t="shared" si="0"/>
        <v>6483</v>
      </c>
      <c r="E395" s="107">
        <f t="shared" si="1"/>
        <v>0.13525410164065627</v>
      </c>
      <c r="F395" s="95">
        <v>9372</v>
      </c>
      <c r="G395" s="96">
        <v>1373</v>
      </c>
      <c r="H395" s="96">
        <f>F395-G395</f>
        <v>7999</v>
      </c>
      <c r="I395" s="97">
        <f>G395/F395</f>
        <v>0.14650021340162186</v>
      </c>
    </row>
    <row r="396" spans="1:9" ht="15" x14ac:dyDescent="0.25">
      <c r="A396" s="92">
        <v>44284</v>
      </c>
      <c r="B396" s="95">
        <v>11412</v>
      </c>
      <c r="C396" s="95">
        <v>384</v>
      </c>
      <c r="D396" s="106">
        <f t="shared" si="0"/>
        <v>11028</v>
      </c>
      <c r="E396" s="107">
        <f t="shared" si="1"/>
        <v>3.3648790746582544E-2</v>
      </c>
      <c r="F396" s="95">
        <v>14632</v>
      </c>
      <c r="G396" s="96">
        <v>2722</v>
      </c>
      <c r="H396" s="96">
        <v>11910</v>
      </c>
      <c r="I396" s="97" t="s">
        <v>302</v>
      </c>
    </row>
    <row r="397" spans="1:9" ht="15" x14ac:dyDescent="0.25">
      <c r="A397" s="92">
        <v>44285</v>
      </c>
      <c r="B397" s="95">
        <v>13420</v>
      </c>
      <c r="C397" s="95">
        <v>965</v>
      </c>
      <c r="D397" s="106">
        <f t="shared" si="0"/>
        <v>12455</v>
      </c>
      <c r="E397" s="107">
        <f t="shared" si="1"/>
        <v>7.1907600596125193E-2</v>
      </c>
      <c r="F397" s="103">
        <v>16366</v>
      </c>
      <c r="G397" s="114">
        <v>3120</v>
      </c>
      <c r="H397" s="114">
        <v>13246</v>
      </c>
      <c r="I397" s="115" t="s">
        <v>213</v>
      </c>
    </row>
    <row r="398" spans="1:9" ht="15" x14ac:dyDescent="0.25">
      <c r="A398" s="92">
        <v>44286</v>
      </c>
      <c r="B398" s="95">
        <v>12124</v>
      </c>
      <c r="C398" s="95">
        <v>1337</v>
      </c>
      <c r="D398" s="106">
        <f t="shared" si="0"/>
        <v>10787</v>
      </c>
      <c r="E398" s="107">
        <f t="shared" si="1"/>
        <v>0.11027713625866051</v>
      </c>
      <c r="F398" s="103">
        <v>15156</v>
      </c>
      <c r="G398" s="114">
        <v>2822</v>
      </c>
      <c r="H398" s="114">
        <v>12334</v>
      </c>
      <c r="I398" s="115" t="s">
        <v>302</v>
      </c>
    </row>
    <row r="399" spans="1:9" ht="15" x14ac:dyDescent="0.25">
      <c r="A399" s="92">
        <v>44287</v>
      </c>
      <c r="B399" s="95">
        <v>11141</v>
      </c>
      <c r="C399" s="95">
        <v>1240</v>
      </c>
      <c r="D399" s="106">
        <f t="shared" si="0"/>
        <v>9901</v>
      </c>
      <c r="E399" s="107">
        <f t="shared" si="1"/>
        <v>0.11130060138228166</v>
      </c>
      <c r="F399" s="103">
        <v>13927</v>
      </c>
      <c r="G399" s="114">
        <v>2485</v>
      </c>
      <c r="H399" s="114">
        <v>11442</v>
      </c>
      <c r="I399" s="115" t="s">
        <v>188</v>
      </c>
    </row>
    <row r="400" spans="1:9" ht="15" x14ac:dyDescent="0.25">
      <c r="A400" s="92">
        <v>44288</v>
      </c>
      <c r="B400" s="95">
        <v>7516</v>
      </c>
      <c r="C400" s="95">
        <v>1098</v>
      </c>
      <c r="D400" s="106">
        <f t="shared" si="0"/>
        <v>6418</v>
      </c>
      <c r="E400" s="107">
        <f t="shared" si="1"/>
        <v>0.14608834486428951</v>
      </c>
      <c r="F400" s="95">
        <v>9396</v>
      </c>
      <c r="G400" s="96">
        <v>1478</v>
      </c>
      <c r="H400" s="96">
        <f>F400-G400</f>
        <v>7918</v>
      </c>
      <c r="I400" s="97">
        <f>G400/F400</f>
        <v>0.15730097914005961</v>
      </c>
    </row>
    <row r="401" spans="1:9" ht="15" x14ac:dyDescent="0.25">
      <c r="A401" s="92">
        <v>44289</v>
      </c>
      <c r="B401" s="95">
        <v>7694</v>
      </c>
      <c r="C401" s="95">
        <v>736</v>
      </c>
      <c r="D401" s="106">
        <f t="shared" si="0"/>
        <v>6958</v>
      </c>
      <c r="E401" s="107">
        <f t="shared" si="1"/>
        <v>9.5658955029893425E-2</v>
      </c>
      <c r="F401" s="103">
        <v>10124</v>
      </c>
      <c r="G401" s="114">
        <v>1744</v>
      </c>
      <c r="H401" s="114">
        <v>8380</v>
      </c>
      <c r="I401" s="115" t="s">
        <v>206</v>
      </c>
    </row>
    <row r="402" spans="1:9" ht="15" x14ac:dyDescent="0.25">
      <c r="A402" s="92">
        <v>44290</v>
      </c>
      <c r="B402" s="95">
        <v>7333</v>
      </c>
      <c r="C402" s="95">
        <v>523</v>
      </c>
      <c r="D402" s="106">
        <f t="shared" si="0"/>
        <v>6810</v>
      </c>
      <c r="E402" s="107">
        <f t="shared" si="1"/>
        <v>7.1321423701077316E-2</v>
      </c>
      <c r="F402" s="103">
        <v>9778</v>
      </c>
      <c r="G402" s="104">
        <v>1785</v>
      </c>
      <c r="H402" s="104">
        <f>F402-G402</f>
        <v>7993</v>
      </c>
      <c r="I402" s="105">
        <f>G402/F402</f>
        <v>0.18255266925751687</v>
      </c>
    </row>
    <row r="403" spans="1:9" ht="15" x14ac:dyDescent="0.25">
      <c r="A403" s="92">
        <v>44291</v>
      </c>
      <c r="B403" s="95">
        <v>12620</v>
      </c>
      <c r="C403" s="95">
        <v>487</v>
      </c>
      <c r="D403" s="106">
        <f t="shared" si="0"/>
        <v>12133</v>
      </c>
      <c r="E403" s="107">
        <f t="shared" si="1"/>
        <v>3.8589540412044376E-2</v>
      </c>
      <c r="F403" s="95">
        <v>15776</v>
      </c>
      <c r="G403" s="96">
        <v>2821</v>
      </c>
      <c r="H403" s="96">
        <v>12955</v>
      </c>
      <c r="I403" s="97">
        <v>0.17899999999999999</v>
      </c>
    </row>
    <row r="404" spans="1:9" ht="15" x14ac:dyDescent="0.25">
      <c r="A404" s="92">
        <v>44292</v>
      </c>
      <c r="B404" s="95">
        <v>12096</v>
      </c>
      <c r="C404" s="95">
        <v>862</v>
      </c>
      <c r="D404" s="106">
        <f t="shared" si="0"/>
        <v>11234</v>
      </c>
      <c r="E404" s="107">
        <f t="shared" si="1"/>
        <v>7.1263227513227514E-2</v>
      </c>
      <c r="F404" s="95">
        <v>15918</v>
      </c>
      <c r="G404" s="96">
        <v>2688</v>
      </c>
      <c r="H404" s="96">
        <v>13230</v>
      </c>
      <c r="I404" s="97" t="s">
        <v>117</v>
      </c>
    </row>
    <row r="405" spans="1:9" ht="15" x14ac:dyDescent="0.25">
      <c r="A405" s="92">
        <v>44293</v>
      </c>
      <c r="B405" s="95">
        <v>9603</v>
      </c>
      <c r="C405" s="95">
        <v>1239</v>
      </c>
      <c r="D405" s="106">
        <f t="shared" si="0"/>
        <v>8364</v>
      </c>
      <c r="E405" s="107">
        <f t="shared" si="1"/>
        <v>0.12902218056857231</v>
      </c>
      <c r="F405" s="95">
        <v>13296</v>
      </c>
      <c r="G405" s="96">
        <v>2307</v>
      </c>
      <c r="H405" s="96">
        <v>10989</v>
      </c>
      <c r="I405" s="97" t="s">
        <v>221</v>
      </c>
    </row>
    <row r="406" spans="1:9" ht="15" x14ac:dyDescent="0.25">
      <c r="A406" s="92">
        <v>44294</v>
      </c>
      <c r="B406" s="95">
        <v>10548</v>
      </c>
      <c r="C406" s="95">
        <v>1013</v>
      </c>
      <c r="D406" s="106">
        <f t="shared" si="0"/>
        <v>9535</v>
      </c>
      <c r="E406" s="107">
        <f t="shared" si="1"/>
        <v>9.6037163443306789E-2</v>
      </c>
      <c r="F406" s="95">
        <v>16708</v>
      </c>
      <c r="G406" s="96">
        <v>2363</v>
      </c>
      <c r="H406" s="96">
        <v>14345</v>
      </c>
      <c r="I406" s="97" t="s">
        <v>183</v>
      </c>
    </row>
    <row r="407" spans="1:9" ht="15" x14ac:dyDescent="0.25">
      <c r="A407" s="92">
        <v>44295</v>
      </c>
      <c r="B407" s="95">
        <v>10442</v>
      </c>
      <c r="C407" s="95">
        <v>977</v>
      </c>
      <c r="D407" s="106">
        <f t="shared" si="0"/>
        <v>9465</v>
      </c>
      <c r="E407" s="107">
        <f t="shared" si="1"/>
        <v>9.356445125454893E-2</v>
      </c>
      <c r="F407" s="95">
        <v>16208</v>
      </c>
      <c r="G407" s="96">
        <v>2356</v>
      </c>
      <c r="H407" s="96">
        <v>13852</v>
      </c>
      <c r="I407" s="97" t="s">
        <v>217</v>
      </c>
    </row>
    <row r="408" spans="1:9" ht="15" x14ac:dyDescent="0.25">
      <c r="A408" s="92">
        <v>44296</v>
      </c>
      <c r="B408" s="95">
        <v>8868</v>
      </c>
      <c r="C408" s="95">
        <v>1031</v>
      </c>
      <c r="D408" s="106">
        <f t="shared" si="0"/>
        <v>7837</v>
      </c>
      <c r="E408" s="107">
        <f t="shared" si="1"/>
        <v>0.11626071267478574</v>
      </c>
      <c r="F408" s="95">
        <v>14245</v>
      </c>
      <c r="G408" s="96">
        <v>1818</v>
      </c>
      <c r="H408" s="96">
        <v>12427</v>
      </c>
      <c r="I408" s="97" t="s">
        <v>226</v>
      </c>
    </row>
    <row r="409" spans="1:9" ht="15" x14ac:dyDescent="0.25">
      <c r="A409" s="92">
        <v>44297</v>
      </c>
      <c r="B409" s="95">
        <v>7265</v>
      </c>
      <c r="C409" s="95">
        <v>692</v>
      </c>
      <c r="D409" s="106">
        <f t="shared" si="0"/>
        <v>6573</v>
      </c>
      <c r="E409" s="107">
        <f t="shared" si="1"/>
        <v>9.5251204404679976E-2</v>
      </c>
      <c r="F409" s="103">
        <v>9082</v>
      </c>
      <c r="G409" s="104">
        <v>1213</v>
      </c>
      <c r="H409" s="104">
        <f>F409-G409</f>
        <v>7869</v>
      </c>
      <c r="I409" s="105">
        <f>G409/F409</f>
        <v>0.13356088967187843</v>
      </c>
    </row>
    <row r="410" spans="1:9" ht="15" x14ac:dyDescent="0.25">
      <c r="A410" s="92">
        <v>44298</v>
      </c>
      <c r="B410" s="95">
        <v>7576</v>
      </c>
      <c r="C410" s="95">
        <v>828</v>
      </c>
      <c r="D410" s="106">
        <f t="shared" si="0"/>
        <v>6748</v>
      </c>
      <c r="E410" s="107">
        <f t="shared" si="1"/>
        <v>0.10929250263991552</v>
      </c>
      <c r="F410" s="95">
        <v>14487</v>
      </c>
      <c r="G410" s="96">
        <v>2357</v>
      </c>
      <c r="H410" s="96">
        <v>12130</v>
      </c>
      <c r="I410" s="97" t="s">
        <v>192</v>
      </c>
    </row>
    <row r="411" spans="1:9" ht="15" x14ac:dyDescent="0.25">
      <c r="A411" s="92">
        <v>44299</v>
      </c>
      <c r="B411" s="95">
        <v>12934</v>
      </c>
      <c r="C411" s="95">
        <v>661</v>
      </c>
      <c r="D411" s="106">
        <f t="shared" si="0"/>
        <v>12273</v>
      </c>
      <c r="E411" s="107">
        <f t="shared" si="1"/>
        <v>5.1105613112726149E-2</v>
      </c>
      <c r="F411" s="103">
        <v>20115</v>
      </c>
      <c r="G411" s="114">
        <v>3460</v>
      </c>
      <c r="H411" s="114">
        <v>16655</v>
      </c>
      <c r="I411" s="115" t="s">
        <v>206</v>
      </c>
    </row>
    <row r="412" spans="1:9" ht="15" x14ac:dyDescent="0.25">
      <c r="A412" s="92">
        <v>44300</v>
      </c>
      <c r="B412" s="95">
        <v>10673</v>
      </c>
      <c r="C412" s="95">
        <v>1330</v>
      </c>
      <c r="D412" s="106">
        <f t="shared" si="0"/>
        <v>9343</v>
      </c>
      <c r="E412" s="107">
        <f t="shared" si="1"/>
        <v>0.12461351072800525</v>
      </c>
      <c r="F412" s="95">
        <v>16048</v>
      </c>
      <c r="G412" s="96">
        <v>2723</v>
      </c>
      <c r="H412" s="96">
        <v>13325</v>
      </c>
      <c r="I412" s="97" t="s">
        <v>223</v>
      </c>
    </row>
    <row r="413" spans="1:9" ht="15" x14ac:dyDescent="0.25">
      <c r="A413" s="92">
        <v>44301</v>
      </c>
      <c r="B413" s="95">
        <v>11191</v>
      </c>
      <c r="C413" s="95">
        <v>979</v>
      </c>
      <c r="D413" s="106">
        <f t="shared" si="0"/>
        <v>10212</v>
      </c>
      <c r="E413" s="107">
        <f t="shared" si="1"/>
        <v>8.7481011527120012E-2</v>
      </c>
      <c r="F413" s="103">
        <v>16409</v>
      </c>
      <c r="G413" s="114">
        <v>2576</v>
      </c>
      <c r="H413" s="114">
        <v>13833</v>
      </c>
      <c r="I413" s="115" t="s">
        <v>214</v>
      </c>
    </row>
    <row r="414" spans="1:9" ht="15" x14ac:dyDescent="0.25">
      <c r="A414" s="92">
        <v>44302</v>
      </c>
      <c r="B414" s="95">
        <v>10823</v>
      </c>
      <c r="C414" s="95">
        <v>1037</v>
      </c>
      <c r="D414" s="106">
        <f t="shared" si="0"/>
        <v>9786</v>
      </c>
      <c r="E414" s="107">
        <f t="shared" si="1"/>
        <v>9.581446918599279E-2</v>
      </c>
      <c r="F414" s="103">
        <v>14451</v>
      </c>
      <c r="G414" s="114">
        <v>2115</v>
      </c>
      <c r="H414" s="114">
        <v>12336</v>
      </c>
      <c r="I414" s="115" t="s">
        <v>303</v>
      </c>
    </row>
    <row r="415" spans="1:9" ht="15" x14ac:dyDescent="0.25">
      <c r="A415" s="92">
        <v>44303</v>
      </c>
      <c r="B415" s="95">
        <v>6749</v>
      </c>
      <c r="C415" s="95">
        <v>950</v>
      </c>
      <c r="D415" s="106">
        <f t="shared" si="0"/>
        <v>5799</v>
      </c>
      <c r="E415" s="107">
        <f t="shared" si="1"/>
        <v>0.14076159431026819</v>
      </c>
      <c r="F415" s="103">
        <v>11844</v>
      </c>
      <c r="G415" s="114">
        <v>1964</v>
      </c>
      <c r="H415" s="114">
        <v>9880</v>
      </c>
      <c r="I415" s="115" t="s">
        <v>218</v>
      </c>
    </row>
    <row r="416" spans="1:9" ht="15" x14ac:dyDescent="0.25">
      <c r="A416" s="92">
        <v>44304</v>
      </c>
      <c r="B416" s="95">
        <v>8565</v>
      </c>
      <c r="C416" s="95">
        <v>973</v>
      </c>
      <c r="D416" s="106">
        <f t="shared" si="0"/>
        <v>7592</v>
      </c>
      <c r="E416" s="107">
        <f t="shared" si="1"/>
        <v>0.11360186806771745</v>
      </c>
      <c r="F416" s="103">
        <v>11099</v>
      </c>
      <c r="G416" s="114">
        <v>1551</v>
      </c>
      <c r="H416" s="114">
        <v>9548</v>
      </c>
      <c r="I416" s="115" t="s">
        <v>124</v>
      </c>
    </row>
    <row r="417" spans="1:9" ht="15" x14ac:dyDescent="0.25">
      <c r="A417" s="92">
        <v>44305</v>
      </c>
      <c r="B417" s="95">
        <v>8601</v>
      </c>
      <c r="C417" s="95">
        <v>460</v>
      </c>
      <c r="D417" s="106">
        <f t="shared" si="0"/>
        <v>8141</v>
      </c>
      <c r="E417" s="107">
        <f t="shared" si="1"/>
        <v>5.3482153237995579E-2</v>
      </c>
      <c r="F417" s="95">
        <v>13690</v>
      </c>
      <c r="G417" s="96">
        <v>2083</v>
      </c>
      <c r="H417" s="96">
        <v>11607</v>
      </c>
      <c r="I417" s="97" t="s">
        <v>184</v>
      </c>
    </row>
    <row r="418" spans="1:9" ht="15" x14ac:dyDescent="0.25">
      <c r="A418" s="92">
        <v>44306</v>
      </c>
      <c r="B418" s="95">
        <v>11434</v>
      </c>
      <c r="C418" s="95">
        <v>602</v>
      </c>
      <c r="D418" s="106">
        <f t="shared" si="0"/>
        <v>10832</v>
      </c>
      <c r="E418" s="107">
        <f t="shared" si="1"/>
        <v>5.2649991254154274E-2</v>
      </c>
      <c r="F418" s="103">
        <v>14525</v>
      </c>
      <c r="G418" s="104">
        <v>2487</v>
      </c>
      <c r="H418" s="104">
        <v>12038</v>
      </c>
      <c r="I418" s="105" t="s">
        <v>224</v>
      </c>
    </row>
    <row r="419" spans="1:9" ht="15" x14ac:dyDescent="0.25">
      <c r="A419" s="92">
        <v>44307</v>
      </c>
      <c r="B419" s="95">
        <v>10519</v>
      </c>
      <c r="C419" s="95">
        <v>1266</v>
      </c>
      <c r="D419" s="106">
        <f t="shared" si="0"/>
        <v>9253</v>
      </c>
      <c r="E419" s="107">
        <f t="shared" si="1"/>
        <v>0.12035364578381975</v>
      </c>
      <c r="F419" s="95">
        <v>12904</v>
      </c>
      <c r="G419" s="96">
        <v>1863</v>
      </c>
      <c r="H419" s="96">
        <v>11041</v>
      </c>
      <c r="I419" s="97" t="s">
        <v>127</v>
      </c>
    </row>
    <row r="420" spans="1:9" ht="15" x14ac:dyDescent="0.25">
      <c r="A420" s="92">
        <v>44308</v>
      </c>
      <c r="B420" s="95">
        <v>8671</v>
      </c>
      <c r="C420" s="95">
        <v>884</v>
      </c>
      <c r="D420" s="106">
        <f t="shared" si="0"/>
        <v>7787</v>
      </c>
      <c r="E420" s="107">
        <f t="shared" si="1"/>
        <v>0.10194902548725637</v>
      </c>
      <c r="F420" s="95">
        <v>13863</v>
      </c>
      <c r="G420" s="96">
        <v>2054</v>
      </c>
      <c r="H420" s="96">
        <v>11809</v>
      </c>
      <c r="I420" s="97" t="s">
        <v>220</v>
      </c>
    </row>
    <row r="421" spans="1:9" ht="15" x14ac:dyDescent="0.25">
      <c r="A421" s="92">
        <v>44309</v>
      </c>
      <c r="B421" s="95">
        <v>9747</v>
      </c>
      <c r="C421" s="95">
        <v>907</v>
      </c>
      <c r="D421" s="106">
        <f t="shared" si="0"/>
        <v>8840</v>
      </c>
      <c r="E421" s="107">
        <f t="shared" si="1"/>
        <v>9.3054273109674776E-2</v>
      </c>
      <c r="F421" s="95">
        <v>14348</v>
      </c>
      <c r="G421" s="96">
        <v>2382</v>
      </c>
      <c r="H421" s="96">
        <v>11966</v>
      </c>
      <c r="I421" s="97" t="s">
        <v>218</v>
      </c>
    </row>
    <row r="422" spans="1:9" ht="15" x14ac:dyDescent="0.25">
      <c r="A422" s="92">
        <v>44310</v>
      </c>
      <c r="B422" s="95">
        <v>7851</v>
      </c>
      <c r="C422" s="95">
        <v>896</v>
      </c>
      <c r="D422" s="106">
        <f t="shared" si="0"/>
        <v>6955</v>
      </c>
      <c r="E422" s="107">
        <f t="shared" si="1"/>
        <v>0.11412558909693032</v>
      </c>
      <c r="F422" s="95">
        <v>13980</v>
      </c>
      <c r="G422" s="96">
        <v>2245</v>
      </c>
      <c r="H422" s="96">
        <v>11735</v>
      </c>
      <c r="I422" s="97">
        <v>0.161</v>
      </c>
    </row>
    <row r="423" spans="1:9" ht="15" x14ac:dyDescent="0.25">
      <c r="A423" s="92">
        <v>44311</v>
      </c>
      <c r="B423" s="95">
        <v>6846</v>
      </c>
      <c r="C423" s="95">
        <v>749</v>
      </c>
      <c r="D423" s="106">
        <f t="shared" si="0"/>
        <v>6097</v>
      </c>
      <c r="E423" s="107">
        <f t="shared" si="1"/>
        <v>0.10940695296523517</v>
      </c>
      <c r="F423" s="95">
        <v>8558</v>
      </c>
      <c r="G423" s="96">
        <v>1480</v>
      </c>
      <c r="H423" s="96">
        <f>F423-G423</f>
        <v>7078</v>
      </c>
      <c r="I423" s="97">
        <f>G423/F423</f>
        <v>0.17293760224351484</v>
      </c>
    </row>
    <row r="424" spans="1:9" ht="15" x14ac:dyDescent="0.25">
      <c r="A424" s="92">
        <v>44312</v>
      </c>
      <c r="B424" s="95">
        <v>7856</v>
      </c>
      <c r="C424" s="95">
        <v>393</v>
      </c>
      <c r="D424" s="106">
        <f t="shared" si="0"/>
        <v>7463</v>
      </c>
      <c r="E424" s="107">
        <f t="shared" si="1"/>
        <v>5.0025458248472508E-2</v>
      </c>
      <c r="F424" s="95">
        <v>14746</v>
      </c>
      <c r="G424" s="96">
        <v>2253</v>
      </c>
      <c r="H424" s="96">
        <v>12493</v>
      </c>
      <c r="I424" s="97">
        <v>0.153</v>
      </c>
    </row>
    <row r="425" spans="1:9" ht="15" x14ac:dyDescent="0.25">
      <c r="A425" s="92">
        <v>44313</v>
      </c>
      <c r="B425" s="95">
        <v>10830</v>
      </c>
      <c r="C425" s="95">
        <v>639</v>
      </c>
      <c r="D425" s="106">
        <f t="shared" si="0"/>
        <v>10191</v>
      </c>
      <c r="E425" s="107">
        <f t="shared" si="1"/>
        <v>5.9002770083102493E-2</v>
      </c>
      <c r="F425" s="95">
        <v>14992</v>
      </c>
      <c r="G425" s="96">
        <v>2325</v>
      </c>
      <c r="H425" s="96">
        <v>12667</v>
      </c>
      <c r="I425" s="97">
        <v>0.155</v>
      </c>
    </row>
    <row r="426" spans="1:9" ht="15" x14ac:dyDescent="0.25">
      <c r="A426" s="92">
        <v>44314</v>
      </c>
      <c r="B426" s="95">
        <v>9559</v>
      </c>
      <c r="C426" s="95">
        <v>987</v>
      </c>
      <c r="D426" s="106">
        <f t="shared" si="0"/>
        <v>8572</v>
      </c>
      <c r="E426" s="107">
        <f t="shared" si="1"/>
        <v>0.10325347839732189</v>
      </c>
      <c r="F426" s="95">
        <v>12120</v>
      </c>
      <c r="G426" s="96">
        <v>1863</v>
      </c>
      <c r="H426" s="96">
        <v>10257</v>
      </c>
      <c r="I426" s="97">
        <v>0.154</v>
      </c>
    </row>
    <row r="427" spans="1:9" ht="15" x14ac:dyDescent="0.25">
      <c r="A427" s="92">
        <v>44315</v>
      </c>
      <c r="B427" s="95">
        <v>9712</v>
      </c>
      <c r="C427" s="95">
        <v>789</v>
      </c>
      <c r="D427" s="106">
        <f t="shared" si="0"/>
        <v>8923</v>
      </c>
      <c r="E427" s="107">
        <f t="shared" si="1"/>
        <v>8.1239703459637561E-2</v>
      </c>
      <c r="F427" s="95">
        <v>14576</v>
      </c>
      <c r="G427" s="96">
        <v>2600</v>
      </c>
      <c r="H427" s="96">
        <v>11976</v>
      </c>
      <c r="I427" s="97">
        <v>0.17799999999999999</v>
      </c>
    </row>
    <row r="428" spans="1:9" ht="15" x14ac:dyDescent="0.25">
      <c r="A428" s="92">
        <v>44316</v>
      </c>
      <c r="B428" s="95">
        <v>9962</v>
      </c>
      <c r="C428" s="95">
        <v>926</v>
      </c>
      <c r="D428" s="106">
        <f t="shared" si="0"/>
        <v>9036</v>
      </c>
      <c r="E428" s="107">
        <f t="shared" si="1"/>
        <v>9.2953222244529204E-2</v>
      </c>
      <c r="F428" s="95">
        <v>17048</v>
      </c>
      <c r="G428" s="96">
        <v>2163</v>
      </c>
      <c r="H428" s="96">
        <v>14885</v>
      </c>
      <c r="I428" s="97">
        <v>0.127</v>
      </c>
    </row>
    <row r="429" spans="1:9" ht="15" x14ac:dyDescent="0.25">
      <c r="A429" s="92">
        <v>44317</v>
      </c>
      <c r="B429" s="95">
        <v>6957</v>
      </c>
      <c r="C429" s="95">
        <v>854</v>
      </c>
      <c r="D429" s="106">
        <f t="shared" si="0"/>
        <v>6103</v>
      </c>
      <c r="E429" s="107">
        <f t="shared" si="1"/>
        <v>0.12275406065832974</v>
      </c>
      <c r="F429" s="95">
        <v>11590</v>
      </c>
      <c r="G429" s="96">
        <v>2128</v>
      </c>
      <c r="H429" s="96">
        <v>9462</v>
      </c>
      <c r="I429" s="97">
        <v>0.184</v>
      </c>
    </row>
    <row r="430" spans="1:9" ht="15" x14ac:dyDescent="0.25">
      <c r="A430" s="92">
        <v>44318</v>
      </c>
      <c r="B430" s="95">
        <v>6765</v>
      </c>
      <c r="C430" s="95">
        <v>757</v>
      </c>
      <c r="D430" s="106">
        <f t="shared" si="0"/>
        <v>6008</v>
      </c>
      <c r="E430" s="107">
        <f t="shared" si="1"/>
        <v>0.11189948263118994</v>
      </c>
      <c r="F430" s="95">
        <v>9020</v>
      </c>
      <c r="G430" s="96">
        <v>888</v>
      </c>
      <c r="H430" s="96">
        <f>F430-G430</f>
        <v>8132</v>
      </c>
      <c r="I430" s="97">
        <f>G430/F430</f>
        <v>9.8447893569844791E-2</v>
      </c>
    </row>
    <row r="431" spans="1:9" ht="15" x14ac:dyDescent="0.25">
      <c r="A431" s="92">
        <v>44319</v>
      </c>
      <c r="B431" s="95">
        <v>8154</v>
      </c>
      <c r="C431" s="95">
        <v>416</v>
      </c>
      <c r="D431" s="106">
        <f t="shared" si="0"/>
        <v>7738</v>
      </c>
      <c r="E431" s="107">
        <f t="shared" si="1"/>
        <v>5.1017905322541086E-2</v>
      </c>
      <c r="F431" s="103">
        <v>17082</v>
      </c>
      <c r="G431" s="104">
        <v>2275</v>
      </c>
      <c r="H431" s="104">
        <v>14807</v>
      </c>
      <c r="I431" s="105">
        <v>0.13300000000000001</v>
      </c>
    </row>
    <row r="432" spans="1:9" ht="15" x14ac:dyDescent="0.25">
      <c r="A432" s="92">
        <v>44320</v>
      </c>
      <c r="B432" s="95">
        <v>10686</v>
      </c>
      <c r="C432" s="95">
        <v>845</v>
      </c>
      <c r="D432" s="106">
        <f t="shared" si="0"/>
        <v>9841</v>
      </c>
      <c r="E432" s="107">
        <f t="shared" si="1"/>
        <v>7.9075425790754258E-2</v>
      </c>
      <c r="F432" s="103">
        <v>17285</v>
      </c>
      <c r="G432" s="104">
        <v>2448</v>
      </c>
      <c r="H432" s="104">
        <v>14837</v>
      </c>
      <c r="I432" s="105">
        <v>0.14199999999999999</v>
      </c>
    </row>
    <row r="433" spans="1:9" ht="15" x14ac:dyDescent="0.25">
      <c r="A433" s="92">
        <v>44321</v>
      </c>
      <c r="B433" s="95">
        <v>11480</v>
      </c>
      <c r="C433" s="95">
        <v>905</v>
      </c>
      <c r="D433" s="106">
        <f t="shared" si="0"/>
        <v>10575</v>
      </c>
      <c r="E433" s="107">
        <f t="shared" si="1"/>
        <v>7.8832752613240423E-2</v>
      </c>
      <c r="F433" s="95">
        <v>16710</v>
      </c>
      <c r="G433" s="96">
        <v>2208</v>
      </c>
      <c r="H433" s="96">
        <v>14502</v>
      </c>
      <c r="I433" s="116" t="s">
        <v>130</v>
      </c>
    </row>
    <row r="434" spans="1:9" ht="15" x14ac:dyDescent="0.25">
      <c r="A434" s="92">
        <v>44322</v>
      </c>
      <c r="B434" s="95">
        <v>10752</v>
      </c>
      <c r="C434" s="95">
        <v>783</v>
      </c>
      <c r="D434" s="106">
        <f t="shared" si="0"/>
        <v>9969</v>
      </c>
      <c r="E434" s="107">
        <f t="shared" si="1"/>
        <v>7.2823660714285712E-2</v>
      </c>
      <c r="F434" s="95">
        <v>17747</v>
      </c>
      <c r="G434" s="96">
        <v>2114</v>
      </c>
      <c r="H434" s="96">
        <v>15633</v>
      </c>
      <c r="I434" s="116" t="s">
        <v>304</v>
      </c>
    </row>
    <row r="435" spans="1:9" ht="15" x14ac:dyDescent="0.25">
      <c r="A435" s="92">
        <v>44323</v>
      </c>
      <c r="B435" s="95">
        <v>9612</v>
      </c>
      <c r="C435" s="95">
        <v>732</v>
      </c>
      <c r="D435" s="106">
        <f t="shared" si="0"/>
        <v>8880</v>
      </c>
      <c r="E435" s="107">
        <f t="shared" si="1"/>
        <v>7.6154806491885149E-2</v>
      </c>
      <c r="F435" s="95">
        <v>15473</v>
      </c>
      <c r="G435" s="96">
        <v>2196</v>
      </c>
      <c r="H435" s="96">
        <v>13277</v>
      </c>
      <c r="I435" s="116" t="s">
        <v>305</v>
      </c>
    </row>
    <row r="436" spans="1:9" ht="15" x14ac:dyDescent="0.25">
      <c r="A436" s="92">
        <v>44324</v>
      </c>
      <c r="B436" s="95">
        <v>8206</v>
      </c>
      <c r="C436" s="95">
        <v>809</v>
      </c>
      <c r="D436" s="106">
        <f t="shared" si="0"/>
        <v>7397</v>
      </c>
      <c r="E436" s="107">
        <f t="shared" si="1"/>
        <v>9.8586400194979287E-2</v>
      </c>
      <c r="F436" s="95">
        <v>13267</v>
      </c>
      <c r="G436" s="96">
        <v>1968</v>
      </c>
      <c r="H436" s="96">
        <v>11299</v>
      </c>
      <c r="I436" s="116" t="s">
        <v>220</v>
      </c>
    </row>
    <row r="437" spans="1:9" ht="15" x14ac:dyDescent="0.25">
      <c r="A437" s="92">
        <v>44325</v>
      </c>
      <c r="B437" s="95">
        <v>6910</v>
      </c>
      <c r="C437" s="95">
        <v>694</v>
      </c>
      <c r="D437" s="106">
        <f t="shared" si="0"/>
        <v>6216</v>
      </c>
      <c r="E437" s="107">
        <f t="shared" si="1"/>
        <v>0.10043415340086831</v>
      </c>
      <c r="F437" s="117">
        <v>9872</v>
      </c>
      <c r="G437" s="117">
        <v>2004</v>
      </c>
      <c r="H437" s="117">
        <f>F437-G437</f>
        <v>7868</v>
      </c>
      <c r="I437" s="115">
        <f>G437/F437</f>
        <v>0.20299837925445705</v>
      </c>
    </row>
    <row r="438" spans="1:9" ht="15" x14ac:dyDescent="0.25">
      <c r="A438" s="92">
        <v>44326</v>
      </c>
      <c r="B438" s="95">
        <v>6139</v>
      </c>
      <c r="C438" s="95">
        <v>406</v>
      </c>
      <c r="D438" s="106">
        <f t="shared" si="0"/>
        <v>5733</v>
      </c>
      <c r="E438" s="107">
        <f t="shared" si="1"/>
        <v>6.6134549600912196E-2</v>
      </c>
      <c r="F438" s="95">
        <v>9997</v>
      </c>
      <c r="G438" s="96">
        <v>1711</v>
      </c>
      <c r="H438" s="96">
        <v>8286</v>
      </c>
      <c r="I438" s="116" t="s">
        <v>224</v>
      </c>
    </row>
    <row r="439" spans="1:9" ht="15" x14ac:dyDescent="0.25">
      <c r="A439" s="92">
        <v>44327</v>
      </c>
      <c r="B439" s="95">
        <v>8182</v>
      </c>
      <c r="C439" s="95">
        <v>656</v>
      </c>
      <c r="D439" s="106">
        <f t="shared" si="0"/>
        <v>7526</v>
      </c>
      <c r="E439" s="107">
        <f t="shared" si="1"/>
        <v>8.0175996088975798E-2</v>
      </c>
      <c r="F439" s="103">
        <v>11689</v>
      </c>
      <c r="G439" s="104">
        <v>1640</v>
      </c>
      <c r="H439" s="117">
        <v>10049</v>
      </c>
      <c r="I439" s="115" t="s">
        <v>306</v>
      </c>
    </row>
    <row r="440" spans="1:9" ht="15" x14ac:dyDescent="0.25">
      <c r="A440" s="92">
        <v>44328</v>
      </c>
      <c r="B440" s="95">
        <v>8229</v>
      </c>
      <c r="C440" s="95">
        <v>785</v>
      </c>
      <c r="D440" s="106">
        <f t="shared" si="0"/>
        <v>7444</v>
      </c>
      <c r="E440" s="107">
        <f t="shared" si="1"/>
        <v>9.5394337100498244E-2</v>
      </c>
      <c r="F440" s="103">
        <v>11757</v>
      </c>
      <c r="G440" s="104">
        <v>1730</v>
      </c>
      <c r="H440" s="117">
        <v>10027</v>
      </c>
      <c r="I440" s="115" t="s">
        <v>307</v>
      </c>
    </row>
    <row r="441" spans="1:9" ht="15" x14ac:dyDescent="0.25">
      <c r="A441" s="92">
        <v>44329</v>
      </c>
      <c r="B441" s="95">
        <v>4590</v>
      </c>
      <c r="C441" s="95">
        <v>632</v>
      </c>
      <c r="D441" s="106">
        <f t="shared" si="0"/>
        <v>3958</v>
      </c>
      <c r="E441" s="107">
        <f t="shared" si="1"/>
        <v>0.13769063180827887</v>
      </c>
      <c r="F441" s="103">
        <v>6121</v>
      </c>
      <c r="G441" s="114">
        <v>923</v>
      </c>
      <c r="H441" s="114">
        <f t="shared" ref="H441:H444" si="2">F441-G441</f>
        <v>5198</v>
      </c>
      <c r="I441" s="115">
        <f t="shared" ref="I441:I444" si="3">G441/F441</f>
        <v>0.15079235419049175</v>
      </c>
    </row>
    <row r="442" spans="1:9" ht="15" x14ac:dyDescent="0.25">
      <c r="A442" s="92">
        <v>44330</v>
      </c>
      <c r="B442" s="95">
        <v>4032</v>
      </c>
      <c r="C442" s="95">
        <v>227</v>
      </c>
      <c r="D442" s="106">
        <f t="shared" si="0"/>
        <v>3805</v>
      </c>
      <c r="E442" s="107">
        <f t="shared" si="1"/>
        <v>5.6299603174603176E-2</v>
      </c>
      <c r="F442" s="103">
        <v>6056</v>
      </c>
      <c r="G442" s="114">
        <v>912</v>
      </c>
      <c r="H442" s="114">
        <f t="shared" si="2"/>
        <v>5144</v>
      </c>
      <c r="I442" s="115">
        <f t="shared" si="3"/>
        <v>0.15059445178335534</v>
      </c>
    </row>
    <row r="443" spans="1:9" ht="15" x14ac:dyDescent="0.25">
      <c r="A443" s="92">
        <v>44331</v>
      </c>
      <c r="B443" s="95">
        <v>3580</v>
      </c>
      <c r="C443" s="95">
        <v>161</v>
      </c>
      <c r="D443" s="106">
        <f t="shared" si="0"/>
        <v>3419</v>
      </c>
      <c r="E443" s="107">
        <f t="shared" si="1"/>
        <v>4.4972067039106146E-2</v>
      </c>
      <c r="F443" s="103">
        <v>6125</v>
      </c>
      <c r="G443" s="104">
        <v>907</v>
      </c>
      <c r="H443" s="114">
        <f t="shared" si="2"/>
        <v>5218</v>
      </c>
      <c r="I443" s="115">
        <f t="shared" si="3"/>
        <v>0.14808163265306123</v>
      </c>
    </row>
    <row r="444" spans="1:9" ht="15" x14ac:dyDescent="0.25">
      <c r="A444" s="92">
        <v>44332</v>
      </c>
      <c r="B444" s="95">
        <v>4361</v>
      </c>
      <c r="C444" s="95">
        <v>421</v>
      </c>
      <c r="D444" s="118">
        <f t="shared" si="0"/>
        <v>3940</v>
      </c>
      <c r="E444" s="119">
        <f t="shared" si="1"/>
        <v>9.6537491401054804E-2</v>
      </c>
      <c r="F444" s="103">
        <v>6230</v>
      </c>
      <c r="G444" s="114">
        <v>930</v>
      </c>
      <c r="H444" s="114">
        <f t="shared" si="2"/>
        <v>5300</v>
      </c>
      <c r="I444" s="115">
        <f t="shared" si="3"/>
        <v>0.1492776886035313</v>
      </c>
    </row>
    <row r="445" spans="1:9" ht="15" x14ac:dyDescent="0.25">
      <c r="A445" s="92">
        <v>44333</v>
      </c>
      <c r="B445" s="95">
        <v>4131</v>
      </c>
      <c r="C445" s="95">
        <v>291</v>
      </c>
      <c r="D445" s="106">
        <f t="shared" si="0"/>
        <v>3840</v>
      </c>
      <c r="E445" s="107">
        <f t="shared" si="1"/>
        <v>7.0442992011619465E-2</v>
      </c>
      <c r="F445" s="95">
        <v>11350</v>
      </c>
      <c r="G445" s="96">
        <v>1400</v>
      </c>
      <c r="H445" s="96">
        <v>9950</v>
      </c>
      <c r="I445" s="116" t="s">
        <v>150</v>
      </c>
    </row>
    <row r="446" spans="1:9" ht="15" x14ac:dyDescent="0.25">
      <c r="A446" s="92">
        <v>44334</v>
      </c>
      <c r="B446" s="95">
        <v>4494</v>
      </c>
      <c r="C446" s="95">
        <v>539</v>
      </c>
      <c r="D446" s="106">
        <f t="shared" si="0"/>
        <v>3955</v>
      </c>
      <c r="E446" s="107">
        <f t="shared" si="1"/>
        <v>0.11993769470404984</v>
      </c>
      <c r="F446" s="103">
        <v>6421</v>
      </c>
      <c r="G446" s="104">
        <v>941</v>
      </c>
      <c r="H446" s="104">
        <v>9764</v>
      </c>
      <c r="I446" s="105" t="s">
        <v>126</v>
      </c>
    </row>
    <row r="447" spans="1:9" ht="15" x14ac:dyDescent="0.25">
      <c r="A447" s="92">
        <v>44335</v>
      </c>
      <c r="B447" s="95">
        <v>8307</v>
      </c>
      <c r="C447" s="95">
        <v>895</v>
      </c>
      <c r="D447" s="106">
        <f t="shared" si="0"/>
        <v>7412</v>
      </c>
      <c r="E447" s="107">
        <f t="shared" si="1"/>
        <v>0.10774045985313591</v>
      </c>
      <c r="F447" s="103">
        <v>10651</v>
      </c>
      <c r="G447" s="104">
        <v>1895</v>
      </c>
      <c r="H447" s="104">
        <f t="shared" ref="H447:H448" si="4">F447-G447</f>
        <v>8756</v>
      </c>
      <c r="I447" s="105">
        <f t="shared" ref="I447:I448" si="5">G447/F447</f>
        <v>0.17791756642568773</v>
      </c>
    </row>
    <row r="448" spans="1:9" ht="15" x14ac:dyDescent="0.25">
      <c r="A448" s="92">
        <v>44336</v>
      </c>
      <c r="B448" s="95">
        <v>8168</v>
      </c>
      <c r="C448" s="95">
        <v>856</v>
      </c>
      <c r="D448" s="106">
        <f t="shared" si="0"/>
        <v>7312</v>
      </c>
      <c r="E448" s="107">
        <f t="shared" si="1"/>
        <v>0.10479921645445642</v>
      </c>
      <c r="F448" s="103">
        <v>10473</v>
      </c>
      <c r="G448" s="104">
        <v>1646</v>
      </c>
      <c r="H448" s="104">
        <f t="shared" si="4"/>
        <v>8827</v>
      </c>
      <c r="I448" s="105">
        <f t="shared" si="5"/>
        <v>0.15716604602310705</v>
      </c>
    </row>
    <row r="449" spans="1:9" ht="15" x14ac:dyDescent="0.25">
      <c r="A449" s="92">
        <v>44337</v>
      </c>
      <c r="B449" s="95">
        <v>14265</v>
      </c>
      <c r="C449" s="95">
        <v>932</v>
      </c>
      <c r="D449" s="106">
        <f t="shared" si="0"/>
        <v>13333</v>
      </c>
      <c r="E449" s="107">
        <f t="shared" si="1"/>
        <v>6.5334735366281108E-2</v>
      </c>
      <c r="F449" s="95">
        <v>20379</v>
      </c>
      <c r="G449" s="96">
        <v>2184</v>
      </c>
      <c r="H449" s="96">
        <v>18195</v>
      </c>
      <c r="I449" s="116" t="s">
        <v>122</v>
      </c>
    </row>
    <row r="450" spans="1:9" ht="15" x14ac:dyDescent="0.25">
      <c r="A450" s="92">
        <v>44338</v>
      </c>
      <c r="B450" s="95">
        <v>8669</v>
      </c>
      <c r="C450" s="95">
        <v>867</v>
      </c>
      <c r="D450" s="106">
        <f t="shared" si="0"/>
        <v>7802</v>
      </c>
      <c r="E450" s="107">
        <f t="shared" si="1"/>
        <v>0.10001153535586572</v>
      </c>
      <c r="F450" s="95">
        <v>16501</v>
      </c>
      <c r="G450" s="96">
        <v>1834</v>
      </c>
      <c r="H450" s="96">
        <v>14667</v>
      </c>
      <c r="I450" s="116" t="s">
        <v>93</v>
      </c>
    </row>
    <row r="451" spans="1:9" ht="15" x14ac:dyDescent="0.25">
      <c r="A451" s="92">
        <v>44339</v>
      </c>
      <c r="B451" s="95">
        <v>8361</v>
      </c>
      <c r="C451" s="95">
        <v>819</v>
      </c>
      <c r="D451" s="106">
        <f t="shared" si="0"/>
        <v>7542</v>
      </c>
      <c r="E451" s="107">
        <f t="shared" si="1"/>
        <v>9.7954790096878366E-2</v>
      </c>
      <c r="F451" s="95">
        <v>10895</v>
      </c>
      <c r="G451" s="96">
        <v>974</v>
      </c>
      <c r="H451" s="96">
        <v>9921</v>
      </c>
      <c r="I451" s="116" t="s">
        <v>177</v>
      </c>
    </row>
    <row r="452" spans="1:9" ht="15" x14ac:dyDescent="0.25">
      <c r="A452" s="92">
        <v>44340</v>
      </c>
      <c r="B452" s="95">
        <v>9341</v>
      </c>
      <c r="C452" s="95">
        <v>384</v>
      </c>
      <c r="D452" s="106">
        <f t="shared" si="0"/>
        <v>8957</v>
      </c>
      <c r="E452" s="107">
        <f t="shared" si="1"/>
        <v>4.1109088962637833E-2</v>
      </c>
      <c r="F452" s="95">
        <v>13737</v>
      </c>
      <c r="G452" s="96">
        <v>1893</v>
      </c>
      <c r="H452" s="96">
        <v>11844</v>
      </c>
      <c r="I452" s="116" t="s">
        <v>228</v>
      </c>
    </row>
    <row r="453" spans="1:9" ht="15" x14ac:dyDescent="0.25">
      <c r="A453" s="92">
        <v>44341</v>
      </c>
      <c r="B453" s="95">
        <v>13768</v>
      </c>
      <c r="C453" s="95">
        <v>617</v>
      </c>
      <c r="D453" s="106">
        <f t="shared" si="0"/>
        <v>13151</v>
      </c>
      <c r="E453" s="107">
        <f t="shared" si="1"/>
        <v>4.4814061592097616E-2</v>
      </c>
      <c r="F453" s="95">
        <v>19669</v>
      </c>
      <c r="G453" s="96">
        <v>2215</v>
      </c>
      <c r="H453" s="96">
        <v>17454</v>
      </c>
      <c r="I453" s="116" t="s">
        <v>180</v>
      </c>
    </row>
    <row r="454" spans="1:9" ht="15" x14ac:dyDescent="0.25">
      <c r="A454" s="92">
        <v>44342</v>
      </c>
      <c r="B454" s="95">
        <v>8524</v>
      </c>
      <c r="C454" s="95">
        <v>940</v>
      </c>
      <c r="D454" s="106">
        <f t="shared" si="0"/>
        <v>7584</v>
      </c>
      <c r="E454" s="107">
        <f t="shared" si="1"/>
        <v>0.11027686532144533</v>
      </c>
      <c r="F454" s="95">
        <v>11620</v>
      </c>
      <c r="G454" s="96">
        <v>1189</v>
      </c>
      <c r="H454" s="96">
        <v>10431</v>
      </c>
      <c r="I454" s="116" t="s">
        <v>104</v>
      </c>
    </row>
    <row r="455" spans="1:9" ht="15" x14ac:dyDescent="0.25">
      <c r="A455" s="92">
        <v>44343</v>
      </c>
      <c r="B455" s="95">
        <v>9599</v>
      </c>
      <c r="C455" s="95">
        <v>693</v>
      </c>
      <c r="D455" s="106">
        <f t="shared" si="0"/>
        <v>8906</v>
      </c>
      <c r="E455" s="107">
        <f t="shared" si="1"/>
        <v>7.219502031461611E-2</v>
      </c>
      <c r="F455" s="95">
        <v>13241</v>
      </c>
      <c r="G455" s="96">
        <v>1595</v>
      </c>
      <c r="H455" s="96">
        <v>11646</v>
      </c>
      <c r="I455" s="116" t="s">
        <v>114</v>
      </c>
    </row>
    <row r="456" spans="1:9" ht="15" x14ac:dyDescent="0.25">
      <c r="A456" s="92">
        <v>44344</v>
      </c>
      <c r="B456" s="95">
        <v>13247</v>
      </c>
      <c r="C456" s="95">
        <v>807</v>
      </c>
      <c r="D456" s="106">
        <f t="shared" si="0"/>
        <v>12440</v>
      </c>
      <c r="E456" s="107">
        <f t="shared" si="1"/>
        <v>6.0919453461161018E-2</v>
      </c>
      <c r="F456" s="103">
        <v>18817</v>
      </c>
      <c r="G456" s="104">
        <v>2425</v>
      </c>
      <c r="H456" s="104">
        <v>16392</v>
      </c>
      <c r="I456" s="120" t="s">
        <v>120</v>
      </c>
    </row>
    <row r="457" spans="1:9" ht="15" x14ac:dyDescent="0.25">
      <c r="A457" s="92">
        <v>44345</v>
      </c>
      <c r="B457" s="95">
        <v>10573</v>
      </c>
      <c r="C457" s="95">
        <v>1064</v>
      </c>
      <c r="D457" s="106">
        <f t="shared" si="0"/>
        <v>9509</v>
      </c>
      <c r="E457" s="107">
        <f t="shared" si="1"/>
        <v>0.10063368958668306</v>
      </c>
      <c r="F457" s="95">
        <v>15193</v>
      </c>
      <c r="G457" s="96">
        <v>1890</v>
      </c>
      <c r="H457" s="96">
        <v>13303</v>
      </c>
      <c r="I457" s="116" t="s">
        <v>308</v>
      </c>
    </row>
    <row r="458" spans="1:9" ht="15" x14ac:dyDescent="0.25">
      <c r="A458" s="92">
        <v>44346</v>
      </c>
      <c r="B458" s="95">
        <v>7322</v>
      </c>
      <c r="C458" s="95">
        <v>726</v>
      </c>
      <c r="D458" s="106">
        <f t="shared" si="0"/>
        <v>6596</v>
      </c>
      <c r="E458" s="107">
        <f t="shared" si="1"/>
        <v>9.9153236820540835E-2</v>
      </c>
      <c r="F458" s="103">
        <v>11265</v>
      </c>
      <c r="G458" s="104">
        <v>1157</v>
      </c>
      <c r="H458" s="104">
        <v>10108</v>
      </c>
      <c r="I458" s="105">
        <f>G458/F458</f>
        <v>0.1027075011096316</v>
      </c>
    </row>
    <row r="459" spans="1:9" ht="15" x14ac:dyDescent="0.25">
      <c r="A459" s="92">
        <v>44347</v>
      </c>
      <c r="B459" s="95">
        <v>6847</v>
      </c>
      <c r="C459" s="95">
        <v>519</v>
      </c>
      <c r="D459" s="106">
        <f t="shared" si="0"/>
        <v>6328</v>
      </c>
      <c r="E459" s="107">
        <f t="shared" si="1"/>
        <v>7.5799620271651824E-2</v>
      </c>
      <c r="F459" s="95">
        <v>10798</v>
      </c>
      <c r="G459" s="96">
        <v>1498</v>
      </c>
      <c r="H459" s="96">
        <v>9300</v>
      </c>
      <c r="I459" s="116" t="s">
        <v>178</v>
      </c>
    </row>
    <row r="460" spans="1:9" ht="15" x14ac:dyDescent="0.25">
      <c r="A460" s="92">
        <v>44348</v>
      </c>
      <c r="B460" s="95">
        <v>6917</v>
      </c>
      <c r="C460" s="95">
        <v>601</v>
      </c>
      <c r="D460" s="106">
        <f t="shared" si="0"/>
        <v>6316</v>
      </c>
      <c r="E460" s="107">
        <f t="shared" si="1"/>
        <v>8.6887378921497754E-2</v>
      </c>
      <c r="F460" s="95">
        <v>10957</v>
      </c>
      <c r="G460" s="96">
        <v>1377</v>
      </c>
      <c r="H460" s="96">
        <v>9580</v>
      </c>
      <c r="I460" s="116" t="s">
        <v>225</v>
      </c>
    </row>
    <row r="461" spans="1:9" ht="15" x14ac:dyDescent="0.25">
      <c r="A461" s="92">
        <v>44349</v>
      </c>
      <c r="B461" s="95">
        <v>9849</v>
      </c>
      <c r="C461" s="95">
        <v>714</v>
      </c>
      <c r="D461" s="106">
        <f t="shared" si="0"/>
        <v>9135</v>
      </c>
      <c r="E461" s="107">
        <f t="shared" si="1"/>
        <v>7.2494669509594878E-2</v>
      </c>
      <c r="F461" s="95">
        <v>14070</v>
      </c>
      <c r="G461" s="96">
        <v>2279</v>
      </c>
      <c r="H461" s="96">
        <v>11791</v>
      </c>
      <c r="I461" s="116" t="s">
        <v>210</v>
      </c>
    </row>
    <row r="462" spans="1:9" ht="15" x14ac:dyDescent="0.25">
      <c r="A462" s="92">
        <v>44350</v>
      </c>
      <c r="B462" s="95">
        <v>14450</v>
      </c>
      <c r="C462" s="95">
        <v>906</v>
      </c>
      <c r="D462" s="106">
        <f t="shared" si="0"/>
        <v>13544</v>
      </c>
      <c r="E462" s="107">
        <f t="shared" si="1"/>
        <v>6.2698961937716263E-2</v>
      </c>
      <c r="F462" s="95">
        <v>20644</v>
      </c>
      <c r="G462" s="96">
        <v>3069</v>
      </c>
      <c r="H462" s="96">
        <v>17575</v>
      </c>
      <c r="I462" s="116" t="s">
        <v>110</v>
      </c>
    </row>
    <row r="463" spans="1:9" ht="15" x14ac:dyDescent="0.25">
      <c r="A463" s="92">
        <v>44351</v>
      </c>
      <c r="B463" s="95">
        <v>10605</v>
      </c>
      <c r="C463" s="95">
        <v>1317</v>
      </c>
      <c r="D463" s="106">
        <f t="shared" si="0"/>
        <v>9288</v>
      </c>
      <c r="E463" s="107">
        <f t="shared" si="1"/>
        <v>0.12418670438472419</v>
      </c>
      <c r="F463" s="103">
        <v>15211</v>
      </c>
      <c r="G463" s="104">
        <v>2195</v>
      </c>
      <c r="H463" s="104">
        <v>13016</v>
      </c>
      <c r="I463" s="121" t="s">
        <v>127</v>
      </c>
    </row>
    <row r="464" spans="1:9" ht="15" x14ac:dyDescent="0.25">
      <c r="A464" s="92">
        <v>44352</v>
      </c>
      <c r="B464" s="95">
        <v>7625</v>
      </c>
      <c r="C464" s="95">
        <v>1019</v>
      </c>
      <c r="D464" s="106">
        <f t="shared" si="0"/>
        <v>6606</v>
      </c>
      <c r="E464" s="107">
        <f t="shared" si="1"/>
        <v>0.1336393442622951</v>
      </c>
      <c r="F464" s="103">
        <v>14002</v>
      </c>
      <c r="G464" s="104">
        <v>2768</v>
      </c>
      <c r="H464" s="104">
        <v>11234</v>
      </c>
      <c r="I464" s="121" t="s">
        <v>309</v>
      </c>
    </row>
    <row r="465" spans="1:14" ht="15" x14ac:dyDescent="0.25">
      <c r="A465" s="92">
        <v>44353</v>
      </c>
      <c r="B465" s="95">
        <v>6698</v>
      </c>
      <c r="C465" s="95">
        <v>1197</v>
      </c>
      <c r="D465" s="106">
        <f t="shared" si="0"/>
        <v>5501</v>
      </c>
      <c r="E465" s="107">
        <f t="shared" si="1"/>
        <v>0.17871006270528517</v>
      </c>
      <c r="F465" s="95">
        <v>9851</v>
      </c>
      <c r="G465" s="96">
        <v>1889</v>
      </c>
      <c r="H465" s="96">
        <f>F465-G465</f>
        <v>7962</v>
      </c>
      <c r="I465" s="97">
        <f>G465/F465</f>
        <v>0.19175718201197847</v>
      </c>
    </row>
    <row r="466" spans="1:14" ht="15" x14ac:dyDescent="0.25">
      <c r="A466" s="92">
        <v>44354</v>
      </c>
      <c r="B466" s="95">
        <v>7237</v>
      </c>
      <c r="C466" s="95">
        <v>755</v>
      </c>
      <c r="D466" s="106">
        <f t="shared" si="0"/>
        <v>6482</v>
      </c>
      <c r="E466" s="107">
        <f t="shared" si="1"/>
        <v>0.10432499654552992</v>
      </c>
      <c r="F466" s="103">
        <v>13234</v>
      </c>
      <c r="G466" s="104">
        <v>2719</v>
      </c>
      <c r="H466" s="104">
        <v>10515</v>
      </c>
      <c r="I466" s="121" t="s">
        <v>108</v>
      </c>
    </row>
    <row r="467" spans="1:14" ht="15" x14ac:dyDescent="0.25">
      <c r="A467" s="92">
        <v>44355</v>
      </c>
      <c r="B467" s="95">
        <v>11167</v>
      </c>
      <c r="C467" s="95">
        <v>1376</v>
      </c>
      <c r="D467" s="106">
        <f t="shared" si="0"/>
        <v>9791</v>
      </c>
      <c r="E467" s="107">
        <f t="shared" si="1"/>
        <v>0.12322020238201845</v>
      </c>
      <c r="F467" s="95">
        <v>16684</v>
      </c>
      <c r="G467" s="96">
        <v>3794</v>
      </c>
      <c r="H467" s="96">
        <v>12890</v>
      </c>
      <c r="I467" s="116" t="s">
        <v>232</v>
      </c>
    </row>
    <row r="468" spans="1:14" ht="15" x14ac:dyDescent="0.25">
      <c r="A468" s="92">
        <v>44356</v>
      </c>
      <c r="B468" s="95">
        <v>12304</v>
      </c>
      <c r="C468" s="95">
        <v>2096</v>
      </c>
      <c r="D468" s="106">
        <f t="shared" si="0"/>
        <v>10208</v>
      </c>
      <c r="E468" s="107">
        <f t="shared" si="1"/>
        <v>0.17035110533159947</v>
      </c>
      <c r="F468" s="95">
        <v>17751</v>
      </c>
      <c r="G468" s="96">
        <v>4079</v>
      </c>
      <c r="H468" s="96">
        <v>13672</v>
      </c>
      <c r="I468" s="116" t="s">
        <v>290</v>
      </c>
    </row>
    <row r="469" spans="1:14" ht="15" x14ac:dyDescent="0.25">
      <c r="A469" s="92">
        <v>44357</v>
      </c>
      <c r="B469" s="95">
        <v>13142</v>
      </c>
      <c r="C469" s="95">
        <v>2293</v>
      </c>
      <c r="D469" s="106">
        <f t="shared" si="0"/>
        <v>10849</v>
      </c>
      <c r="E469" s="107">
        <f t="shared" si="1"/>
        <v>0.17447877035458834</v>
      </c>
      <c r="F469" s="95">
        <v>18235</v>
      </c>
      <c r="G469" s="96">
        <v>4464</v>
      </c>
      <c r="H469" s="96">
        <v>13771</v>
      </c>
      <c r="I469" s="116" t="s">
        <v>245</v>
      </c>
    </row>
    <row r="470" spans="1:14" ht="15" x14ac:dyDescent="0.25">
      <c r="A470" s="92">
        <v>44358</v>
      </c>
      <c r="B470" s="95">
        <v>13443</v>
      </c>
      <c r="C470" s="95">
        <v>2455</v>
      </c>
      <c r="D470" s="106">
        <f t="shared" si="0"/>
        <v>10988</v>
      </c>
      <c r="E470" s="107">
        <f t="shared" si="1"/>
        <v>0.18262292643011233</v>
      </c>
      <c r="F470" s="95">
        <v>18152</v>
      </c>
      <c r="G470" s="96">
        <v>4800</v>
      </c>
      <c r="H470" s="96">
        <v>13352</v>
      </c>
      <c r="I470" s="116" t="s">
        <v>287</v>
      </c>
    </row>
    <row r="471" spans="1:14" ht="15" x14ac:dyDescent="0.25">
      <c r="A471" s="92">
        <v>44359</v>
      </c>
      <c r="B471" s="95">
        <v>11800</v>
      </c>
      <c r="C471" s="95">
        <v>2769</v>
      </c>
      <c r="D471" s="106">
        <f t="shared" si="0"/>
        <v>9031</v>
      </c>
      <c r="E471" s="107">
        <f t="shared" si="1"/>
        <v>0.23466101694915253</v>
      </c>
      <c r="F471" s="95">
        <v>16218</v>
      </c>
      <c r="G471" s="96">
        <v>4455</v>
      </c>
      <c r="H471" s="96">
        <v>11763</v>
      </c>
      <c r="I471" s="116" t="s">
        <v>277</v>
      </c>
    </row>
    <row r="472" spans="1:14" ht="15" x14ac:dyDescent="0.25">
      <c r="A472" s="92">
        <v>44360</v>
      </c>
      <c r="B472" s="95">
        <v>11671</v>
      </c>
      <c r="C472" s="95">
        <v>2722</v>
      </c>
      <c r="D472" s="106">
        <f t="shared" si="0"/>
        <v>8949</v>
      </c>
      <c r="E472" s="107">
        <f t="shared" si="1"/>
        <v>0.23322765829834632</v>
      </c>
      <c r="F472" s="103">
        <v>14964</v>
      </c>
      <c r="G472" s="114">
        <v>3441</v>
      </c>
      <c r="H472" s="114">
        <f>F472-G472</f>
        <v>11523</v>
      </c>
      <c r="I472" s="115">
        <f>G472/F472</f>
        <v>0.22995188452285484</v>
      </c>
    </row>
    <row r="473" spans="1:14" ht="15.6" x14ac:dyDescent="0.3">
      <c r="A473" s="92">
        <v>44361</v>
      </c>
      <c r="B473" s="95">
        <v>8970</v>
      </c>
      <c r="C473" s="95">
        <v>1502</v>
      </c>
      <c r="D473" s="106">
        <f t="shared" si="0"/>
        <v>7468</v>
      </c>
      <c r="E473" s="107">
        <f t="shared" si="1"/>
        <v>0.16744704570791527</v>
      </c>
      <c r="F473" s="103">
        <v>14340</v>
      </c>
      <c r="G473" s="114">
        <v>4555</v>
      </c>
      <c r="H473" s="114">
        <v>9785</v>
      </c>
      <c r="I473" s="122" t="s">
        <v>310</v>
      </c>
      <c r="K473" s="123"/>
      <c r="L473" s="123"/>
      <c r="M473" s="123"/>
      <c r="N473" s="124"/>
    </row>
    <row r="474" spans="1:14" ht="15" x14ac:dyDescent="0.25">
      <c r="A474" s="92">
        <v>44362</v>
      </c>
      <c r="B474" s="95">
        <v>15269</v>
      </c>
      <c r="C474" s="95">
        <v>2376</v>
      </c>
      <c r="D474" s="106">
        <f t="shared" si="0"/>
        <v>12893</v>
      </c>
      <c r="E474" s="107">
        <f t="shared" si="1"/>
        <v>0.15560940467614121</v>
      </c>
      <c r="F474" s="103">
        <v>22772</v>
      </c>
      <c r="G474" s="114">
        <v>7744</v>
      </c>
      <c r="H474" s="114">
        <v>15028</v>
      </c>
      <c r="I474" s="122" t="s">
        <v>311</v>
      </c>
    </row>
    <row r="475" spans="1:14" ht="15" x14ac:dyDescent="0.25">
      <c r="A475" s="92">
        <v>44363</v>
      </c>
      <c r="B475" s="95">
        <v>16499</v>
      </c>
      <c r="C475" s="95">
        <v>4144</v>
      </c>
      <c r="D475" s="106">
        <f t="shared" si="0"/>
        <v>12355</v>
      </c>
      <c r="E475" s="107">
        <f t="shared" si="1"/>
        <v>0.25116673737802292</v>
      </c>
      <c r="F475" s="103">
        <v>24452</v>
      </c>
      <c r="G475" s="114">
        <v>8073</v>
      </c>
      <c r="H475" s="114">
        <v>16379</v>
      </c>
      <c r="I475" s="122" t="s">
        <v>267</v>
      </c>
    </row>
    <row r="476" spans="1:14" ht="15" x14ac:dyDescent="0.25">
      <c r="A476" s="92">
        <v>44364</v>
      </c>
      <c r="B476" s="95">
        <v>17368</v>
      </c>
      <c r="C476" s="95">
        <v>4737</v>
      </c>
      <c r="D476" s="106">
        <f t="shared" si="0"/>
        <v>12631</v>
      </c>
      <c r="E476" s="107">
        <f t="shared" si="1"/>
        <v>0.27274297558728694</v>
      </c>
      <c r="F476" s="103">
        <v>24812</v>
      </c>
      <c r="G476" s="114">
        <v>8409</v>
      </c>
      <c r="H476" s="114">
        <v>16403</v>
      </c>
      <c r="I476" s="122" t="s">
        <v>254</v>
      </c>
    </row>
    <row r="477" spans="1:14" ht="15" x14ac:dyDescent="0.25">
      <c r="A477" s="92">
        <v>44365</v>
      </c>
      <c r="B477" s="95">
        <v>16797</v>
      </c>
      <c r="C477" s="95">
        <v>4895</v>
      </c>
      <c r="D477" s="106">
        <f t="shared" si="0"/>
        <v>11902</v>
      </c>
      <c r="E477" s="107">
        <f t="shared" si="1"/>
        <v>0.2914210870988867</v>
      </c>
      <c r="F477" s="103">
        <v>23010</v>
      </c>
      <c r="G477" s="114">
        <v>7810</v>
      </c>
      <c r="H477" s="114">
        <v>15200</v>
      </c>
      <c r="I477" s="122" t="s">
        <v>254</v>
      </c>
    </row>
    <row r="478" spans="1:14" ht="15" x14ac:dyDescent="0.25">
      <c r="A478" s="92">
        <v>44366</v>
      </c>
      <c r="B478" s="95">
        <v>16636</v>
      </c>
      <c r="C478" s="95">
        <v>5582</v>
      </c>
      <c r="D478" s="106">
        <f t="shared" si="0"/>
        <v>11054</v>
      </c>
      <c r="E478" s="107">
        <f t="shared" si="1"/>
        <v>0.33553738879538353</v>
      </c>
      <c r="F478" s="103">
        <v>19572</v>
      </c>
      <c r="G478" s="104">
        <v>8243</v>
      </c>
      <c r="H478" s="104">
        <f t="shared" ref="H478:H479" si="6">F478-G478</f>
        <v>11329</v>
      </c>
      <c r="I478" s="125">
        <f t="shared" ref="I478:I479" si="7">G478/F478</f>
        <v>0.42116288575516042</v>
      </c>
    </row>
    <row r="479" spans="1:14" ht="15" x14ac:dyDescent="0.25">
      <c r="A479" s="92">
        <v>44367</v>
      </c>
      <c r="B479" s="95">
        <v>15424</v>
      </c>
      <c r="C479" s="95">
        <v>5014</v>
      </c>
      <c r="D479" s="106">
        <f t="shared" si="0"/>
        <v>10410</v>
      </c>
      <c r="E479" s="107">
        <f t="shared" si="1"/>
        <v>0.32507780082987553</v>
      </c>
      <c r="F479" s="103">
        <v>19280</v>
      </c>
      <c r="G479" s="104">
        <v>8217</v>
      </c>
      <c r="H479" s="104">
        <f t="shared" si="6"/>
        <v>11063</v>
      </c>
      <c r="I479" s="125">
        <f t="shared" si="7"/>
        <v>0.42619294605809127</v>
      </c>
    </row>
    <row r="480" spans="1:14" ht="15" x14ac:dyDescent="0.25">
      <c r="A480" s="92">
        <v>44368</v>
      </c>
      <c r="B480" s="95">
        <v>14462</v>
      </c>
      <c r="C480" s="95">
        <v>3221</v>
      </c>
      <c r="D480" s="106">
        <f t="shared" si="0"/>
        <v>11241</v>
      </c>
      <c r="E480" s="107">
        <f t="shared" si="1"/>
        <v>0.22272161526759784</v>
      </c>
      <c r="F480" s="103">
        <v>21269</v>
      </c>
      <c r="G480" s="104">
        <v>8492</v>
      </c>
      <c r="H480" s="104">
        <v>12777</v>
      </c>
      <c r="I480" s="121" t="s">
        <v>312</v>
      </c>
    </row>
    <row r="481" spans="1:9" ht="15" x14ac:dyDescent="0.25">
      <c r="A481" s="92">
        <v>44369</v>
      </c>
      <c r="B481" s="95">
        <v>19485</v>
      </c>
      <c r="C481" s="95">
        <v>4693</v>
      </c>
      <c r="D481" s="106">
        <f t="shared" si="0"/>
        <v>14792</v>
      </c>
      <c r="E481" s="107">
        <f t="shared" si="1"/>
        <v>0.24085193738773417</v>
      </c>
      <c r="F481" s="103">
        <v>27836</v>
      </c>
      <c r="G481" s="104">
        <v>11815</v>
      </c>
      <c r="H481" s="104">
        <v>16021</v>
      </c>
      <c r="I481" s="121" t="s">
        <v>313</v>
      </c>
    </row>
    <row r="482" spans="1:9" ht="15" x14ac:dyDescent="0.25">
      <c r="A482" s="92">
        <v>44370</v>
      </c>
      <c r="B482" s="95">
        <v>20460</v>
      </c>
      <c r="C482" s="95">
        <v>7505</v>
      </c>
      <c r="D482" s="106">
        <f t="shared" si="0"/>
        <v>12955</v>
      </c>
      <c r="E482" s="107">
        <f t="shared" si="1"/>
        <v>0.36681329423264908</v>
      </c>
      <c r="F482" s="103">
        <v>25575</v>
      </c>
      <c r="G482" s="104">
        <v>10704</v>
      </c>
      <c r="H482" s="104">
        <v>14871</v>
      </c>
      <c r="I482" s="121" t="s">
        <v>314</v>
      </c>
    </row>
    <row r="483" spans="1:9" ht="15" x14ac:dyDescent="0.25">
      <c r="A483" s="92">
        <v>44371</v>
      </c>
      <c r="B483" s="95">
        <v>20155</v>
      </c>
      <c r="C483" s="95">
        <v>6934</v>
      </c>
      <c r="D483" s="106">
        <f t="shared" si="0"/>
        <v>13221</v>
      </c>
      <c r="E483" s="107">
        <f t="shared" si="1"/>
        <v>0.34403373852642022</v>
      </c>
      <c r="F483" s="103">
        <v>28388</v>
      </c>
      <c r="G483" s="104">
        <v>12194</v>
      </c>
      <c r="H483" s="104">
        <v>16194</v>
      </c>
      <c r="I483" s="121" t="s">
        <v>315</v>
      </c>
    </row>
    <row r="484" spans="1:9" ht="15" x14ac:dyDescent="0.25">
      <c r="A484" s="92">
        <v>44372</v>
      </c>
      <c r="B484" s="95">
        <v>22911</v>
      </c>
      <c r="C484" s="95">
        <v>9271</v>
      </c>
      <c r="D484" s="106">
        <f t="shared" si="0"/>
        <v>13640</v>
      </c>
      <c r="E484" s="107">
        <f t="shared" si="1"/>
        <v>0.40465278687093537</v>
      </c>
      <c r="F484" s="103">
        <v>30549</v>
      </c>
      <c r="G484" s="104">
        <v>14649</v>
      </c>
      <c r="H484" s="104">
        <v>15900</v>
      </c>
      <c r="I484" s="125">
        <v>0.48</v>
      </c>
    </row>
    <row r="485" spans="1:9" ht="15" x14ac:dyDescent="0.25">
      <c r="A485" s="92">
        <v>44373</v>
      </c>
      <c r="B485" s="95">
        <v>23043</v>
      </c>
      <c r="C485" s="95">
        <v>9394</v>
      </c>
      <c r="D485" s="106">
        <f t="shared" si="0"/>
        <v>13649</v>
      </c>
      <c r="E485" s="107">
        <f t="shared" si="1"/>
        <v>0.40767261207308075</v>
      </c>
      <c r="F485" s="103">
        <v>30724</v>
      </c>
      <c r="G485" s="104">
        <v>14764</v>
      </c>
      <c r="H485" s="104">
        <f t="shared" ref="H485:H486" si="8">F485-G485</f>
        <v>15960</v>
      </c>
      <c r="I485" s="125">
        <f t="shared" ref="I485:I486" si="9">G485/F485</f>
        <v>0.48053638849108188</v>
      </c>
    </row>
    <row r="486" spans="1:9" ht="15" x14ac:dyDescent="0.25">
      <c r="A486" s="92">
        <v>44374</v>
      </c>
      <c r="B486" s="95">
        <v>22895</v>
      </c>
      <c r="C486" s="95">
        <v>8348</v>
      </c>
      <c r="D486" s="106">
        <f t="shared" si="0"/>
        <v>14547</v>
      </c>
      <c r="E486" s="107">
        <f t="shared" si="1"/>
        <v>0.36462109630923784</v>
      </c>
      <c r="F486" s="103">
        <v>28619</v>
      </c>
      <c r="G486" s="104">
        <v>12454</v>
      </c>
      <c r="H486" s="104">
        <f t="shared" si="8"/>
        <v>16165</v>
      </c>
      <c r="I486" s="125">
        <f t="shared" si="9"/>
        <v>0.43516544952653829</v>
      </c>
    </row>
    <row r="487" spans="1:9" ht="15" x14ac:dyDescent="0.25">
      <c r="A487" s="126"/>
      <c r="B487" s="111"/>
      <c r="C487" s="111"/>
      <c r="D487" s="111"/>
      <c r="E487" s="127"/>
      <c r="F487" s="111"/>
      <c r="G487" s="111"/>
      <c r="H487" s="111"/>
      <c r="I487" s="128"/>
    </row>
    <row r="488" spans="1:9" ht="15" x14ac:dyDescent="0.25">
      <c r="A488" s="126"/>
      <c r="B488" s="111"/>
      <c r="C488" s="111"/>
      <c r="D488" s="111"/>
      <c r="E488" s="127"/>
      <c r="F488" s="111"/>
      <c r="G488" s="111"/>
      <c r="H488" s="111"/>
      <c r="I488" s="128"/>
    </row>
    <row r="489" spans="1:9" ht="15" x14ac:dyDescent="0.25">
      <c r="A489" s="126"/>
      <c r="B489" s="111"/>
      <c r="C489" s="111"/>
      <c r="D489" s="111"/>
      <c r="E489" s="127"/>
      <c r="F489" s="111"/>
      <c r="G489" s="111"/>
      <c r="H489" s="111"/>
      <c r="I489" s="128"/>
    </row>
    <row r="490" spans="1:9" ht="15" x14ac:dyDescent="0.25">
      <c r="A490" s="126"/>
      <c r="B490" s="111"/>
      <c r="C490" s="111"/>
      <c r="D490" s="111"/>
      <c r="E490" s="127"/>
      <c r="F490" s="111"/>
      <c r="G490" s="111"/>
      <c r="H490" s="111"/>
      <c r="I490" s="128"/>
    </row>
    <row r="491" spans="1:9" ht="15" x14ac:dyDescent="0.25">
      <c r="A491" s="126"/>
      <c r="B491" s="111"/>
      <c r="C491" s="111"/>
      <c r="D491" s="111"/>
      <c r="E491" s="127"/>
      <c r="F491" s="111"/>
      <c r="G491" s="111"/>
      <c r="H491" s="111"/>
      <c r="I491" s="128"/>
    </row>
    <row r="492" spans="1:9" ht="15" x14ac:dyDescent="0.25">
      <c r="A492" s="126"/>
      <c r="B492" s="111"/>
      <c r="C492" s="111"/>
      <c r="D492" s="111"/>
      <c r="E492" s="127"/>
      <c r="F492" s="111"/>
      <c r="G492" s="111"/>
      <c r="H492" s="111"/>
      <c r="I492" s="128"/>
    </row>
    <row r="493" spans="1:9" ht="15" x14ac:dyDescent="0.25">
      <c r="A493" s="126"/>
      <c r="B493" s="111"/>
      <c r="C493" s="111"/>
      <c r="D493" s="111"/>
      <c r="E493" s="127"/>
      <c r="F493" s="111"/>
      <c r="G493" s="111"/>
      <c r="H493" s="111"/>
      <c r="I493" s="128"/>
    </row>
    <row r="494" spans="1:9" ht="15" x14ac:dyDescent="0.25">
      <c r="A494" s="126"/>
      <c r="B494" s="111"/>
      <c r="C494" s="111"/>
      <c r="D494" s="111"/>
      <c r="E494" s="127"/>
      <c r="F494" s="111"/>
      <c r="G494" s="111"/>
      <c r="H494" s="111"/>
      <c r="I494" s="128"/>
    </row>
    <row r="495" spans="1:9" ht="15" x14ac:dyDescent="0.25">
      <c r="A495" s="126"/>
      <c r="B495" s="111"/>
      <c r="C495" s="111"/>
      <c r="D495" s="111"/>
      <c r="E495" s="127"/>
      <c r="F495" s="111"/>
      <c r="G495" s="111"/>
      <c r="H495" s="111"/>
      <c r="I495" s="128"/>
    </row>
    <row r="496" spans="1:9" ht="15" x14ac:dyDescent="0.25">
      <c r="A496" s="126"/>
      <c r="B496" s="111"/>
      <c r="C496" s="111"/>
      <c r="D496" s="111"/>
      <c r="E496" s="127"/>
      <c r="F496" s="111"/>
      <c r="G496" s="111"/>
      <c r="H496" s="111"/>
      <c r="I496" s="128"/>
    </row>
    <row r="497" spans="1:9" ht="15" x14ac:dyDescent="0.25">
      <c r="A497" s="126"/>
      <c r="B497" s="111"/>
      <c r="C497" s="111"/>
      <c r="D497" s="111"/>
      <c r="E497" s="127"/>
      <c r="F497" s="111"/>
      <c r="G497" s="111"/>
      <c r="H497" s="111"/>
      <c r="I497" s="128"/>
    </row>
    <row r="498" spans="1:9" ht="15" x14ac:dyDescent="0.25">
      <c r="A498" s="126"/>
      <c r="B498" s="111"/>
      <c r="C498" s="111"/>
      <c r="D498" s="111"/>
      <c r="E498" s="127"/>
      <c r="F498" s="111"/>
      <c r="G498" s="111"/>
      <c r="H498" s="111"/>
      <c r="I498" s="128"/>
    </row>
    <row r="499" spans="1:9" ht="15" x14ac:dyDescent="0.25">
      <c r="A499" s="126"/>
      <c r="B499" s="111"/>
      <c r="C499" s="111"/>
      <c r="D499" s="111"/>
      <c r="E499" s="127"/>
      <c r="F499" s="111"/>
      <c r="G499" s="111"/>
      <c r="H499" s="111"/>
      <c r="I499" s="128"/>
    </row>
    <row r="500" spans="1:9" ht="15" x14ac:dyDescent="0.25">
      <c r="A500" s="126"/>
      <c r="B500" s="111"/>
      <c r="C500" s="111"/>
      <c r="D500" s="111"/>
      <c r="E500" s="127"/>
      <c r="F500" s="111"/>
      <c r="G500" s="111"/>
      <c r="H500" s="111"/>
      <c r="I500" s="128"/>
    </row>
    <row r="501" spans="1:9" ht="15" x14ac:dyDescent="0.25">
      <c r="A501" s="126"/>
      <c r="B501" s="111"/>
      <c r="C501" s="111"/>
      <c r="D501" s="111"/>
      <c r="E501" s="127"/>
      <c r="F501" s="111"/>
      <c r="G501" s="111"/>
      <c r="H501" s="111"/>
      <c r="I501" s="128"/>
    </row>
    <row r="502" spans="1:9" ht="15" x14ac:dyDescent="0.25">
      <c r="A502" s="126"/>
      <c r="B502" s="111"/>
      <c r="C502" s="111"/>
      <c r="D502" s="111"/>
      <c r="E502" s="127"/>
      <c r="F502" s="111"/>
      <c r="G502" s="111"/>
      <c r="H502" s="111"/>
      <c r="I502" s="128"/>
    </row>
    <row r="503" spans="1:9" ht="15" x14ac:dyDescent="0.25">
      <c r="A503" s="126"/>
      <c r="B503" s="111"/>
      <c r="C503" s="111"/>
      <c r="D503" s="111"/>
      <c r="E503" s="127"/>
      <c r="F503" s="111"/>
      <c r="G503" s="111"/>
      <c r="H503" s="111"/>
      <c r="I503" s="128"/>
    </row>
    <row r="504" spans="1:9" ht="15" x14ac:dyDescent="0.25">
      <c r="A504" s="126"/>
      <c r="B504" s="111"/>
      <c r="C504" s="111"/>
      <c r="D504" s="111"/>
      <c r="E504" s="127"/>
      <c r="F504" s="111"/>
      <c r="G504" s="111"/>
      <c r="H504" s="111"/>
      <c r="I504" s="128"/>
    </row>
    <row r="505" spans="1:9" ht="15" x14ac:dyDescent="0.25">
      <c r="A505" s="126"/>
      <c r="B505" s="111"/>
      <c r="C505" s="111"/>
      <c r="D505" s="111"/>
      <c r="E505" s="127"/>
      <c r="F505" s="111"/>
      <c r="G505" s="111"/>
      <c r="H505" s="111"/>
      <c r="I505" s="128"/>
    </row>
    <row r="506" spans="1:9" ht="15" x14ac:dyDescent="0.25">
      <c r="A506" s="126"/>
      <c r="B506" s="111"/>
      <c r="C506" s="111"/>
      <c r="D506" s="111"/>
      <c r="E506" s="127"/>
      <c r="F506" s="111"/>
      <c r="G506" s="111"/>
      <c r="H506" s="111"/>
      <c r="I506" s="128"/>
    </row>
    <row r="507" spans="1:9" ht="15" x14ac:dyDescent="0.25">
      <c r="A507" s="126"/>
      <c r="B507" s="111"/>
      <c r="C507" s="111"/>
      <c r="D507" s="111"/>
      <c r="E507" s="127"/>
      <c r="F507" s="111"/>
      <c r="G507" s="111"/>
      <c r="H507" s="111"/>
      <c r="I507" s="128"/>
    </row>
    <row r="508" spans="1:9" ht="15" x14ac:dyDescent="0.25">
      <c r="A508" s="126"/>
      <c r="B508" s="111"/>
      <c r="C508" s="111"/>
      <c r="D508" s="111"/>
      <c r="E508" s="127"/>
      <c r="F508" s="111"/>
      <c r="G508" s="111"/>
      <c r="H508" s="111"/>
      <c r="I508" s="128"/>
    </row>
    <row r="509" spans="1:9" ht="15" x14ac:dyDescent="0.25">
      <c r="A509" s="126"/>
      <c r="B509" s="111"/>
      <c r="C509" s="111"/>
      <c r="D509" s="111"/>
      <c r="E509" s="127"/>
      <c r="F509" s="111"/>
      <c r="G509" s="111"/>
      <c r="H509" s="111"/>
      <c r="I509" s="128"/>
    </row>
    <row r="510" spans="1:9" ht="15" x14ac:dyDescent="0.25">
      <c r="A510" s="126"/>
      <c r="B510" s="111"/>
      <c r="C510" s="111"/>
      <c r="D510" s="111"/>
      <c r="E510" s="127"/>
      <c r="F510" s="111"/>
      <c r="G510" s="111"/>
      <c r="H510" s="111"/>
      <c r="I510" s="128"/>
    </row>
    <row r="511" spans="1:9" ht="15" x14ac:dyDescent="0.25">
      <c r="A511" s="126"/>
      <c r="B511" s="111"/>
      <c r="C511" s="111"/>
      <c r="D511" s="111"/>
      <c r="E511" s="127"/>
      <c r="F511" s="111"/>
      <c r="G511" s="111"/>
      <c r="H511" s="111"/>
      <c r="I511" s="128"/>
    </row>
    <row r="512" spans="1:9" ht="15" x14ac:dyDescent="0.25">
      <c r="A512" s="126"/>
      <c r="B512" s="111"/>
      <c r="C512" s="111"/>
      <c r="D512" s="111"/>
      <c r="E512" s="127"/>
      <c r="F512" s="111"/>
      <c r="G512" s="111"/>
      <c r="H512" s="111"/>
      <c r="I512" s="128"/>
    </row>
    <row r="513" spans="1:9" ht="15" x14ac:dyDescent="0.25">
      <c r="A513" s="126"/>
      <c r="B513" s="111"/>
      <c r="C513" s="111"/>
      <c r="D513" s="111"/>
      <c r="E513" s="127"/>
      <c r="F513" s="111"/>
      <c r="G513" s="111"/>
      <c r="H513" s="111"/>
      <c r="I513" s="128"/>
    </row>
    <row r="514" spans="1:9" ht="15" x14ac:dyDescent="0.25">
      <c r="A514" s="126"/>
      <c r="B514" s="111"/>
      <c r="C514" s="111"/>
      <c r="D514" s="111"/>
      <c r="E514" s="127"/>
      <c r="F514" s="111"/>
      <c r="G514" s="111"/>
      <c r="H514" s="111"/>
      <c r="I514" s="128"/>
    </row>
    <row r="515" spans="1:9" ht="15" x14ac:dyDescent="0.25">
      <c r="A515" s="126"/>
      <c r="B515" s="111"/>
      <c r="C515" s="111"/>
      <c r="D515" s="111"/>
      <c r="E515" s="127"/>
      <c r="F515" s="111"/>
      <c r="G515" s="111"/>
      <c r="H515" s="111"/>
      <c r="I515" s="128"/>
    </row>
    <row r="516" spans="1:9" ht="15" x14ac:dyDescent="0.25">
      <c r="A516" s="126"/>
      <c r="B516" s="111"/>
      <c r="C516" s="111"/>
      <c r="D516" s="111"/>
      <c r="E516" s="127"/>
      <c r="F516" s="111"/>
      <c r="G516" s="111"/>
      <c r="H516" s="111"/>
      <c r="I516" s="128"/>
    </row>
    <row r="517" spans="1:9" ht="15" x14ac:dyDescent="0.25">
      <c r="A517" s="126"/>
      <c r="B517" s="111"/>
      <c r="C517" s="111"/>
      <c r="D517" s="111"/>
      <c r="E517" s="127"/>
      <c r="F517" s="111"/>
      <c r="G517" s="111"/>
      <c r="H517" s="111"/>
      <c r="I517" s="128"/>
    </row>
    <row r="518" spans="1:9" ht="15" x14ac:dyDescent="0.25">
      <c r="A518" s="126"/>
      <c r="B518" s="111"/>
      <c r="C518" s="111"/>
      <c r="D518" s="111"/>
      <c r="E518" s="127"/>
      <c r="F518" s="111"/>
      <c r="G518" s="111"/>
      <c r="H518" s="111"/>
      <c r="I518" s="128"/>
    </row>
    <row r="519" spans="1:9" ht="15" x14ac:dyDescent="0.25">
      <c r="A519" s="126"/>
      <c r="B519" s="111"/>
      <c r="C519" s="111"/>
      <c r="D519" s="111"/>
      <c r="E519" s="127"/>
      <c r="F519" s="111"/>
      <c r="G519" s="111"/>
      <c r="H519" s="111"/>
      <c r="I519" s="128"/>
    </row>
    <row r="520" spans="1:9" ht="15" x14ac:dyDescent="0.25">
      <c r="A520" s="126"/>
      <c r="B520" s="111"/>
      <c r="C520" s="111"/>
      <c r="D520" s="111"/>
      <c r="E520" s="127"/>
      <c r="F520" s="111"/>
      <c r="G520" s="111"/>
      <c r="H520" s="111"/>
      <c r="I520" s="128"/>
    </row>
    <row r="521" spans="1:9" ht="15" x14ac:dyDescent="0.25">
      <c r="A521" s="126"/>
      <c r="B521" s="111"/>
      <c r="C521" s="111"/>
      <c r="D521" s="111"/>
      <c r="E521" s="127"/>
      <c r="F521" s="111"/>
      <c r="G521" s="111"/>
      <c r="H521" s="111"/>
      <c r="I521" s="128"/>
    </row>
    <row r="522" spans="1:9" ht="15" x14ac:dyDescent="0.25">
      <c r="A522" s="126"/>
      <c r="B522" s="111"/>
      <c r="C522" s="111"/>
      <c r="D522" s="111"/>
      <c r="E522" s="127"/>
      <c r="F522" s="111"/>
      <c r="G522" s="111"/>
      <c r="H522" s="111"/>
      <c r="I522" s="128"/>
    </row>
    <row r="523" spans="1:9" ht="15" x14ac:dyDescent="0.25">
      <c r="A523" s="126"/>
      <c r="B523" s="111"/>
      <c r="C523" s="111"/>
      <c r="D523" s="111"/>
      <c r="E523" s="127"/>
      <c r="F523" s="111"/>
      <c r="G523" s="111"/>
      <c r="H523" s="111"/>
      <c r="I523" s="128"/>
    </row>
    <row r="524" spans="1:9" ht="15" x14ac:dyDescent="0.25">
      <c r="A524" s="126"/>
      <c r="B524" s="111"/>
      <c r="C524" s="111"/>
      <c r="D524" s="111"/>
      <c r="E524" s="127"/>
      <c r="F524" s="111"/>
      <c r="G524" s="111"/>
      <c r="H524" s="111"/>
      <c r="I524" s="128"/>
    </row>
    <row r="525" spans="1:9" ht="15" x14ac:dyDescent="0.25">
      <c r="A525" s="126"/>
      <c r="B525" s="111"/>
      <c r="C525" s="111"/>
      <c r="D525" s="111"/>
      <c r="E525" s="127"/>
      <c r="F525" s="111"/>
      <c r="G525" s="111"/>
      <c r="H525" s="111"/>
      <c r="I525" s="128"/>
    </row>
    <row r="526" spans="1:9" ht="15" x14ac:dyDescent="0.25">
      <c r="A526" s="126"/>
      <c r="B526" s="111"/>
      <c r="C526" s="111"/>
      <c r="D526" s="111"/>
      <c r="E526" s="127"/>
      <c r="F526" s="111"/>
      <c r="G526" s="111"/>
      <c r="H526" s="111"/>
      <c r="I526" s="128"/>
    </row>
    <row r="527" spans="1:9" ht="15" x14ac:dyDescent="0.25">
      <c r="A527" s="126"/>
      <c r="B527" s="111"/>
      <c r="C527" s="111"/>
      <c r="D527" s="111"/>
      <c r="E527" s="127"/>
      <c r="F527" s="111"/>
      <c r="G527" s="111"/>
      <c r="H527" s="111"/>
      <c r="I527" s="128"/>
    </row>
    <row r="528" spans="1:9" ht="15" x14ac:dyDescent="0.25">
      <c r="A528" s="126"/>
      <c r="B528" s="111"/>
      <c r="C528" s="111"/>
      <c r="D528" s="111"/>
      <c r="E528" s="127"/>
      <c r="F528" s="111"/>
      <c r="G528" s="111"/>
      <c r="H528" s="111"/>
      <c r="I528" s="128"/>
    </row>
    <row r="529" spans="1:9" ht="15" x14ac:dyDescent="0.25">
      <c r="A529" s="126"/>
      <c r="B529" s="111"/>
      <c r="C529" s="111"/>
      <c r="D529" s="111"/>
      <c r="E529" s="127"/>
      <c r="F529" s="111"/>
      <c r="G529" s="111"/>
      <c r="H529" s="111"/>
      <c r="I529" s="128"/>
    </row>
    <row r="530" spans="1:9" ht="15" x14ac:dyDescent="0.25">
      <c r="A530" s="126"/>
      <c r="B530" s="111"/>
      <c r="C530" s="111"/>
      <c r="D530" s="111"/>
      <c r="E530" s="127"/>
      <c r="F530" s="111"/>
      <c r="G530" s="111"/>
      <c r="H530" s="111"/>
      <c r="I530" s="128"/>
    </row>
    <row r="531" spans="1:9" ht="15" x14ac:dyDescent="0.25">
      <c r="A531" s="126"/>
      <c r="B531" s="111"/>
      <c r="C531" s="111"/>
      <c r="D531" s="111"/>
      <c r="E531" s="127"/>
      <c r="F531" s="111"/>
      <c r="G531" s="111"/>
      <c r="H531" s="111"/>
      <c r="I531" s="128"/>
    </row>
    <row r="532" spans="1:9" ht="15" x14ac:dyDescent="0.25">
      <c r="A532" s="126"/>
      <c r="B532" s="111"/>
      <c r="C532" s="111"/>
      <c r="D532" s="111"/>
      <c r="E532" s="127"/>
      <c r="F532" s="111"/>
      <c r="G532" s="111"/>
      <c r="H532" s="111"/>
      <c r="I532" s="128"/>
    </row>
    <row r="533" spans="1:9" ht="15" x14ac:dyDescent="0.25">
      <c r="A533" s="126"/>
      <c r="B533" s="111"/>
      <c r="C533" s="111"/>
      <c r="D533" s="111"/>
      <c r="E533" s="127"/>
      <c r="F533" s="111"/>
      <c r="G533" s="111"/>
      <c r="H533" s="111"/>
      <c r="I533" s="128"/>
    </row>
    <row r="534" spans="1:9" ht="15" x14ac:dyDescent="0.25">
      <c r="A534" s="126"/>
      <c r="B534" s="111"/>
      <c r="C534" s="111"/>
      <c r="D534" s="111"/>
      <c r="E534" s="127"/>
      <c r="F534" s="111"/>
      <c r="G534" s="111"/>
      <c r="H534" s="111"/>
      <c r="I534" s="128"/>
    </row>
    <row r="535" spans="1:9" ht="15" x14ac:dyDescent="0.25">
      <c r="A535" s="126"/>
      <c r="B535" s="111"/>
      <c r="C535" s="111"/>
      <c r="D535" s="111"/>
      <c r="E535" s="127"/>
      <c r="F535" s="111"/>
      <c r="G535" s="111"/>
      <c r="H535" s="111"/>
      <c r="I535" s="128"/>
    </row>
    <row r="536" spans="1:9" ht="15" x14ac:dyDescent="0.25">
      <c r="A536" s="126"/>
      <c r="B536" s="111"/>
      <c r="C536" s="111"/>
      <c r="D536" s="111"/>
      <c r="E536" s="127"/>
      <c r="F536" s="111"/>
      <c r="G536" s="111"/>
      <c r="H536" s="111"/>
      <c r="I536" s="128"/>
    </row>
    <row r="537" spans="1:9" ht="15" x14ac:dyDescent="0.25">
      <c r="A537" s="126"/>
      <c r="B537" s="111"/>
      <c r="C537" s="111"/>
      <c r="D537" s="111"/>
      <c r="E537" s="127"/>
      <c r="F537" s="111"/>
      <c r="G537" s="111"/>
      <c r="H537" s="111"/>
      <c r="I537" s="128"/>
    </row>
    <row r="538" spans="1:9" ht="15" x14ac:dyDescent="0.25">
      <c r="A538" s="126"/>
      <c r="B538" s="111"/>
      <c r="C538" s="111"/>
      <c r="D538" s="111"/>
      <c r="E538" s="127"/>
      <c r="F538" s="111"/>
      <c r="G538" s="111"/>
      <c r="H538" s="111"/>
      <c r="I538" s="128"/>
    </row>
    <row r="539" spans="1:9" ht="15" x14ac:dyDescent="0.25">
      <c r="A539" s="126"/>
      <c r="B539" s="111"/>
      <c r="C539" s="111"/>
      <c r="D539" s="111"/>
      <c r="E539" s="127"/>
      <c r="F539" s="111"/>
      <c r="G539" s="111"/>
      <c r="H539" s="111"/>
      <c r="I539" s="128"/>
    </row>
    <row r="540" spans="1:9" ht="15" x14ac:dyDescent="0.25">
      <c r="A540" s="126"/>
      <c r="B540" s="111"/>
      <c r="C540" s="111"/>
      <c r="D540" s="111"/>
      <c r="E540" s="127"/>
      <c r="F540" s="111"/>
      <c r="G540" s="111"/>
      <c r="H540" s="111"/>
      <c r="I540" s="128"/>
    </row>
    <row r="541" spans="1:9" ht="15" x14ac:dyDescent="0.25">
      <c r="A541" s="126"/>
      <c r="B541" s="111"/>
      <c r="C541" s="111"/>
      <c r="D541" s="111"/>
      <c r="E541" s="127"/>
      <c r="F541" s="111"/>
      <c r="G541" s="111"/>
      <c r="H541" s="111"/>
      <c r="I541" s="128"/>
    </row>
    <row r="542" spans="1:9" ht="15" x14ac:dyDescent="0.25">
      <c r="A542" s="126"/>
      <c r="B542" s="111"/>
      <c r="C542" s="111"/>
      <c r="D542" s="111"/>
      <c r="E542" s="127"/>
      <c r="F542" s="111"/>
      <c r="G542" s="111"/>
      <c r="H542" s="111"/>
      <c r="I542" s="128"/>
    </row>
    <row r="543" spans="1:9" ht="15" x14ac:dyDescent="0.25">
      <c r="A543" s="126"/>
      <c r="B543" s="111"/>
      <c r="C543" s="111"/>
      <c r="D543" s="111"/>
      <c r="E543" s="127"/>
      <c r="F543" s="111"/>
      <c r="G543" s="111"/>
      <c r="H543" s="111"/>
      <c r="I543" s="128"/>
    </row>
    <row r="544" spans="1:9" ht="15" x14ac:dyDescent="0.25">
      <c r="A544" s="126"/>
      <c r="B544" s="111"/>
      <c r="C544" s="111"/>
      <c r="D544" s="111"/>
      <c r="E544" s="127"/>
      <c r="F544" s="111"/>
      <c r="G544" s="111"/>
      <c r="H544" s="111"/>
      <c r="I544" s="128"/>
    </row>
    <row r="545" spans="1:9" ht="15" x14ac:dyDescent="0.25">
      <c r="A545" s="126"/>
      <c r="B545" s="111"/>
      <c r="C545" s="111"/>
      <c r="D545" s="111"/>
      <c r="E545" s="127"/>
      <c r="F545" s="111"/>
      <c r="G545" s="111"/>
      <c r="H545" s="111"/>
      <c r="I545" s="128"/>
    </row>
    <row r="546" spans="1:9" ht="15" x14ac:dyDescent="0.25">
      <c r="A546" s="126"/>
      <c r="B546" s="111"/>
      <c r="C546" s="111"/>
      <c r="D546" s="111"/>
      <c r="E546" s="127"/>
      <c r="F546" s="111"/>
      <c r="G546" s="111"/>
      <c r="H546" s="111"/>
      <c r="I546" s="128"/>
    </row>
    <row r="547" spans="1:9" ht="15" x14ac:dyDescent="0.25">
      <c r="A547" s="126"/>
      <c r="B547" s="111"/>
      <c r="C547" s="111"/>
      <c r="D547" s="111"/>
      <c r="E547" s="127"/>
      <c r="F547" s="111"/>
      <c r="G547" s="111"/>
      <c r="H547" s="111"/>
      <c r="I547" s="128"/>
    </row>
    <row r="548" spans="1:9" ht="15" x14ac:dyDescent="0.25">
      <c r="A548" s="126"/>
      <c r="B548" s="111"/>
      <c r="C548" s="111"/>
      <c r="D548" s="111"/>
      <c r="E548" s="127"/>
      <c r="F548" s="111"/>
      <c r="G548" s="111"/>
      <c r="H548" s="111"/>
      <c r="I548" s="128"/>
    </row>
    <row r="549" spans="1:9" ht="15" x14ac:dyDescent="0.25">
      <c r="A549" s="126"/>
      <c r="B549" s="111"/>
      <c r="C549" s="111"/>
      <c r="D549" s="111"/>
      <c r="E549" s="127"/>
      <c r="F549" s="111"/>
      <c r="G549" s="111"/>
      <c r="H549" s="111"/>
      <c r="I549" s="128"/>
    </row>
    <row r="550" spans="1:9" ht="15" x14ac:dyDescent="0.25">
      <c r="A550" s="126"/>
      <c r="B550" s="111"/>
      <c r="C550" s="111"/>
      <c r="D550" s="111"/>
      <c r="E550" s="127"/>
      <c r="F550" s="111"/>
      <c r="G550" s="111"/>
      <c r="H550" s="111"/>
      <c r="I550" s="128"/>
    </row>
    <row r="551" spans="1:9" ht="15" x14ac:dyDescent="0.25">
      <c r="A551" s="126"/>
      <c r="B551" s="111"/>
      <c r="C551" s="111"/>
      <c r="D551" s="111"/>
      <c r="E551" s="127"/>
      <c r="F551" s="111"/>
      <c r="G551" s="111"/>
      <c r="H551" s="111"/>
      <c r="I551" s="128"/>
    </row>
    <row r="552" spans="1:9" ht="15" x14ac:dyDescent="0.25">
      <c r="A552" s="126"/>
      <c r="B552" s="111"/>
      <c r="C552" s="111"/>
      <c r="D552" s="111"/>
      <c r="E552" s="127"/>
      <c r="F552" s="111"/>
      <c r="G552" s="111"/>
      <c r="H552" s="111"/>
      <c r="I552" s="128"/>
    </row>
    <row r="553" spans="1:9" ht="15" x14ac:dyDescent="0.25">
      <c r="A553" s="126"/>
      <c r="B553" s="111"/>
      <c r="C553" s="111"/>
      <c r="D553" s="111"/>
      <c r="E553" s="127"/>
      <c r="F553" s="111"/>
      <c r="G553" s="111"/>
      <c r="H553" s="111"/>
      <c r="I553" s="128"/>
    </row>
    <row r="554" spans="1:9" ht="15" x14ac:dyDescent="0.25">
      <c r="A554" s="126"/>
      <c r="B554" s="111"/>
      <c r="C554" s="111"/>
      <c r="D554" s="111"/>
      <c r="E554" s="127"/>
      <c r="F554" s="111"/>
      <c r="G554" s="111"/>
      <c r="H554" s="111"/>
      <c r="I554" s="128"/>
    </row>
    <row r="555" spans="1:9" ht="15" x14ac:dyDescent="0.25">
      <c r="A555" s="126"/>
      <c r="B555" s="111"/>
      <c r="C555" s="111"/>
      <c r="D555" s="111"/>
      <c r="E555" s="127"/>
      <c r="F555" s="111"/>
      <c r="G555" s="111"/>
      <c r="H555" s="111"/>
      <c r="I555" s="128"/>
    </row>
    <row r="556" spans="1:9" ht="15" x14ac:dyDescent="0.25">
      <c r="A556" s="126"/>
      <c r="B556" s="111"/>
      <c r="C556" s="111"/>
      <c r="D556" s="111"/>
      <c r="E556" s="127"/>
      <c r="F556" s="111"/>
      <c r="G556" s="111"/>
      <c r="H556" s="111"/>
      <c r="I556" s="128"/>
    </row>
    <row r="557" spans="1:9" ht="15" x14ac:dyDescent="0.25">
      <c r="A557" s="126"/>
      <c r="B557" s="111"/>
      <c r="C557" s="111"/>
      <c r="D557" s="111"/>
      <c r="E557" s="127"/>
      <c r="F557" s="111"/>
      <c r="G557" s="111"/>
      <c r="H557" s="111"/>
      <c r="I557" s="128"/>
    </row>
    <row r="558" spans="1:9" ht="15" x14ac:dyDescent="0.25">
      <c r="A558" s="126"/>
      <c r="B558" s="111"/>
      <c r="C558" s="111"/>
      <c r="D558" s="111"/>
      <c r="E558" s="127"/>
      <c r="F558" s="111"/>
      <c r="G558" s="111"/>
      <c r="H558" s="111"/>
      <c r="I558" s="128"/>
    </row>
    <row r="559" spans="1:9" ht="15" x14ac:dyDescent="0.25">
      <c r="A559" s="126"/>
      <c r="B559" s="111"/>
      <c r="C559" s="111"/>
      <c r="D559" s="111"/>
      <c r="E559" s="127"/>
      <c r="F559" s="111"/>
      <c r="G559" s="111"/>
      <c r="H559" s="111"/>
      <c r="I559" s="128"/>
    </row>
    <row r="560" spans="1:9" ht="15" x14ac:dyDescent="0.25">
      <c r="A560" s="126"/>
      <c r="B560" s="111"/>
      <c r="C560" s="111"/>
      <c r="D560" s="111"/>
      <c r="E560" s="127"/>
      <c r="F560" s="111"/>
      <c r="G560" s="111"/>
      <c r="H560" s="111"/>
      <c r="I560" s="128"/>
    </row>
    <row r="561" spans="1:9" ht="15" x14ac:dyDescent="0.25">
      <c r="A561" s="126"/>
      <c r="B561" s="111"/>
      <c r="C561" s="111"/>
      <c r="D561" s="111"/>
      <c r="E561" s="127"/>
      <c r="F561" s="111"/>
      <c r="G561" s="111"/>
      <c r="H561" s="111"/>
      <c r="I561" s="128"/>
    </row>
    <row r="562" spans="1:9" ht="15" x14ac:dyDescent="0.25">
      <c r="A562" s="126"/>
      <c r="B562" s="111"/>
      <c r="C562" s="111"/>
      <c r="D562" s="111"/>
      <c r="E562" s="127"/>
      <c r="F562" s="111"/>
      <c r="G562" s="111"/>
      <c r="H562" s="111"/>
      <c r="I562" s="128"/>
    </row>
    <row r="563" spans="1:9" ht="15" x14ac:dyDescent="0.25">
      <c r="A563" s="126"/>
      <c r="B563" s="111"/>
      <c r="C563" s="111"/>
      <c r="D563" s="111"/>
      <c r="E563" s="127"/>
      <c r="F563" s="111"/>
      <c r="G563" s="111"/>
      <c r="H563" s="111"/>
      <c r="I563" s="128"/>
    </row>
    <row r="564" spans="1:9" ht="15" x14ac:dyDescent="0.25">
      <c r="A564" s="126"/>
      <c r="B564" s="111"/>
      <c r="C564" s="111"/>
      <c r="D564" s="111"/>
      <c r="E564" s="127"/>
      <c r="F564" s="111"/>
      <c r="G564" s="111"/>
      <c r="H564" s="111"/>
      <c r="I564" s="128"/>
    </row>
    <row r="565" spans="1:9" ht="15" x14ac:dyDescent="0.25">
      <c r="A565" s="126"/>
      <c r="B565" s="111"/>
      <c r="C565" s="111"/>
      <c r="D565" s="111"/>
      <c r="E565" s="127"/>
      <c r="F565" s="111"/>
      <c r="G565" s="111"/>
      <c r="H565" s="111"/>
      <c r="I565" s="128"/>
    </row>
    <row r="566" spans="1:9" ht="15" x14ac:dyDescent="0.25">
      <c r="A566" s="126"/>
      <c r="B566" s="111"/>
      <c r="C566" s="111"/>
      <c r="D566" s="111"/>
      <c r="E566" s="127"/>
      <c r="F566" s="111"/>
      <c r="G566" s="111"/>
      <c r="H566" s="111"/>
      <c r="I566" s="128"/>
    </row>
    <row r="567" spans="1:9" ht="15" x14ac:dyDescent="0.25">
      <c r="A567" s="126"/>
      <c r="B567" s="111"/>
      <c r="C567" s="111"/>
      <c r="D567" s="111"/>
      <c r="E567" s="127"/>
      <c r="F567" s="111"/>
      <c r="G567" s="111"/>
      <c r="H567" s="111"/>
      <c r="I567" s="128"/>
    </row>
    <row r="568" spans="1:9" ht="15" x14ac:dyDescent="0.25">
      <c r="A568" s="126"/>
      <c r="B568" s="111"/>
      <c r="C568" s="111"/>
      <c r="D568" s="111"/>
      <c r="E568" s="127"/>
      <c r="F568" s="111"/>
      <c r="G568" s="111"/>
      <c r="H568" s="111"/>
      <c r="I568" s="128"/>
    </row>
    <row r="569" spans="1:9" ht="15" x14ac:dyDescent="0.25">
      <c r="A569" s="126"/>
      <c r="B569" s="111"/>
      <c r="C569" s="111"/>
      <c r="D569" s="111"/>
      <c r="E569" s="127"/>
      <c r="F569" s="111"/>
      <c r="G569" s="111"/>
      <c r="H569" s="111"/>
      <c r="I569" s="128"/>
    </row>
    <row r="570" spans="1:9" ht="15" x14ac:dyDescent="0.25">
      <c r="A570" s="126"/>
      <c r="B570" s="111"/>
      <c r="C570" s="111"/>
      <c r="D570" s="111"/>
      <c r="E570" s="127"/>
      <c r="F570" s="111"/>
      <c r="G570" s="111"/>
      <c r="H570" s="111"/>
      <c r="I570" s="128"/>
    </row>
    <row r="571" spans="1:9" ht="15" x14ac:dyDescent="0.25">
      <c r="A571" s="126"/>
      <c r="B571" s="111"/>
      <c r="C571" s="111"/>
      <c r="D571" s="111"/>
      <c r="E571" s="127"/>
      <c r="F571" s="111"/>
      <c r="G571" s="111"/>
      <c r="H571" s="111"/>
      <c r="I571" s="128"/>
    </row>
    <row r="572" spans="1:9" ht="15" x14ac:dyDescent="0.25">
      <c r="A572" s="126"/>
      <c r="B572" s="111"/>
      <c r="C572" s="111"/>
      <c r="D572" s="111"/>
      <c r="E572" s="127"/>
      <c r="F572" s="111"/>
      <c r="G572" s="111"/>
      <c r="H572" s="111"/>
      <c r="I572" s="128"/>
    </row>
    <row r="573" spans="1:9" ht="15" x14ac:dyDescent="0.25">
      <c r="A573" s="126"/>
      <c r="B573" s="111"/>
      <c r="C573" s="111"/>
      <c r="D573" s="111"/>
      <c r="E573" s="127"/>
      <c r="F573" s="111"/>
      <c r="G573" s="111"/>
      <c r="H573" s="111"/>
      <c r="I573" s="128"/>
    </row>
    <row r="574" spans="1:9" ht="15" x14ac:dyDescent="0.25">
      <c r="A574" s="126"/>
      <c r="B574" s="111"/>
      <c r="C574" s="111"/>
      <c r="D574" s="111"/>
      <c r="E574" s="127"/>
      <c r="F574" s="111"/>
      <c r="G574" s="111"/>
      <c r="H574" s="111"/>
      <c r="I574" s="128"/>
    </row>
    <row r="575" spans="1:9" ht="15" x14ac:dyDescent="0.25">
      <c r="A575" s="126"/>
      <c r="B575" s="111"/>
      <c r="C575" s="111"/>
      <c r="D575" s="111"/>
      <c r="E575" s="127"/>
      <c r="F575" s="111"/>
      <c r="G575" s="111"/>
      <c r="H575" s="111"/>
      <c r="I575" s="128"/>
    </row>
    <row r="576" spans="1:9" ht="15" x14ac:dyDescent="0.25">
      <c r="A576" s="126"/>
      <c r="B576" s="111"/>
      <c r="C576" s="111"/>
      <c r="D576" s="111"/>
      <c r="E576" s="127"/>
      <c r="F576" s="111"/>
      <c r="G576" s="111"/>
      <c r="H576" s="111"/>
      <c r="I576" s="128"/>
    </row>
    <row r="577" spans="1:9" ht="15" x14ac:dyDescent="0.25">
      <c r="A577" s="126"/>
      <c r="B577" s="111"/>
      <c r="C577" s="111"/>
      <c r="D577" s="111"/>
      <c r="E577" s="127"/>
      <c r="F577" s="111"/>
      <c r="G577" s="111"/>
      <c r="H577" s="111"/>
      <c r="I577" s="128"/>
    </row>
    <row r="578" spans="1:9" ht="15" x14ac:dyDescent="0.25">
      <c r="A578" s="126"/>
      <c r="B578" s="111"/>
      <c r="C578" s="111"/>
      <c r="D578" s="111"/>
      <c r="E578" s="127"/>
      <c r="F578" s="111"/>
      <c r="G578" s="111"/>
      <c r="H578" s="111"/>
      <c r="I578" s="128"/>
    </row>
    <row r="579" spans="1:9" ht="15" x14ac:dyDescent="0.25">
      <c r="A579" s="126"/>
      <c r="B579" s="111"/>
      <c r="C579" s="111"/>
      <c r="D579" s="111"/>
      <c r="E579" s="127"/>
      <c r="F579" s="111"/>
      <c r="G579" s="111"/>
      <c r="H579" s="111"/>
      <c r="I579" s="128"/>
    </row>
    <row r="580" spans="1:9" ht="15" x14ac:dyDescent="0.25">
      <c r="A580" s="126"/>
      <c r="B580" s="111"/>
      <c r="C580" s="111"/>
      <c r="D580" s="111"/>
      <c r="E580" s="127"/>
      <c r="F580" s="111"/>
      <c r="G580" s="111"/>
      <c r="H580" s="111"/>
      <c r="I580" s="128"/>
    </row>
    <row r="581" spans="1:9" ht="15" x14ac:dyDescent="0.25">
      <c r="A581" s="126"/>
      <c r="B581" s="111"/>
      <c r="C581" s="111"/>
      <c r="D581" s="111"/>
      <c r="E581" s="127"/>
      <c r="F581" s="111"/>
      <c r="G581" s="111"/>
      <c r="H581" s="111"/>
      <c r="I581" s="128"/>
    </row>
    <row r="582" spans="1:9" ht="15" x14ac:dyDescent="0.25">
      <c r="A582" s="126"/>
      <c r="B582" s="111"/>
      <c r="C582" s="111"/>
      <c r="D582" s="111"/>
      <c r="E582" s="127"/>
      <c r="F582" s="111"/>
      <c r="G582" s="111"/>
      <c r="H582" s="111"/>
      <c r="I582" s="128"/>
    </row>
    <row r="583" spans="1:9" ht="15" x14ac:dyDescent="0.25">
      <c r="A583" s="126"/>
      <c r="B583" s="111"/>
      <c r="C583" s="111"/>
      <c r="D583" s="111"/>
      <c r="E583" s="127"/>
      <c r="F583" s="111"/>
      <c r="G583" s="111"/>
      <c r="H583" s="111"/>
      <c r="I583" s="128"/>
    </row>
    <row r="584" spans="1:9" ht="15" x14ac:dyDescent="0.25">
      <c r="A584" s="126"/>
      <c r="B584" s="111"/>
      <c r="C584" s="111"/>
      <c r="D584" s="111"/>
      <c r="E584" s="127"/>
      <c r="F584" s="111"/>
      <c r="G584" s="111"/>
      <c r="H584" s="111"/>
      <c r="I584" s="128"/>
    </row>
    <row r="585" spans="1:9" ht="15" x14ac:dyDescent="0.25">
      <c r="A585" s="126"/>
      <c r="B585" s="111"/>
      <c r="C585" s="111"/>
      <c r="D585" s="111"/>
      <c r="E585" s="127"/>
      <c r="F585" s="111"/>
      <c r="G585" s="111"/>
      <c r="H585" s="111"/>
      <c r="I585" s="128"/>
    </row>
    <row r="586" spans="1:9" ht="15" x14ac:dyDescent="0.25">
      <c r="A586" s="126"/>
      <c r="B586" s="111"/>
      <c r="C586" s="111"/>
      <c r="D586" s="111"/>
      <c r="E586" s="127"/>
      <c r="F586" s="111"/>
      <c r="G586" s="111"/>
      <c r="H586" s="111"/>
      <c r="I586" s="128"/>
    </row>
    <row r="587" spans="1:9" ht="15" x14ac:dyDescent="0.25">
      <c r="A587" s="126"/>
      <c r="B587" s="111"/>
      <c r="C587" s="111"/>
      <c r="D587" s="111"/>
      <c r="E587" s="127"/>
      <c r="F587" s="111"/>
      <c r="G587" s="111"/>
      <c r="H587" s="111"/>
      <c r="I587" s="128"/>
    </row>
    <row r="588" spans="1:9" ht="15" x14ac:dyDescent="0.25">
      <c r="A588" s="126"/>
      <c r="B588" s="111"/>
      <c r="C588" s="111"/>
      <c r="D588" s="111"/>
      <c r="E588" s="127"/>
      <c r="F588" s="111"/>
      <c r="G588" s="111"/>
      <c r="H588" s="111"/>
      <c r="I588" s="128"/>
    </row>
    <row r="589" spans="1:9" ht="15" x14ac:dyDescent="0.25">
      <c r="A589" s="126"/>
      <c r="B589" s="111"/>
      <c r="C589" s="111"/>
      <c r="D589" s="111"/>
      <c r="E589" s="127"/>
      <c r="F589" s="111"/>
      <c r="G589" s="111"/>
      <c r="H589" s="111"/>
      <c r="I589" s="128"/>
    </row>
    <row r="590" spans="1:9" ht="15" x14ac:dyDescent="0.25">
      <c r="A590" s="126"/>
      <c r="B590" s="111"/>
      <c r="C590" s="111"/>
      <c r="D590" s="111"/>
      <c r="E590" s="127"/>
      <c r="F590" s="111"/>
      <c r="G590" s="111"/>
      <c r="H590" s="111"/>
      <c r="I590" s="128"/>
    </row>
    <row r="591" spans="1:9" ht="15" x14ac:dyDescent="0.25">
      <c r="A591" s="126"/>
      <c r="B591" s="111"/>
      <c r="C591" s="111"/>
      <c r="D591" s="111"/>
      <c r="E591" s="127"/>
      <c r="F591" s="111"/>
      <c r="G591" s="111"/>
      <c r="H591" s="111"/>
      <c r="I591" s="128"/>
    </row>
    <row r="592" spans="1:9" ht="15" x14ac:dyDescent="0.25">
      <c r="A592" s="126"/>
      <c r="B592" s="111"/>
      <c r="C592" s="111"/>
      <c r="D592" s="111"/>
      <c r="E592" s="127"/>
      <c r="F592" s="111"/>
      <c r="G592" s="111"/>
      <c r="H592" s="111"/>
      <c r="I592" s="128"/>
    </row>
    <row r="593" spans="1:9" ht="15" x14ac:dyDescent="0.25">
      <c r="A593" s="126"/>
      <c r="B593" s="111"/>
      <c r="C593" s="111"/>
      <c r="D593" s="111"/>
      <c r="E593" s="127"/>
      <c r="F593" s="111"/>
      <c r="G593" s="111"/>
      <c r="H593" s="111"/>
      <c r="I593" s="128"/>
    </row>
    <row r="594" spans="1:9" ht="15" x14ac:dyDescent="0.25">
      <c r="A594" s="126"/>
      <c r="B594" s="111"/>
      <c r="C594" s="111"/>
      <c r="D594" s="111"/>
      <c r="E594" s="127"/>
      <c r="F594" s="111"/>
      <c r="G594" s="111"/>
      <c r="H594" s="111"/>
      <c r="I594" s="128"/>
    </row>
    <row r="595" spans="1:9" ht="15" x14ac:dyDescent="0.25">
      <c r="A595" s="126"/>
      <c r="B595" s="111"/>
      <c r="C595" s="111"/>
      <c r="D595" s="111"/>
      <c r="E595" s="127"/>
      <c r="F595" s="111"/>
      <c r="G595" s="111"/>
      <c r="H595" s="111"/>
      <c r="I595" s="128"/>
    </row>
    <row r="596" spans="1:9" ht="15" x14ac:dyDescent="0.25">
      <c r="A596" s="126"/>
      <c r="B596" s="111"/>
      <c r="C596" s="111"/>
      <c r="D596" s="111"/>
      <c r="E596" s="127"/>
      <c r="F596" s="111"/>
      <c r="G596" s="111"/>
      <c r="H596" s="111"/>
      <c r="I596" s="128"/>
    </row>
    <row r="597" spans="1:9" ht="15" x14ac:dyDescent="0.25">
      <c r="A597" s="126"/>
      <c r="B597" s="111"/>
      <c r="C597" s="111"/>
      <c r="D597" s="111"/>
      <c r="E597" s="127"/>
      <c r="F597" s="111"/>
      <c r="G597" s="111"/>
      <c r="H597" s="111"/>
      <c r="I597" s="128"/>
    </row>
    <row r="598" spans="1:9" ht="15" x14ac:dyDescent="0.25">
      <c r="A598" s="126"/>
      <c r="B598" s="111"/>
      <c r="C598" s="111"/>
      <c r="D598" s="111"/>
      <c r="E598" s="127"/>
      <c r="F598" s="111"/>
      <c r="G598" s="111"/>
      <c r="H598" s="111"/>
      <c r="I598" s="128"/>
    </row>
    <row r="599" spans="1:9" ht="15" x14ac:dyDescent="0.25">
      <c r="A599" s="126"/>
      <c r="B599" s="111"/>
      <c r="C599" s="111"/>
      <c r="D599" s="111"/>
      <c r="E599" s="127"/>
      <c r="F599" s="111"/>
      <c r="G599" s="111"/>
      <c r="H599" s="111"/>
      <c r="I599" s="128"/>
    </row>
    <row r="600" spans="1:9" ht="15" x14ac:dyDescent="0.25">
      <c r="A600" s="126"/>
      <c r="B600" s="111"/>
      <c r="C600" s="111"/>
      <c r="D600" s="111"/>
      <c r="E600" s="127"/>
      <c r="F600" s="111"/>
      <c r="G600" s="111"/>
      <c r="H600" s="111"/>
      <c r="I600" s="128"/>
    </row>
    <row r="601" spans="1:9" ht="15" x14ac:dyDescent="0.25">
      <c r="A601" s="126"/>
      <c r="B601" s="111"/>
      <c r="C601" s="111"/>
      <c r="D601" s="111"/>
      <c r="E601" s="127"/>
      <c r="F601" s="111"/>
      <c r="G601" s="111"/>
      <c r="H601" s="111"/>
      <c r="I601" s="128"/>
    </row>
    <row r="602" spans="1:9" ht="15" x14ac:dyDescent="0.25">
      <c r="A602" s="126"/>
      <c r="B602" s="111"/>
      <c r="C602" s="111"/>
      <c r="D602" s="111"/>
      <c r="E602" s="127"/>
      <c r="F602" s="111"/>
      <c r="G602" s="111"/>
      <c r="H602" s="111"/>
      <c r="I602" s="128"/>
    </row>
    <row r="603" spans="1:9" ht="15" x14ac:dyDescent="0.25">
      <c r="A603" s="126"/>
      <c r="B603" s="111"/>
      <c r="C603" s="111"/>
      <c r="D603" s="111"/>
      <c r="E603" s="127"/>
      <c r="F603" s="111"/>
      <c r="G603" s="111"/>
      <c r="H603" s="111"/>
      <c r="I603" s="128"/>
    </row>
    <row r="604" spans="1:9" ht="15" x14ac:dyDescent="0.25">
      <c r="A604" s="126"/>
      <c r="B604" s="111"/>
      <c r="C604" s="111"/>
      <c r="D604" s="111"/>
      <c r="E604" s="127"/>
      <c r="F604" s="111"/>
      <c r="G604" s="111"/>
      <c r="H604" s="111"/>
      <c r="I604" s="128"/>
    </row>
    <row r="605" spans="1:9" ht="15" x14ac:dyDescent="0.25">
      <c r="A605" s="126"/>
      <c r="B605" s="111"/>
      <c r="C605" s="111"/>
      <c r="D605" s="111"/>
      <c r="E605" s="127"/>
      <c r="F605" s="111"/>
      <c r="G605" s="111"/>
      <c r="H605" s="111"/>
      <c r="I605" s="128"/>
    </row>
    <row r="606" spans="1:9" ht="15" x14ac:dyDescent="0.25">
      <c r="A606" s="126"/>
      <c r="B606" s="111"/>
      <c r="C606" s="111"/>
      <c r="D606" s="111"/>
      <c r="E606" s="127"/>
      <c r="F606" s="111"/>
      <c r="G606" s="111"/>
      <c r="H606" s="111"/>
      <c r="I606" s="128"/>
    </row>
    <row r="607" spans="1:9" ht="15" x14ac:dyDescent="0.25">
      <c r="A607" s="126"/>
      <c r="B607" s="111"/>
      <c r="C607" s="111"/>
      <c r="D607" s="111"/>
      <c r="E607" s="127"/>
      <c r="F607" s="111"/>
      <c r="G607" s="111"/>
      <c r="H607" s="111"/>
      <c r="I607" s="128"/>
    </row>
    <row r="608" spans="1:9" ht="15" x14ac:dyDescent="0.25">
      <c r="A608" s="126"/>
      <c r="B608" s="111"/>
      <c r="C608" s="111"/>
      <c r="D608" s="111"/>
      <c r="E608" s="127"/>
      <c r="F608" s="111"/>
      <c r="G608" s="111"/>
      <c r="H608" s="111"/>
      <c r="I608" s="128"/>
    </row>
    <row r="609" spans="1:9" ht="15" x14ac:dyDescent="0.25">
      <c r="A609" s="126"/>
      <c r="B609" s="111"/>
      <c r="C609" s="111"/>
      <c r="D609" s="111"/>
      <c r="E609" s="127"/>
      <c r="F609" s="111"/>
      <c r="G609" s="111"/>
      <c r="H609" s="111"/>
      <c r="I609" s="128"/>
    </row>
    <row r="610" spans="1:9" ht="15" x14ac:dyDescent="0.25">
      <c r="A610" s="126"/>
      <c r="B610" s="111"/>
      <c r="C610" s="111"/>
      <c r="D610" s="111"/>
      <c r="E610" s="127"/>
      <c r="F610" s="111"/>
      <c r="G610" s="111"/>
      <c r="H610" s="111"/>
      <c r="I610" s="128"/>
    </row>
    <row r="611" spans="1:9" ht="15" x14ac:dyDescent="0.25">
      <c r="A611" s="126"/>
      <c r="B611" s="111"/>
      <c r="C611" s="111"/>
      <c r="D611" s="111"/>
      <c r="E611" s="127"/>
      <c r="F611" s="111"/>
      <c r="G611" s="111"/>
      <c r="H611" s="111"/>
      <c r="I611" s="128"/>
    </row>
    <row r="612" spans="1:9" ht="15" x14ac:dyDescent="0.25">
      <c r="A612" s="126"/>
      <c r="B612" s="111"/>
      <c r="C612" s="111"/>
      <c r="D612" s="111"/>
      <c r="E612" s="127"/>
      <c r="F612" s="111"/>
      <c r="G612" s="111"/>
      <c r="H612" s="111"/>
      <c r="I612" s="128"/>
    </row>
    <row r="613" spans="1:9" ht="15" x14ac:dyDescent="0.25">
      <c r="A613" s="126"/>
      <c r="B613" s="111"/>
      <c r="C613" s="111"/>
      <c r="D613" s="111"/>
      <c r="E613" s="127"/>
      <c r="F613" s="111"/>
      <c r="G613" s="111"/>
      <c r="H613" s="111"/>
      <c r="I613" s="128"/>
    </row>
    <row r="614" spans="1:9" ht="15" x14ac:dyDescent="0.25">
      <c r="A614" s="126"/>
      <c r="B614" s="111"/>
      <c r="C614" s="111"/>
      <c r="D614" s="111"/>
      <c r="E614" s="127"/>
      <c r="F614" s="111"/>
      <c r="G614" s="111"/>
      <c r="H614" s="111"/>
      <c r="I614" s="128"/>
    </row>
    <row r="615" spans="1:9" ht="15" x14ac:dyDescent="0.25">
      <c r="A615" s="126"/>
      <c r="B615" s="111"/>
      <c r="C615" s="111"/>
      <c r="D615" s="111"/>
      <c r="E615" s="127"/>
      <c r="F615" s="111"/>
      <c r="G615" s="111"/>
      <c r="H615" s="111"/>
      <c r="I615" s="128"/>
    </row>
    <row r="616" spans="1:9" ht="15" x14ac:dyDescent="0.25">
      <c r="A616" s="126"/>
      <c r="B616" s="111"/>
      <c r="C616" s="111"/>
      <c r="D616" s="111"/>
      <c r="E616" s="127"/>
      <c r="F616" s="111"/>
      <c r="G616" s="111"/>
      <c r="H616" s="111"/>
      <c r="I616" s="128"/>
    </row>
    <row r="617" spans="1:9" ht="15" x14ac:dyDescent="0.25">
      <c r="A617" s="126"/>
      <c r="B617" s="111"/>
      <c r="C617" s="111"/>
      <c r="D617" s="111"/>
      <c r="E617" s="127"/>
      <c r="F617" s="111"/>
      <c r="G617" s="111"/>
      <c r="H617" s="111"/>
      <c r="I617" s="128"/>
    </row>
    <row r="618" spans="1:9" ht="15" x14ac:dyDescent="0.25">
      <c r="A618" s="126"/>
      <c r="B618" s="111"/>
      <c r="C618" s="111"/>
      <c r="D618" s="111"/>
      <c r="E618" s="127"/>
      <c r="F618" s="111"/>
      <c r="G618" s="111"/>
      <c r="H618" s="111"/>
      <c r="I618" s="128"/>
    </row>
    <row r="619" spans="1:9" ht="15" x14ac:dyDescent="0.25">
      <c r="A619" s="126"/>
      <c r="B619" s="111"/>
      <c r="C619" s="111"/>
      <c r="D619" s="111"/>
      <c r="E619" s="127"/>
      <c r="F619" s="111"/>
      <c r="G619" s="111"/>
      <c r="H619" s="111"/>
      <c r="I619" s="128"/>
    </row>
    <row r="620" spans="1:9" ht="15" x14ac:dyDescent="0.25">
      <c r="A620" s="126"/>
      <c r="B620" s="111"/>
      <c r="C620" s="111"/>
      <c r="D620" s="111"/>
      <c r="E620" s="127"/>
      <c r="F620" s="111"/>
      <c r="G620" s="111"/>
      <c r="H620" s="111"/>
      <c r="I620" s="128"/>
    </row>
    <row r="621" spans="1:9" ht="15" x14ac:dyDescent="0.25">
      <c r="A621" s="126"/>
      <c r="B621" s="111"/>
      <c r="C621" s="111"/>
      <c r="D621" s="111"/>
      <c r="E621" s="127"/>
      <c r="F621" s="111"/>
      <c r="G621" s="111"/>
      <c r="H621" s="111"/>
      <c r="I621" s="128"/>
    </row>
    <row r="622" spans="1:9" ht="15" x14ac:dyDescent="0.25">
      <c r="A622" s="126"/>
      <c r="B622" s="111"/>
      <c r="C622" s="111"/>
      <c r="D622" s="111"/>
      <c r="E622" s="127"/>
      <c r="F622" s="111"/>
      <c r="G622" s="111"/>
      <c r="H622" s="111"/>
      <c r="I622" s="128"/>
    </row>
    <row r="623" spans="1:9" ht="15" x14ac:dyDescent="0.25">
      <c r="A623" s="126"/>
      <c r="B623" s="111"/>
      <c r="C623" s="111"/>
      <c r="D623" s="111"/>
      <c r="E623" s="127"/>
      <c r="F623" s="111"/>
      <c r="G623" s="111"/>
      <c r="H623" s="111"/>
      <c r="I623" s="128"/>
    </row>
    <row r="624" spans="1:9" ht="15" x14ac:dyDescent="0.25">
      <c r="A624" s="126"/>
      <c r="B624" s="111"/>
      <c r="C624" s="111"/>
      <c r="D624" s="111"/>
      <c r="E624" s="127"/>
      <c r="F624" s="111"/>
      <c r="G624" s="111"/>
      <c r="H624" s="111"/>
      <c r="I624" s="128"/>
    </row>
    <row r="625" spans="1:9" ht="15" x14ac:dyDescent="0.25">
      <c r="A625" s="126"/>
      <c r="B625" s="111"/>
      <c r="C625" s="111"/>
      <c r="D625" s="111"/>
      <c r="E625" s="127"/>
      <c r="F625" s="111"/>
      <c r="G625" s="111"/>
      <c r="H625" s="111"/>
      <c r="I625" s="128"/>
    </row>
    <row r="626" spans="1:9" ht="15" x14ac:dyDescent="0.25">
      <c r="A626" s="126"/>
      <c r="B626" s="111"/>
      <c r="C626" s="111"/>
      <c r="D626" s="111"/>
      <c r="E626" s="127"/>
      <c r="F626" s="111"/>
      <c r="G626" s="111"/>
      <c r="H626" s="111"/>
      <c r="I626" s="128"/>
    </row>
    <row r="627" spans="1:9" ht="15" x14ac:dyDescent="0.25">
      <c r="A627" s="126"/>
      <c r="B627" s="111"/>
      <c r="C627" s="111"/>
      <c r="D627" s="111"/>
      <c r="E627" s="127"/>
      <c r="F627" s="111"/>
      <c r="G627" s="111"/>
      <c r="H627" s="111"/>
      <c r="I627" s="128"/>
    </row>
    <row r="628" spans="1:9" ht="15" x14ac:dyDescent="0.25">
      <c r="A628" s="126"/>
      <c r="B628" s="111"/>
      <c r="C628" s="111"/>
      <c r="D628" s="111"/>
      <c r="E628" s="127"/>
      <c r="F628" s="111"/>
      <c r="G628" s="111"/>
      <c r="H628" s="111"/>
      <c r="I628" s="128"/>
    </row>
    <row r="629" spans="1:9" ht="15" x14ac:dyDescent="0.25">
      <c r="A629" s="126"/>
      <c r="B629" s="111"/>
      <c r="C629" s="111"/>
      <c r="D629" s="111"/>
      <c r="E629" s="127"/>
      <c r="F629" s="111"/>
      <c r="G629" s="111"/>
      <c r="H629" s="111"/>
      <c r="I629" s="128"/>
    </row>
    <row r="630" spans="1:9" ht="15" x14ac:dyDescent="0.25">
      <c r="A630" s="126"/>
      <c r="B630" s="111"/>
      <c r="C630" s="111"/>
      <c r="D630" s="111"/>
      <c r="E630" s="127"/>
      <c r="F630" s="111"/>
      <c r="G630" s="111"/>
      <c r="H630" s="111"/>
      <c r="I630" s="128"/>
    </row>
    <row r="631" spans="1:9" ht="15" x14ac:dyDescent="0.25">
      <c r="A631" s="126"/>
      <c r="B631" s="111"/>
      <c r="C631" s="111"/>
      <c r="D631" s="111"/>
      <c r="E631" s="127"/>
      <c r="F631" s="111"/>
      <c r="G631" s="111"/>
      <c r="H631" s="111"/>
      <c r="I631" s="128"/>
    </row>
    <row r="632" spans="1:9" ht="15" x14ac:dyDescent="0.25">
      <c r="A632" s="126"/>
      <c r="B632" s="111"/>
      <c r="C632" s="111"/>
      <c r="D632" s="111"/>
      <c r="E632" s="127"/>
      <c r="F632" s="111"/>
      <c r="G632" s="111"/>
      <c r="H632" s="111"/>
      <c r="I632" s="128"/>
    </row>
    <row r="633" spans="1:9" ht="15" x14ac:dyDescent="0.25">
      <c r="A633" s="126"/>
      <c r="B633" s="111"/>
      <c r="C633" s="111"/>
      <c r="D633" s="111"/>
      <c r="E633" s="127"/>
      <c r="F633" s="111"/>
      <c r="G633" s="111"/>
      <c r="H633" s="111"/>
      <c r="I633" s="128"/>
    </row>
    <row r="634" spans="1:9" ht="15" x14ac:dyDescent="0.25">
      <c r="A634" s="126"/>
      <c r="B634" s="111"/>
      <c r="C634" s="111"/>
      <c r="D634" s="111"/>
      <c r="E634" s="127"/>
      <c r="F634" s="111"/>
      <c r="G634" s="111"/>
      <c r="H634" s="111"/>
      <c r="I634" s="128"/>
    </row>
    <row r="635" spans="1:9" ht="15" x14ac:dyDescent="0.25">
      <c r="A635" s="126"/>
      <c r="B635" s="111"/>
      <c r="C635" s="111"/>
      <c r="D635" s="111"/>
      <c r="E635" s="127"/>
      <c r="F635" s="111"/>
      <c r="G635" s="111"/>
      <c r="H635" s="111"/>
      <c r="I635" s="128"/>
    </row>
    <row r="636" spans="1:9" ht="15" x14ac:dyDescent="0.25">
      <c r="A636" s="126"/>
      <c r="B636" s="111"/>
      <c r="C636" s="111"/>
      <c r="D636" s="111"/>
      <c r="E636" s="127"/>
      <c r="F636" s="111"/>
      <c r="G636" s="111"/>
      <c r="H636" s="111"/>
      <c r="I636" s="128"/>
    </row>
    <row r="637" spans="1:9" ht="15" x14ac:dyDescent="0.25">
      <c r="A637" s="126"/>
      <c r="B637" s="111"/>
      <c r="C637" s="111"/>
      <c r="D637" s="111"/>
      <c r="E637" s="127"/>
      <c r="F637" s="111"/>
      <c r="G637" s="111"/>
      <c r="H637" s="111"/>
      <c r="I637" s="128"/>
    </row>
    <row r="638" spans="1:9" ht="15" x14ac:dyDescent="0.25">
      <c r="A638" s="126"/>
      <c r="B638" s="111"/>
      <c r="C638" s="111"/>
      <c r="D638" s="111"/>
      <c r="E638" s="127"/>
      <c r="F638" s="111"/>
      <c r="G638" s="111"/>
      <c r="H638" s="111"/>
      <c r="I638" s="128"/>
    </row>
    <row r="639" spans="1:9" ht="15" x14ac:dyDescent="0.25">
      <c r="A639" s="126"/>
      <c r="B639" s="111"/>
      <c r="C639" s="111"/>
      <c r="D639" s="111"/>
      <c r="E639" s="127"/>
      <c r="F639" s="111"/>
      <c r="G639" s="111"/>
      <c r="H639" s="111"/>
      <c r="I639" s="128"/>
    </row>
    <row r="640" spans="1:9" ht="15" x14ac:dyDescent="0.25">
      <c r="A640" s="126"/>
      <c r="B640" s="111"/>
      <c r="C640" s="111"/>
      <c r="D640" s="111"/>
      <c r="E640" s="127"/>
      <c r="F640" s="111"/>
      <c r="G640" s="111"/>
      <c r="H640" s="111"/>
      <c r="I640" s="128"/>
    </row>
    <row r="641" spans="1:9" ht="15" x14ac:dyDescent="0.25">
      <c r="A641" s="126"/>
      <c r="B641" s="111"/>
      <c r="C641" s="111"/>
      <c r="D641" s="111"/>
      <c r="E641" s="127"/>
      <c r="F641" s="111"/>
      <c r="G641" s="111"/>
      <c r="H641" s="111"/>
      <c r="I641" s="128"/>
    </row>
    <row r="642" spans="1:9" ht="15" x14ac:dyDescent="0.25">
      <c r="A642" s="126"/>
      <c r="B642" s="111"/>
      <c r="C642" s="111"/>
      <c r="D642" s="111"/>
      <c r="E642" s="127"/>
      <c r="F642" s="111"/>
      <c r="G642" s="111"/>
      <c r="H642" s="111"/>
      <c r="I642" s="128"/>
    </row>
    <row r="643" spans="1:9" ht="15" x14ac:dyDescent="0.25">
      <c r="A643" s="126"/>
      <c r="B643" s="111"/>
      <c r="C643" s="111"/>
      <c r="D643" s="111"/>
      <c r="E643" s="127"/>
      <c r="F643" s="111"/>
      <c r="G643" s="111"/>
      <c r="H643" s="111"/>
      <c r="I643" s="128"/>
    </row>
    <row r="644" spans="1:9" ht="15" x14ac:dyDescent="0.25">
      <c r="A644" s="126"/>
      <c r="B644" s="111"/>
      <c r="C644" s="111"/>
      <c r="D644" s="111"/>
      <c r="E644" s="127"/>
      <c r="F644" s="111"/>
      <c r="G644" s="111"/>
      <c r="H644" s="111"/>
      <c r="I644" s="128"/>
    </row>
    <row r="645" spans="1:9" ht="15" x14ac:dyDescent="0.25">
      <c r="A645" s="126"/>
      <c r="B645" s="111"/>
      <c r="C645" s="111"/>
      <c r="D645" s="111"/>
      <c r="E645" s="127"/>
      <c r="F645" s="111"/>
      <c r="G645" s="111"/>
      <c r="H645" s="111"/>
      <c r="I645" s="128"/>
    </row>
    <row r="646" spans="1:9" ht="15" x14ac:dyDescent="0.25">
      <c r="A646" s="126"/>
      <c r="B646" s="111"/>
      <c r="C646" s="111"/>
      <c r="D646" s="111"/>
      <c r="E646" s="127"/>
      <c r="F646" s="111"/>
      <c r="G646" s="111"/>
      <c r="H646" s="111"/>
      <c r="I646" s="128"/>
    </row>
    <row r="647" spans="1:9" ht="15" x14ac:dyDescent="0.25">
      <c r="A647" s="126"/>
      <c r="B647" s="111"/>
      <c r="C647" s="111"/>
      <c r="D647" s="111"/>
      <c r="E647" s="127"/>
      <c r="F647" s="111"/>
      <c r="G647" s="111"/>
      <c r="H647" s="111"/>
      <c r="I647" s="128"/>
    </row>
    <row r="648" spans="1:9" ht="15" x14ac:dyDescent="0.25">
      <c r="A648" s="126"/>
      <c r="B648" s="111"/>
      <c r="C648" s="111"/>
      <c r="D648" s="111"/>
      <c r="E648" s="127"/>
      <c r="F648" s="111"/>
      <c r="G648" s="111"/>
      <c r="H648" s="111"/>
      <c r="I648" s="128"/>
    </row>
    <row r="649" spans="1:9" ht="15" x14ac:dyDescent="0.25">
      <c r="A649" s="126"/>
      <c r="B649" s="111"/>
      <c r="C649" s="111"/>
      <c r="D649" s="111"/>
      <c r="E649" s="127"/>
      <c r="F649" s="111"/>
      <c r="G649" s="111"/>
      <c r="H649" s="111"/>
      <c r="I649" s="128"/>
    </row>
    <row r="650" spans="1:9" ht="15" x14ac:dyDescent="0.25">
      <c r="A650" s="126"/>
      <c r="B650" s="111"/>
      <c r="C650" s="111"/>
      <c r="D650" s="111"/>
      <c r="E650" s="127"/>
      <c r="F650" s="111"/>
      <c r="G650" s="111"/>
      <c r="H650" s="111"/>
      <c r="I650" s="128"/>
    </row>
    <row r="651" spans="1:9" ht="15" x14ac:dyDescent="0.25">
      <c r="A651" s="126"/>
      <c r="B651" s="111"/>
      <c r="C651" s="111"/>
      <c r="D651" s="111"/>
      <c r="E651" s="127"/>
      <c r="F651" s="111"/>
      <c r="G651" s="111"/>
      <c r="H651" s="111"/>
      <c r="I651" s="128"/>
    </row>
    <row r="652" spans="1:9" ht="15" x14ac:dyDescent="0.25">
      <c r="A652" s="126"/>
      <c r="B652" s="111"/>
      <c r="C652" s="111"/>
      <c r="D652" s="111"/>
      <c r="E652" s="127"/>
      <c r="F652" s="111"/>
      <c r="G652" s="111"/>
      <c r="H652" s="111"/>
      <c r="I652" s="128"/>
    </row>
    <row r="653" spans="1:9" ht="15" x14ac:dyDescent="0.25">
      <c r="A653" s="126"/>
      <c r="B653" s="111"/>
      <c r="C653" s="111"/>
      <c r="D653" s="111"/>
      <c r="E653" s="127"/>
      <c r="F653" s="111"/>
      <c r="G653" s="111"/>
      <c r="H653" s="111"/>
      <c r="I653" s="128"/>
    </row>
    <row r="654" spans="1:9" ht="15" x14ac:dyDescent="0.25">
      <c r="A654" s="126"/>
      <c r="B654" s="111"/>
      <c r="C654" s="111"/>
      <c r="D654" s="111"/>
      <c r="E654" s="127"/>
      <c r="F654" s="111"/>
      <c r="G654" s="111"/>
      <c r="H654" s="111"/>
      <c r="I654" s="128"/>
    </row>
    <row r="655" spans="1:9" ht="15" x14ac:dyDescent="0.25">
      <c r="A655" s="126"/>
      <c r="B655" s="111"/>
      <c r="C655" s="111"/>
      <c r="D655" s="111"/>
      <c r="E655" s="127"/>
      <c r="F655" s="111"/>
      <c r="G655" s="111"/>
      <c r="H655" s="111"/>
      <c r="I655" s="128"/>
    </row>
    <row r="656" spans="1:9" ht="15" x14ac:dyDescent="0.25">
      <c r="A656" s="126"/>
      <c r="B656" s="111"/>
      <c r="C656" s="111"/>
      <c r="D656" s="111"/>
      <c r="E656" s="127"/>
      <c r="F656" s="111"/>
      <c r="G656" s="111"/>
      <c r="H656" s="111"/>
      <c r="I656" s="128"/>
    </row>
    <row r="657" spans="1:9" ht="15" x14ac:dyDescent="0.25">
      <c r="A657" s="126"/>
      <c r="B657" s="111"/>
      <c r="C657" s="111"/>
      <c r="D657" s="111"/>
      <c r="E657" s="127"/>
      <c r="F657" s="111"/>
      <c r="G657" s="111"/>
      <c r="H657" s="111"/>
      <c r="I657" s="128"/>
    </row>
    <row r="658" spans="1:9" ht="15" x14ac:dyDescent="0.25">
      <c r="A658" s="126"/>
      <c r="B658" s="111"/>
      <c r="C658" s="111"/>
      <c r="D658" s="111"/>
      <c r="E658" s="127"/>
      <c r="F658" s="111"/>
      <c r="G658" s="111"/>
      <c r="H658" s="111"/>
      <c r="I658" s="128"/>
    </row>
    <row r="659" spans="1:9" ht="15" x14ac:dyDescent="0.25">
      <c r="A659" s="126"/>
      <c r="B659" s="111"/>
      <c r="C659" s="111"/>
      <c r="D659" s="111"/>
      <c r="E659" s="127"/>
      <c r="F659" s="111"/>
      <c r="G659" s="111"/>
      <c r="H659" s="111"/>
      <c r="I659" s="128"/>
    </row>
    <row r="660" spans="1:9" ht="15" x14ac:dyDescent="0.25">
      <c r="A660" s="126"/>
      <c r="B660" s="111"/>
      <c r="C660" s="111"/>
      <c r="D660" s="111"/>
      <c r="E660" s="127"/>
      <c r="F660" s="111"/>
      <c r="G660" s="111"/>
      <c r="H660" s="111"/>
      <c r="I660" s="128"/>
    </row>
    <row r="661" spans="1:9" ht="15" x14ac:dyDescent="0.25">
      <c r="A661" s="126"/>
      <c r="B661" s="111"/>
      <c r="C661" s="111"/>
      <c r="D661" s="111"/>
      <c r="E661" s="127"/>
      <c r="F661" s="111"/>
      <c r="G661" s="111"/>
      <c r="H661" s="111"/>
      <c r="I661" s="128"/>
    </row>
    <row r="662" spans="1:9" ht="15" x14ac:dyDescent="0.25">
      <c r="A662" s="126"/>
      <c r="B662" s="111"/>
      <c r="C662" s="111"/>
      <c r="D662" s="111"/>
      <c r="E662" s="127"/>
      <c r="F662" s="111"/>
      <c r="G662" s="111"/>
      <c r="H662" s="111"/>
      <c r="I662" s="128"/>
    </row>
    <row r="663" spans="1:9" ht="15" x14ac:dyDescent="0.25">
      <c r="A663" s="126"/>
      <c r="B663" s="111"/>
      <c r="C663" s="111"/>
      <c r="D663" s="111"/>
      <c r="E663" s="127"/>
      <c r="F663" s="111"/>
      <c r="G663" s="111"/>
      <c r="H663" s="111"/>
      <c r="I663" s="128"/>
    </row>
    <row r="664" spans="1:9" ht="15" x14ac:dyDescent="0.25">
      <c r="A664" s="126"/>
      <c r="B664" s="111"/>
      <c r="C664" s="111"/>
      <c r="D664" s="111"/>
      <c r="E664" s="127"/>
      <c r="F664" s="111"/>
      <c r="G664" s="111"/>
      <c r="H664" s="111"/>
      <c r="I664" s="128"/>
    </row>
    <row r="665" spans="1:9" ht="15" x14ac:dyDescent="0.25">
      <c r="A665" s="126"/>
      <c r="B665" s="111"/>
      <c r="C665" s="111"/>
      <c r="D665" s="111"/>
      <c r="E665" s="127"/>
      <c r="F665" s="111"/>
      <c r="G665" s="111"/>
      <c r="H665" s="111"/>
      <c r="I665" s="128"/>
    </row>
    <row r="666" spans="1:9" ht="15" x14ac:dyDescent="0.25">
      <c r="A666" s="126"/>
      <c r="B666" s="111"/>
      <c r="C666" s="111"/>
      <c r="D666" s="111"/>
      <c r="E666" s="127"/>
      <c r="F666" s="111"/>
      <c r="G666" s="111"/>
      <c r="H666" s="111"/>
      <c r="I666" s="128"/>
    </row>
    <row r="667" spans="1:9" ht="15" x14ac:dyDescent="0.25">
      <c r="A667" s="126"/>
      <c r="B667" s="111"/>
      <c r="C667" s="111"/>
      <c r="D667" s="111"/>
      <c r="E667" s="127"/>
      <c r="F667" s="111"/>
      <c r="G667" s="111"/>
      <c r="H667" s="111"/>
      <c r="I667" s="128"/>
    </row>
    <row r="668" spans="1:9" ht="15" x14ac:dyDescent="0.25">
      <c r="A668" s="126"/>
      <c r="B668" s="111"/>
      <c r="C668" s="111"/>
      <c r="D668" s="111"/>
      <c r="E668" s="127"/>
      <c r="F668" s="111"/>
      <c r="G668" s="111"/>
      <c r="H668" s="111"/>
      <c r="I668" s="128"/>
    </row>
    <row r="669" spans="1:9" ht="15" x14ac:dyDescent="0.25">
      <c r="A669" s="126"/>
      <c r="B669" s="111"/>
      <c r="C669" s="111"/>
      <c r="D669" s="111"/>
      <c r="E669" s="127"/>
      <c r="F669" s="111"/>
      <c r="G669" s="111"/>
      <c r="H669" s="111"/>
      <c r="I669" s="128"/>
    </row>
    <row r="670" spans="1:9" ht="15" x14ac:dyDescent="0.25">
      <c r="A670" s="126"/>
      <c r="B670" s="111"/>
      <c r="C670" s="111"/>
      <c r="D670" s="111"/>
      <c r="E670" s="127"/>
      <c r="F670" s="111"/>
      <c r="G670" s="111"/>
      <c r="H670" s="111"/>
      <c r="I670" s="128"/>
    </row>
    <row r="671" spans="1:9" ht="15" x14ac:dyDescent="0.25">
      <c r="A671" s="126"/>
      <c r="B671" s="111"/>
      <c r="C671" s="111"/>
      <c r="D671" s="111"/>
      <c r="E671" s="127"/>
      <c r="F671" s="111"/>
      <c r="G671" s="111"/>
      <c r="H671" s="111"/>
      <c r="I671" s="128"/>
    </row>
    <row r="672" spans="1:9" ht="15" x14ac:dyDescent="0.25">
      <c r="A672" s="126"/>
      <c r="B672" s="111"/>
      <c r="C672" s="111"/>
      <c r="D672" s="111"/>
      <c r="E672" s="127"/>
      <c r="F672" s="111"/>
      <c r="G672" s="111"/>
      <c r="H672" s="111"/>
      <c r="I672" s="128"/>
    </row>
    <row r="673" spans="1:9" ht="15" x14ac:dyDescent="0.25">
      <c r="A673" s="126"/>
      <c r="B673" s="111"/>
      <c r="C673" s="111"/>
      <c r="D673" s="111"/>
      <c r="E673" s="127"/>
      <c r="F673" s="111"/>
      <c r="G673" s="111"/>
      <c r="H673" s="111"/>
      <c r="I673" s="128"/>
    </row>
    <row r="674" spans="1:9" ht="15" x14ac:dyDescent="0.25">
      <c r="A674" s="126"/>
      <c r="B674" s="111"/>
      <c r="C674" s="111"/>
      <c r="D674" s="111"/>
      <c r="E674" s="127"/>
      <c r="F674" s="111"/>
      <c r="G674" s="111"/>
      <c r="H674" s="111"/>
      <c r="I674" s="128"/>
    </row>
    <row r="675" spans="1:9" ht="15" x14ac:dyDescent="0.25">
      <c r="A675" s="126"/>
      <c r="B675" s="111"/>
      <c r="C675" s="111"/>
      <c r="D675" s="111"/>
      <c r="E675" s="127"/>
      <c r="F675" s="111"/>
      <c r="G675" s="111"/>
      <c r="H675" s="111"/>
      <c r="I675" s="128"/>
    </row>
    <row r="676" spans="1:9" ht="15" x14ac:dyDescent="0.25">
      <c r="A676" s="126"/>
      <c r="B676" s="111"/>
      <c r="C676" s="111"/>
      <c r="D676" s="111"/>
      <c r="E676" s="127"/>
      <c r="F676" s="111"/>
      <c r="G676" s="111"/>
      <c r="H676" s="111"/>
      <c r="I676" s="128"/>
    </row>
    <row r="677" spans="1:9" ht="15" x14ac:dyDescent="0.25">
      <c r="A677" s="126"/>
      <c r="B677" s="111"/>
      <c r="C677" s="111"/>
      <c r="D677" s="111"/>
      <c r="E677" s="127"/>
      <c r="F677" s="111"/>
      <c r="G677" s="111"/>
      <c r="H677" s="111"/>
      <c r="I677" s="128"/>
    </row>
    <row r="678" spans="1:9" ht="15" x14ac:dyDescent="0.25">
      <c r="A678" s="126"/>
      <c r="B678" s="111"/>
      <c r="C678" s="111"/>
      <c r="D678" s="111"/>
      <c r="E678" s="127"/>
      <c r="F678" s="111"/>
      <c r="G678" s="111"/>
      <c r="H678" s="111"/>
      <c r="I678" s="128"/>
    </row>
    <row r="679" spans="1:9" ht="15" x14ac:dyDescent="0.25">
      <c r="A679" s="126"/>
      <c r="B679" s="111"/>
      <c r="C679" s="111"/>
      <c r="D679" s="111"/>
      <c r="E679" s="127"/>
      <c r="F679" s="111"/>
      <c r="G679" s="111"/>
      <c r="H679" s="111"/>
      <c r="I679" s="128"/>
    </row>
    <row r="680" spans="1:9" ht="15" x14ac:dyDescent="0.25">
      <c r="A680" s="126"/>
      <c r="B680" s="111"/>
      <c r="C680" s="111"/>
      <c r="D680" s="111"/>
      <c r="E680" s="127"/>
      <c r="F680" s="111"/>
      <c r="G680" s="111"/>
      <c r="H680" s="111"/>
      <c r="I680" s="128"/>
    </row>
    <row r="681" spans="1:9" ht="15" x14ac:dyDescent="0.25">
      <c r="A681" s="126"/>
      <c r="B681" s="111"/>
      <c r="C681" s="111"/>
      <c r="D681" s="111"/>
      <c r="E681" s="127"/>
      <c r="F681" s="111"/>
      <c r="G681" s="111"/>
      <c r="H681" s="111"/>
      <c r="I681" s="128"/>
    </row>
    <row r="682" spans="1:9" ht="15" x14ac:dyDescent="0.25">
      <c r="A682" s="126"/>
      <c r="B682" s="111"/>
      <c r="C682" s="111"/>
      <c r="D682" s="111"/>
      <c r="E682" s="127"/>
      <c r="F682" s="111"/>
      <c r="G682" s="111"/>
      <c r="H682" s="111"/>
      <c r="I682" s="128"/>
    </row>
    <row r="683" spans="1:9" ht="15" x14ac:dyDescent="0.25">
      <c r="A683" s="126"/>
      <c r="B683" s="111"/>
      <c r="C683" s="111"/>
      <c r="D683" s="111"/>
      <c r="E683" s="127"/>
      <c r="F683" s="111"/>
      <c r="G683" s="111"/>
      <c r="H683" s="111"/>
      <c r="I683" s="128"/>
    </row>
    <row r="684" spans="1:9" ht="15" x14ac:dyDescent="0.25">
      <c r="A684" s="126"/>
      <c r="B684" s="111"/>
      <c r="C684" s="111"/>
      <c r="D684" s="111"/>
      <c r="E684" s="127"/>
      <c r="F684" s="111"/>
      <c r="G684" s="111"/>
      <c r="H684" s="111"/>
      <c r="I684" s="128"/>
    </row>
    <row r="685" spans="1:9" ht="15" x14ac:dyDescent="0.25">
      <c r="A685" s="126"/>
      <c r="B685" s="111"/>
      <c r="C685" s="111"/>
      <c r="D685" s="111"/>
      <c r="E685" s="127"/>
      <c r="F685" s="111"/>
      <c r="G685" s="111"/>
      <c r="H685" s="111"/>
      <c r="I685" s="128"/>
    </row>
    <row r="686" spans="1:9" ht="15" x14ac:dyDescent="0.25">
      <c r="A686" s="126"/>
      <c r="B686" s="111"/>
      <c r="C686" s="111"/>
      <c r="D686" s="111"/>
      <c r="E686" s="127"/>
      <c r="F686" s="111"/>
      <c r="G686" s="111"/>
      <c r="H686" s="111"/>
      <c r="I686" s="128"/>
    </row>
    <row r="687" spans="1:9" ht="15" x14ac:dyDescent="0.25">
      <c r="A687" s="126"/>
      <c r="B687" s="111"/>
      <c r="C687" s="111"/>
      <c r="D687" s="111"/>
      <c r="E687" s="127"/>
      <c r="F687" s="111"/>
      <c r="G687" s="111"/>
      <c r="H687" s="111"/>
      <c r="I687" s="128"/>
    </row>
    <row r="688" spans="1:9" ht="15" x14ac:dyDescent="0.25">
      <c r="A688" s="126"/>
      <c r="B688" s="111"/>
      <c r="C688" s="111"/>
      <c r="D688" s="111"/>
      <c r="E688" s="127"/>
      <c r="F688" s="111"/>
      <c r="G688" s="111"/>
      <c r="H688" s="111"/>
      <c r="I688" s="128"/>
    </row>
    <row r="689" spans="1:9" ht="15" x14ac:dyDescent="0.25">
      <c r="A689" s="126"/>
      <c r="B689" s="111"/>
      <c r="C689" s="111"/>
      <c r="D689" s="111"/>
      <c r="E689" s="127"/>
      <c r="F689" s="111"/>
      <c r="G689" s="111"/>
      <c r="H689" s="111"/>
      <c r="I689" s="128"/>
    </row>
    <row r="690" spans="1:9" ht="15" x14ac:dyDescent="0.25">
      <c r="A690" s="126"/>
      <c r="B690" s="111"/>
      <c r="C690" s="111"/>
      <c r="D690" s="111"/>
      <c r="E690" s="127"/>
      <c r="F690" s="111"/>
      <c r="G690" s="111"/>
      <c r="H690" s="111"/>
      <c r="I690" s="128"/>
    </row>
    <row r="691" spans="1:9" ht="15" x14ac:dyDescent="0.25">
      <c r="A691" s="126"/>
      <c r="B691" s="111"/>
      <c r="C691" s="111"/>
      <c r="D691" s="111"/>
      <c r="E691" s="127"/>
      <c r="F691" s="111"/>
      <c r="G691" s="111"/>
      <c r="H691" s="111"/>
      <c r="I691" s="128"/>
    </row>
    <row r="692" spans="1:9" ht="15" x14ac:dyDescent="0.25">
      <c r="A692" s="126"/>
      <c r="B692" s="111"/>
      <c r="C692" s="111"/>
      <c r="D692" s="111"/>
      <c r="E692" s="127"/>
      <c r="F692" s="111"/>
      <c r="G692" s="111"/>
      <c r="H692" s="111"/>
      <c r="I692" s="128"/>
    </row>
    <row r="693" spans="1:9" ht="15" x14ac:dyDescent="0.25">
      <c r="A693" s="126"/>
      <c r="B693" s="111"/>
      <c r="C693" s="111"/>
      <c r="D693" s="111"/>
      <c r="E693" s="127"/>
      <c r="F693" s="111"/>
      <c r="G693" s="111"/>
      <c r="H693" s="111"/>
      <c r="I693" s="128"/>
    </row>
    <row r="694" spans="1:9" ht="15" x14ac:dyDescent="0.25">
      <c r="A694" s="126"/>
      <c r="B694" s="111"/>
      <c r="C694" s="111"/>
      <c r="D694" s="111"/>
      <c r="E694" s="127"/>
      <c r="F694" s="111"/>
      <c r="G694" s="111"/>
      <c r="H694" s="111"/>
      <c r="I694" s="128"/>
    </row>
    <row r="695" spans="1:9" ht="15" x14ac:dyDescent="0.25">
      <c r="A695" s="126"/>
      <c r="B695" s="111"/>
      <c r="C695" s="111"/>
      <c r="D695" s="111"/>
      <c r="E695" s="127"/>
      <c r="F695" s="111"/>
      <c r="G695" s="111"/>
      <c r="H695" s="111"/>
      <c r="I695" s="128"/>
    </row>
    <row r="696" spans="1:9" ht="15" x14ac:dyDescent="0.25">
      <c r="A696" s="126"/>
      <c r="B696" s="111"/>
      <c r="C696" s="111"/>
      <c r="D696" s="111"/>
      <c r="E696" s="127"/>
      <c r="F696" s="111"/>
      <c r="G696" s="111"/>
      <c r="H696" s="111"/>
      <c r="I696" s="128"/>
    </row>
    <row r="697" spans="1:9" ht="15" x14ac:dyDescent="0.25">
      <c r="A697" s="126"/>
      <c r="B697" s="111"/>
      <c r="C697" s="111"/>
      <c r="D697" s="111"/>
      <c r="E697" s="127"/>
      <c r="F697" s="111"/>
      <c r="G697" s="111"/>
      <c r="H697" s="111"/>
      <c r="I697" s="128"/>
    </row>
    <row r="698" spans="1:9" ht="15" x14ac:dyDescent="0.25">
      <c r="A698" s="126"/>
      <c r="B698" s="111"/>
      <c r="C698" s="111"/>
      <c r="D698" s="111"/>
      <c r="E698" s="127"/>
      <c r="F698" s="111"/>
      <c r="G698" s="111"/>
      <c r="H698" s="111"/>
      <c r="I698" s="128"/>
    </row>
    <row r="699" spans="1:9" ht="15" x14ac:dyDescent="0.25">
      <c r="A699" s="126"/>
      <c r="B699" s="111"/>
      <c r="C699" s="111"/>
      <c r="D699" s="111"/>
      <c r="E699" s="127"/>
      <c r="F699" s="111"/>
      <c r="G699" s="111"/>
      <c r="H699" s="111"/>
      <c r="I699" s="128"/>
    </row>
    <row r="700" spans="1:9" ht="15" x14ac:dyDescent="0.25">
      <c r="A700" s="126"/>
      <c r="B700" s="111"/>
      <c r="C700" s="111"/>
      <c r="D700" s="111"/>
      <c r="E700" s="127"/>
      <c r="F700" s="111"/>
      <c r="G700" s="111"/>
      <c r="H700" s="111"/>
      <c r="I700" s="128"/>
    </row>
    <row r="701" spans="1:9" ht="15" x14ac:dyDescent="0.25">
      <c r="A701" s="126"/>
      <c r="B701" s="111"/>
      <c r="C701" s="111"/>
      <c r="D701" s="111"/>
      <c r="E701" s="127"/>
      <c r="F701" s="111"/>
      <c r="G701" s="111"/>
      <c r="H701" s="111"/>
      <c r="I701" s="128"/>
    </row>
    <row r="702" spans="1:9" ht="15" x14ac:dyDescent="0.25">
      <c r="A702" s="126"/>
      <c r="B702" s="111"/>
      <c r="C702" s="111"/>
      <c r="D702" s="111"/>
      <c r="E702" s="127"/>
      <c r="F702" s="111"/>
      <c r="G702" s="111"/>
      <c r="H702" s="111"/>
      <c r="I702" s="128"/>
    </row>
    <row r="703" spans="1:9" ht="15" x14ac:dyDescent="0.25">
      <c r="A703" s="126"/>
      <c r="B703" s="111"/>
      <c r="C703" s="111"/>
      <c r="D703" s="111"/>
      <c r="E703" s="127"/>
      <c r="F703" s="111"/>
      <c r="G703" s="111"/>
      <c r="H703" s="111"/>
      <c r="I703" s="128"/>
    </row>
    <row r="704" spans="1:9" ht="15" x14ac:dyDescent="0.25">
      <c r="A704" s="126"/>
      <c r="B704" s="111"/>
      <c r="C704" s="111"/>
      <c r="D704" s="111"/>
      <c r="E704" s="127"/>
      <c r="F704" s="111"/>
      <c r="G704" s="111"/>
      <c r="H704" s="111"/>
      <c r="I704" s="128"/>
    </row>
    <row r="705" spans="1:9" ht="15" x14ac:dyDescent="0.25">
      <c r="A705" s="126"/>
      <c r="B705" s="111"/>
      <c r="C705" s="111"/>
      <c r="D705" s="111"/>
      <c r="E705" s="127"/>
      <c r="F705" s="111"/>
      <c r="G705" s="111"/>
      <c r="H705" s="111"/>
      <c r="I705" s="128"/>
    </row>
    <row r="706" spans="1:9" ht="15" x14ac:dyDescent="0.25">
      <c r="A706" s="126"/>
      <c r="B706" s="111"/>
      <c r="C706" s="111"/>
      <c r="D706" s="111"/>
      <c r="E706" s="127"/>
      <c r="F706" s="111"/>
      <c r="G706" s="111"/>
      <c r="H706" s="111"/>
      <c r="I706" s="128"/>
    </row>
    <row r="707" spans="1:9" ht="15" x14ac:dyDescent="0.25">
      <c r="A707" s="126"/>
      <c r="B707" s="111"/>
      <c r="C707" s="111"/>
      <c r="D707" s="111"/>
      <c r="E707" s="127"/>
      <c r="F707" s="111"/>
      <c r="G707" s="111"/>
      <c r="H707" s="111"/>
      <c r="I707" s="128"/>
    </row>
    <row r="708" spans="1:9" ht="15" x14ac:dyDescent="0.25">
      <c r="A708" s="126"/>
      <c r="B708" s="111"/>
      <c r="C708" s="111"/>
      <c r="D708" s="111"/>
      <c r="E708" s="127"/>
      <c r="F708" s="111"/>
      <c r="G708" s="111"/>
      <c r="H708" s="111"/>
      <c r="I708" s="128"/>
    </row>
    <row r="709" spans="1:9" ht="15" x14ac:dyDescent="0.25">
      <c r="A709" s="126"/>
      <c r="B709" s="111"/>
      <c r="C709" s="111"/>
      <c r="D709" s="111"/>
      <c r="E709" s="127"/>
      <c r="F709" s="111"/>
      <c r="G709" s="111"/>
      <c r="H709" s="111"/>
      <c r="I709" s="128"/>
    </row>
    <row r="710" spans="1:9" ht="15" x14ac:dyDescent="0.25">
      <c r="A710" s="126"/>
      <c r="B710" s="111"/>
      <c r="C710" s="111"/>
      <c r="D710" s="111"/>
      <c r="E710" s="127"/>
      <c r="F710" s="111"/>
      <c r="G710" s="111"/>
      <c r="H710" s="111"/>
      <c r="I710" s="128"/>
    </row>
    <row r="711" spans="1:9" ht="15" x14ac:dyDescent="0.25">
      <c r="A711" s="126"/>
      <c r="B711" s="111"/>
      <c r="C711" s="111"/>
      <c r="D711" s="111"/>
      <c r="E711" s="127"/>
      <c r="F711" s="111"/>
      <c r="G711" s="111"/>
      <c r="H711" s="111"/>
      <c r="I711" s="128"/>
    </row>
    <row r="712" spans="1:9" ht="15" x14ac:dyDescent="0.25">
      <c r="A712" s="126"/>
      <c r="B712" s="111"/>
      <c r="C712" s="111"/>
      <c r="D712" s="111"/>
      <c r="E712" s="127"/>
      <c r="F712" s="111"/>
      <c r="G712" s="111"/>
      <c r="H712" s="111"/>
      <c r="I712" s="128"/>
    </row>
    <row r="713" spans="1:9" ht="15" x14ac:dyDescent="0.25">
      <c r="A713" s="126"/>
      <c r="B713" s="111"/>
      <c r="C713" s="111"/>
      <c r="D713" s="111"/>
      <c r="E713" s="127"/>
      <c r="F713" s="111"/>
      <c r="G713" s="111"/>
      <c r="H713" s="111"/>
      <c r="I713" s="128"/>
    </row>
    <row r="714" spans="1:9" ht="15" x14ac:dyDescent="0.25">
      <c r="A714" s="126"/>
      <c r="B714" s="111"/>
      <c r="C714" s="111"/>
      <c r="D714" s="111"/>
      <c r="E714" s="127"/>
      <c r="F714" s="111"/>
      <c r="G714" s="111"/>
      <c r="H714" s="111"/>
      <c r="I714" s="128"/>
    </row>
    <row r="715" spans="1:9" ht="15" x14ac:dyDescent="0.25">
      <c r="A715" s="126"/>
      <c r="B715" s="111"/>
      <c r="C715" s="111"/>
      <c r="D715" s="111"/>
      <c r="E715" s="127"/>
      <c r="F715" s="111"/>
      <c r="G715" s="111"/>
      <c r="H715" s="111"/>
      <c r="I715" s="128"/>
    </row>
    <row r="716" spans="1:9" ht="15" x14ac:dyDescent="0.25">
      <c r="A716" s="126"/>
      <c r="B716" s="111"/>
      <c r="C716" s="111"/>
      <c r="D716" s="111"/>
      <c r="E716" s="127"/>
      <c r="F716" s="111"/>
      <c r="G716" s="111"/>
      <c r="H716" s="111"/>
      <c r="I716" s="128"/>
    </row>
    <row r="717" spans="1:9" ht="15" x14ac:dyDescent="0.25">
      <c r="A717" s="126"/>
      <c r="B717" s="111"/>
      <c r="C717" s="111"/>
      <c r="D717" s="111"/>
      <c r="E717" s="127"/>
      <c r="F717" s="111"/>
      <c r="G717" s="111"/>
      <c r="H717" s="111"/>
      <c r="I717" s="128"/>
    </row>
    <row r="718" spans="1:9" ht="15" x14ac:dyDescent="0.25">
      <c r="A718" s="126"/>
      <c r="B718" s="111"/>
      <c r="C718" s="111"/>
      <c r="D718" s="111"/>
      <c r="E718" s="127"/>
      <c r="F718" s="111"/>
      <c r="G718" s="111"/>
      <c r="H718" s="111"/>
      <c r="I718" s="128"/>
    </row>
    <row r="719" spans="1:9" ht="15" x14ac:dyDescent="0.25">
      <c r="A719" s="126"/>
      <c r="B719" s="111"/>
      <c r="C719" s="111"/>
      <c r="D719" s="111"/>
      <c r="E719" s="127"/>
      <c r="F719" s="111"/>
      <c r="G719" s="111"/>
      <c r="H719" s="111"/>
      <c r="I719" s="128"/>
    </row>
    <row r="720" spans="1:9" ht="15" x14ac:dyDescent="0.25">
      <c r="A720" s="126"/>
      <c r="B720" s="111"/>
      <c r="C720" s="111"/>
      <c r="D720" s="111"/>
      <c r="E720" s="127"/>
      <c r="F720" s="111"/>
      <c r="G720" s="111"/>
      <c r="H720" s="111"/>
      <c r="I720" s="128"/>
    </row>
    <row r="721" spans="1:9" ht="15" x14ac:dyDescent="0.25">
      <c r="A721" s="126"/>
      <c r="B721" s="111"/>
      <c r="C721" s="111"/>
      <c r="D721" s="111"/>
      <c r="E721" s="127"/>
      <c r="F721" s="111"/>
      <c r="G721" s="111"/>
      <c r="H721" s="111"/>
      <c r="I721" s="128"/>
    </row>
    <row r="722" spans="1:9" ht="15" x14ac:dyDescent="0.25">
      <c r="A722" s="126"/>
      <c r="B722" s="111"/>
      <c r="C722" s="111"/>
      <c r="D722" s="111"/>
      <c r="E722" s="127"/>
      <c r="F722" s="111"/>
      <c r="G722" s="111"/>
      <c r="H722" s="111"/>
      <c r="I722" s="128"/>
    </row>
    <row r="723" spans="1:9" ht="15" x14ac:dyDescent="0.25">
      <c r="A723" s="126"/>
      <c r="B723" s="111"/>
      <c r="C723" s="111"/>
      <c r="D723" s="111"/>
      <c r="E723" s="127"/>
      <c r="F723" s="111"/>
      <c r="G723" s="111"/>
      <c r="H723" s="111"/>
      <c r="I723" s="128"/>
    </row>
    <row r="724" spans="1:9" ht="15" x14ac:dyDescent="0.25">
      <c r="A724" s="126"/>
      <c r="B724" s="111"/>
      <c r="C724" s="111"/>
      <c r="D724" s="111"/>
      <c r="E724" s="127"/>
      <c r="F724" s="111"/>
      <c r="G724" s="111"/>
      <c r="H724" s="111"/>
      <c r="I724" s="128"/>
    </row>
    <row r="725" spans="1:9" ht="15" x14ac:dyDescent="0.25">
      <c r="A725" s="126"/>
      <c r="B725" s="111"/>
      <c r="C725" s="111"/>
      <c r="D725" s="111"/>
      <c r="E725" s="127"/>
      <c r="F725" s="111"/>
      <c r="G725" s="111"/>
      <c r="H725" s="111"/>
      <c r="I725" s="128"/>
    </row>
    <row r="726" spans="1:9" ht="15" x14ac:dyDescent="0.25">
      <c r="A726" s="126"/>
      <c r="B726" s="111"/>
      <c r="C726" s="111"/>
      <c r="D726" s="111"/>
      <c r="E726" s="127"/>
      <c r="F726" s="111"/>
      <c r="G726" s="111"/>
      <c r="H726" s="111"/>
      <c r="I726" s="128"/>
    </row>
    <row r="727" spans="1:9" ht="15" x14ac:dyDescent="0.25">
      <c r="A727" s="126"/>
      <c r="B727" s="111"/>
      <c r="C727" s="111"/>
      <c r="D727" s="111"/>
      <c r="E727" s="127"/>
      <c r="F727" s="111"/>
      <c r="G727" s="111"/>
      <c r="H727" s="111"/>
      <c r="I727" s="128"/>
    </row>
    <row r="728" spans="1:9" ht="15" x14ac:dyDescent="0.25">
      <c r="A728" s="126"/>
      <c r="B728" s="111"/>
      <c r="C728" s="111"/>
      <c r="D728" s="111"/>
      <c r="E728" s="127"/>
      <c r="F728" s="111"/>
      <c r="G728" s="111"/>
      <c r="H728" s="111"/>
      <c r="I728" s="128"/>
    </row>
    <row r="729" spans="1:9" ht="15" x14ac:dyDescent="0.25">
      <c r="A729" s="126"/>
      <c r="B729" s="111"/>
      <c r="C729" s="111"/>
      <c r="D729" s="111"/>
      <c r="E729" s="127"/>
      <c r="F729" s="111"/>
      <c r="G729" s="111"/>
      <c r="H729" s="111"/>
      <c r="I729" s="128"/>
    </row>
    <row r="730" spans="1:9" ht="15" x14ac:dyDescent="0.25">
      <c r="A730" s="126"/>
      <c r="B730" s="111"/>
      <c r="C730" s="111"/>
      <c r="D730" s="111"/>
      <c r="E730" s="127"/>
      <c r="F730" s="111"/>
      <c r="G730" s="111"/>
      <c r="H730" s="111"/>
      <c r="I730" s="128"/>
    </row>
    <row r="731" spans="1:9" ht="15" x14ac:dyDescent="0.25">
      <c r="A731" s="126"/>
      <c r="B731" s="111"/>
      <c r="C731" s="111"/>
      <c r="D731" s="111"/>
      <c r="E731" s="127"/>
      <c r="F731" s="111"/>
      <c r="G731" s="111"/>
      <c r="H731" s="111"/>
      <c r="I731" s="128"/>
    </row>
    <row r="732" spans="1:9" ht="15" x14ac:dyDescent="0.25">
      <c r="A732" s="126"/>
      <c r="B732" s="111"/>
      <c r="C732" s="111"/>
      <c r="D732" s="111"/>
      <c r="E732" s="127"/>
      <c r="F732" s="111"/>
      <c r="G732" s="111"/>
      <c r="H732" s="111"/>
      <c r="I732" s="128"/>
    </row>
    <row r="733" spans="1:9" ht="15" x14ac:dyDescent="0.25">
      <c r="A733" s="126"/>
      <c r="B733" s="111"/>
      <c r="C733" s="111"/>
      <c r="D733" s="111"/>
      <c r="E733" s="127"/>
      <c r="F733" s="111"/>
      <c r="G733" s="111"/>
      <c r="H733" s="111"/>
      <c r="I733" s="128"/>
    </row>
    <row r="734" spans="1:9" ht="15" x14ac:dyDescent="0.25">
      <c r="A734" s="126"/>
      <c r="B734" s="111"/>
      <c r="C734" s="111"/>
      <c r="D734" s="111"/>
      <c r="E734" s="127"/>
      <c r="F734" s="111"/>
      <c r="G734" s="111"/>
      <c r="H734" s="111"/>
      <c r="I734" s="128"/>
    </row>
    <row r="735" spans="1:9" ht="15" x14ac:dyDescent="0.25">
      <c r="A735" s="126"/>
      <c r="B735" s="111"/>
      <c r="C735" s="111"/>
      <c r="D735" s="111"/>
      <c r="E735" s="127"/>
      <c r="F735" s="111"/>
      <c r="G735" s="111"/>
      <c r="H735" s="111"/>
      <c r="I735" s="128"/>
    </row>
    <row r="736" spans="1:9" ht="15" x14ac:dyDescent="0.25">
      <c r="A736" s="126"/>
      <c r="B736" s="111"/>
      <c r="C736" s="111"/>
      <c r="D736" s="111"/>
      <c r="E736" s="127"/>
      <c r="F736" s="111"/>
      <c r="G736" s="111"/>
      <c r="H736" s="111"/>
      <c r="I736" s="128"/>
    </row>
    <row r="737" spans="1:9" ht="15" x14ac:dyDescent="0.25">
      <c r="A737" s="126"/>
      <c r="B737" s="111"/>
      <c r="C737" s="111"/>
      <c r="D737" s="111"/>
      <c r="E737" s="127"/>
      <c r="F737" s="111"/>
      <c r="G737" s="111"/>
      <c r="H737" s="111"/>
      <c r="I737" s="128"/>
    </row>
    <row r="738" spans="1:9" ht="15" x14ac:dyDescent="0.25">
      <c r="A738" s="126"/>
      <c r="B738" s="111"/>
      <c r="C738" s="111"/>
      <c r="D738" s="111"/>
      <c r="E738" s="127"/>
      <c r="F738" s="111"/>
      <c r="G738" s="111"/>
      <c r="H738" s="111"/>
      <c r="I738" s="128"/>
    </row>
    <row r="739" spans="1:9" ht="15" x14ac:dyDescent="0.25">
      <c r="A739" s="126"/>
      <c r="B739" s="111"/>
      <c r="C739" s="111"/>
      <c r="D739" s="111"/>
      <c r="E739" s="127"/>
      <c r="F739" s="111"/>
      <c r="G739" s="111"/>
      <c r="H739" s="111"/>
      <c r="I739" s="128"/>
    </row>
    <row r="740" spans="1:9" ht="15" x14ac:dyDescent="0.25">
      <c r="A740" s="126"/>
      <c r="B740" s="111"/>
      <c r="C740" s="111"/>
      <c r="D740" s="111"/>
      <c r="E740" s="127"/>
      <c r="F740" s="111"/>
      <c r="G740" s="111"/>
      <c r="H740" s="111"/>
      <c r="I740" s="128"/>
    </row>
    <row r="741" spans="1:9" ht="15" x14ac:dyDescent="0.25">
      <c r="A741" s="126"/>
      <c r="B741" s="111"/>
      <c r="C741" s="111"/>
      <c r="D741" s="111"/>
      <c r="E741" s="127"/>
      <c r="F741" s="111"/>
      <c r="G741" s="111"/>
      <c r="H741" s="111"/>
      <c r="I741" s="128"/>
    </row>
    <row r="742" spans="1:9" ht="15" x14ac:dyDescent="0.25">
      <c r="A742" s="126"/>
      <c r="B742" s="111"/>
      <c r="C742" s="111"/>
      <c r="D742" s="111"/>
      <c r="E742" s="127"/>
      <c r="F742" s="111"/>
      <c r="G742" s="111"/>
      <c r="H742" s="111"/>
      <c r="I742" s="128"/>
    </row>
    <row r="743" spans="1:9" ht="15" x14ac:dyDescent="0.25">
      <c r="A743" s="126"/>
      <c r="B743" s="111"/>
      <c r="C743" s="111"/>
      <c r="D743" s="111"/>
      <c r="E743" s="127"/>
      <c r="F743" s="111"/>
      <c r="G743" s="111"/>
      <c r="H743" s="111"/>
      <c r="I743" s="128"/>
    </row>
    <row r="744" spans="1:9" ht="15" x14ac:dyDescent="0.25">
      <c r="A744" s="126"/>
      <c r="B744" s="111"/>
      <c r="C744" s="111"/>
      <c r="D744" s="111"/>
      <c r="E744" s="127"/>
      <c r="F744" s="111"/>
      <c r="G744" s="111"/>
      <c r="H744" s="111"/>
      <c r="I744" s="128"/>
    </row>
    <row r="745" spans="1:9" ht="15" x14ac:dyDescent="0.25">
      <c r="A745" s="126"/>
      <c r="B745" s="111"/>
      <c r="C745" s="111"/>
      <c r="D745" s="111"/>
      <c r="E745" s="127"/>
      <c r="F745" s="111"/>
      <c r="G745" s="111"/>
      <c r="H745" s="111"/>
      <c r="I745" s="128"/>
    </row>
    <row r="746" spans="1:9" ht="15" x14ac:dyDescent="0.25">
      <c r="A746" s="126"/>
      <c r="B746" s="111"/>
      <c r="C746" s="111"/>
      <c r="D746" s="111"/>
      <c r="E746" s="127"/>
      <c r="F746" s="111"/>
      <c r="G746" s="111"/>
      <c r="H746" s="111"/>
      <c r="I746" s="128"/>
    </row>
    <row r="747" spans="1:9" ht="15" x14ac:dyDescent="0.25">
      <c r="A747" s="126"/>
      <c r="B747" s="111"/>
      <c r="C747" s="111"/>
      <c r="D747" s="111"/>
      <c r="E747" s="127"/>
      <c r="F747" s="111"/>
      <c r="G747" s="111"/>
      <c r="H747" s="111"/>
      <c r="I747" s="128"/>
    </row>
    <row r="748" spans="1:9" ht="15" x14ac:dyDescent="0.25">
      <c r="A748" s="126"/>
      <c r="B748" s="111"/>
      <c r="C748" s="111"/>
      <c r="D748" s="111"/>
      <c r="E748" s="127"/>
      <c r="F748" s="111"/>
      <c r="G748" s="111"/>
      <c r="H748" s="111"/>
      <c r="I748" s="128"/>
    </row>
    <row r="749" spans="1:9" ht="15" x14ac:dyDescent="0.25">
      <c r="A749" s="126"/>
      <c r="B749" s="111"/>
      <c r="C749" s="111"/>
      <c r="D749" s="111"/>
      <c r="E749" s="127"/>
      <c r="F749" s="111"/>
      <c r="G749" s="111"/>
      <c r="H749" s="111"/>
      <c r="I749" s="128"/>
    </row>
    <row r="750" spans="1:9" ht="15" x14ac:dyDescent="0.25">
      <c r="A750" s="126"/>
      <c r="B750" s="111"/>
      <c r="C750" s="111"/>
      <c r="D750" s="111"/>
      <c r="E750" s="127"/>
      <c r="F750" s="111"/>
      <c r="G750" s="111"/>
      <c r="H750" s="111"/>
      <c r="I750" s="128"/>
    </row>
    <row r="751" spans="1:9" ht="15" x14ac:dyDescent="0.25">
      <c r="A751" s="126"/>
      <c r="B751" s="111"/>
      <c r="C751" s="111"/>
      <c r="D751" s="111"/>
      <c r="E751" s="127"/>
      <c r="F751" s="111"/>
      <c r="G751" s="111"/>
      <c r="H751" s="111"/>
      <c r="I751" s="128"/>
    </row>
    <row r="752" spans="1:9" ht="15" x14ac:dyDescent="0.25">
      <c r="A752" s="126"/>
      <c r="B752" s="111"/>
      <c r="C752" s="111"/>
      <c r="D752" s="111"/>
      <c r="E752" s="127"/>
      <c r="F752" s="111"/>
      <c r="G752" s="111"/>
      <c r="H752" s="111"/>
      <c r="I752" s="128"/>
    </row>
    <row r="753" spans="1:9" ht="15" x14ac:dyDescent="0.25">
      <c r="A753" s="126"/>
      <c r="B753" s="111"/>
      <c r="C753" s="111"/>
      <c r="D753" s="111"/>
      <c r="E753" s="127"/>
      <c r="F753" s="111"/>
      <c r="G753" s="111"/>
      <c r="H753" s="111"/>
      <c r="I753" s="128"/>
    </row>
    <row r="754" spans="1:9" ht="15" x14ac:dyDescent="0.25">
      <c r="A754" s="126"/>
      <c r="B754" s="111"/>
      <c r="C754" s="111"/>
      <c r="D754" s="111"/>
      <c r="E754" s="127"/>
      <c r="F754" s="111"/>
      <c r="G754" s="111"/>
      <c r="H754" s="111"/>
      <c r="I754" s="128"/>
    </row>
    <row r="755" spans="1:9" ht="15" x14ac:dyDescent="0.25">
      <c r="A755" s="126"/>
      <c r="B755" s="111"/>
      <c r="C755" s="111"/>
      <c r="D755" s="111"/>
      <c r="E755" s="127"/>
      <c r="F755" s="111"/>
      <c r="G755" s="111"/>
      <c r="H755" s="111"/>
      <c r="I755" s="128"/>
    </row>
    <row r="756" spans="1:9" ht="15" x14ac:dyDescent="0.25">
      <c r="A756" s="126"/>
      <c r="B756" s="111"/>
      <c r="C756" s="111"/>
      <c r="D756" s="111"/>
      <c r="E756" s="127"/>
      <c r="F756" s="111"/>
      <c r="G756" s="111"/>
      <c r="H756" s="111"/>
      <c r="I756" s="128"/>
    </row>
    <row r="757" spans="1:9" ht="15" x14ac:dyDescent="0.25">
      <c r="A757" s="126"/>
      <c r="B757" s="111"/>
      <c r="C757" s="111"/>
      <c r="D757" s="111"/>
      <c r="E757" s="127"/>
      <c r="F757" s="111"/>
      <c r="G757" s="111"/>
      <c r="H757" s="111"/>
      <c r="I757" s="128"/>
    </row>
    <row r="758" spans="1:9" ht="15" x14ac:dyDescent="0.25">
      <c r="A758" s="126"/>
      <c r="B758" s="111"/>
      <c r="C758" s="111"/>
      <c r="D758" s="111"/>
      <c r="E758" s="127"/>
      <c r="F758" s="111"/>
      <c r="G758" s="111"/>
      <c r="H758" s="111"/>
      <c r="I758" s="128"/>
    </row>
    <row r="759" spans="1:9" ht="15" x14ac:dyDescent="0.25">
      <c r="A759" s="126"/>
      <c r="B759" s="111"/>
      <c r="C759" s="111"/>
      <c r="D759" s="111"/>
      <c r="E759" s="127"/>
      <c r="F759" s="111"/>
      <c r="G759" s="111"/>
      <c r="H759" s="111"/>
      <c r="I759" s="128"/>
    </row>
    <row r="760" spans="1:9" ht="15" x14ac:dyDescent="0.25">
      <c r="A760" s="126"/>
      <c r="B760" s="111"/>
      <c r="C760" s="111"/>
      <c r="D760" s="111"/>
      <c r="E760" s="127"/>
      <c r="F760" s="111"/>
      <c r="G760" s="111"/>
      <c r="H760" s="111"/>
      <c r="I760" s="128"/>
    </row>
    <row r="761" spans="1:9" ht="15" x14ac:dyDescent="0.25">
      <c r="A761" s="126"/>
      <c r="B761" s="111"/>
      <c r="C761" s="111"/>
      <c r="D761" s="111"/>
      <c r="E761" s="127"/>
      <c r="F761" s="111"/>
      <c r="G761" s="111"/>
      <c r="H761" s="111"/>
      <c r="I761" s="128"/>
    </row>
    <row r="762" spans="1:9" ht="15" x14ac:dyDescent="0.25">
      <c r="A762" s="126"/>
      <c r="B762" s="111"/>
      <c r="C762" s="111"/>
      <c r="D762" s="111"/>
      <c r="E762" s="127"/>
      <c r="F762" s="111"/>
      <c r="G762" s="111"/>
      <c r="H762" s="111"/>
      <c r="I762" s="128"/>
    </row>
    <row r="763" spans="1:9" ht="15" x14ac:dyDescent="0.25">
      <c r="A763" s="126"/>
      <c r="B763" s="111"/>
      <c r="C763" s="111"/>
      <c r="D763" s="111"/>
      <c r="E763" s="127"/>
      <c r="F763" s="111"/>
      <c r="G763" s="111"/>
      <c r="H763" s="111"/>
      <c r="I763" s="128"/>
    </row>
    <row r="764" spans="1:9" ht="15" x14ac:dyDescent="0.25">
      <c r="A764" s="126"/>
      <c r="B764" s="111"/>
      <c r="C764" s="111"/>
      <c r="D764" s="111"/>
      <c r="E764" s="127"/>
      <c r="F764" s="111"/>
      <c r="G764" s="111"/>
      <c r="H764" s="111"/>
      <c r="I764" s="128"/>
    </row>
    <row r="765" spans="1:9" ht="15" x14ac:dyDescent="0.25">
      <c r="A765" s="126"/>
      <c r="B765" s="111"/>
      <c r="C765" s="111"/>
      <c r="D765" s="111"/>
      <c r="E765" s="127"/>
      <c r="F765" s="111"/>
      <c r="G765" s="111"/>
      <c r="H765" s="111"/>
      <c r="I765" s="128"/>
    </row>
    <row r="766" spans="1:9" ht="15" x14ac:dyDescent="0.25">
      <c r="A766" s="126"/>
      <c r="B766" s="111"/>
      <c r="C766" s="111"/>
      <c r="D766" s="111"/>
      <c r="E766" s="127"/>
      <c r="F766" s="111"/>
      <c r="G766" s="111"/>
      <c r="H766" s="111"/>
      <c r="I766" s="128"/>
    </row>
    <row r="767" spans="1:9" ht="15" x14ac:dyDescent="0.25">
      <c r="A767" s="126"/>
      <c r="B767" s="111"/>
      <c r="C767" s="111"/>
      <c r="D767" s="111"/>
      <c r="E767" s="127"/>
      <c r="F767" s="111"/>
      <c r="G767" s="111"/>
      <c r="H767" s="111"/>
      <c r="I767" s="128"/>
    </row>
    <row r="768" spans="1:9" ht="15" x14ac:dyDescent="0.25">
      <c r="A768" s="126"/>
      <c r="B768" s="111"/>
      <c r="C768" s="111"/>
      <c r="D768" s="111"/>
      <c r="E768" s="127"/>
      <c r="F768" s="111"/>
      <c r="G768" s="111"/>
      <c r="H768" s="111"/>
      <c r="I768" s="128"/>
    </row>
    <row r="769" spans="1:9" ht="15" x14ac:dyDescent="0.25">
      <c r="A769" s="126"/>
      <c r="B769" s="111"/>
      <c r="C769" s="111"/>
      <c r="D769" s="111"/>
      <c r="E769" s="127"/>
      <c r="F769" s="111"/>
      <c r="G769" s="111"/>
      <c r="H769" s="111"/>
      <c r="I769" s="128"/>
    </row>
    <row r="770" spans="1:9" ht="15" x14ac:dyDescent="0.25">
      <c r="A770" s="126"/>
      <c r="B770" s="111"/>
      <c r="C770" s="111"/>
      <c r="D770" s="111"/>
      <c r="E770" s="127"/>
      <c r="F770" s="111"/>
      <c r="G770" s="111"/>
      <c r="H770" s="111"/>
      <c r="I770" s="128"/>
    </row>
    <row r="771" spans="1:9" ht="15" x14ac:dyDescent="0.25">
      <c r="A771" s="126"/>
      <c r="B771" s="111"/>
      <c r="C771" s="111"/>
      <c r="D771" s="111"/>
      <c r="E771" s="127"/>
      <c r="F771" s="111"/>
      <c r="G771" s="111"/>
      <c r="H771" s="111"/>
      <c r="I771" s="128"/>
    </row>
    <row r="772" spans="1:9" ht="15" x14ac:dyDescent="0.25">
      <c r="A772" s="126"/>
      <c r="B772" s="111"/>
      <c r="C772" s="111"/>
      <c r="D772" s="111"/>
      <c r="E772" s="127"/>
      <c r="F772" s="111"/>
      <c r="G772" s="111"/>
      <c r="H772" s="111"/>
      <c r="I772" s="128"/>
    </row>
    <row r="773" spans="1:9" ht="15" x14ac:dyDescent="0.25">
      <c r="A773" s="126"/>
      <c r="B773" s="111"/>
      <c r="C773" s="111"/>
      <c r="D773" s="111"/>
      <c r="E773" s="127"/>
      <c r="F773" s="111"/>
      <c r="G773" s="111"/>
      <c r="H773" s="111"/>
      <c r="I773" s="128"/>
    </row>
    <row r="774" spans="1:9" ht="15" x14ac:dyDescent="0.25">
      <c r="A774" s="126"/>
      <c r="B774" s="111"/>
      <c r="C774" s="111"/>
      <c r="D774" s="111"/>
      <c r="E774" s="127"/>
      <c r="F774" s="111"/>
      <c r="G774" s="111"/>
      <c r="H774" s="111"/>
      <c r="I774" s="128"/>
    </row>
    <row r="775" spans="1:9" ht="15" x14ac:dyDescent="0.25">
      <c r="A775" s="126"/>
      <c r="B775" s="111"/>
      <c r="C775" s="111"/>
      <c r="D775" s="111"/>
      <c r="E775" s="127"/>
      <c r="F775" s="111"/>
      <c r="G775" s="111"/>
      <c r="H775" s="111"/>
      <c r="I775" s="128"/>
    </row>
    <row r="776" spans="1:9" ht="15" x14ac:dyDescent="0.25">
      <c r="A776" s="126"/>
      <c r="B776" s="111"/>
      <c r="C776" s="111"/>
      <c r="D776" s="111"/>
      <c r="E776" s="127"/>
      <c r="F776" s="111"/>
      <c r="G776" s="111"/>
      <c r="H776" s="111"/>
      <c r="I776" s="128"/>
    </row>
    <row r="777" spans="1:9" ht="15" x14ac:dyDescent="0.25">
      <c r="A777" s="126"/>
      <c r="B777" s="111"/>
      <c r="C777" s="111"/>
      <c r="D777" s="111"/>
      <c r="E777" s="127"/>
      <c r="F777" s="111"/>
      <c r="G777" s="111"/>
      <c r="H777" s="111"/>
      <c r="I777" s="128"/>
    </row>
    <row r="778" spans="1:9" ht="15" x14ac:dyDescent="0.25">
      <c r="A778" s="126"/>
      <c r="B778" s="111"/>
      <c r="C778" s="111"/>
      <c r="D778" s="111"/>
      <c r="E778" s="127"/>
      <c r="F778" s="111"/>
      <c r="G778" s="111"/>
      <c r="H778" s="111"/>
      <c r="I778" s="128"/>
    </row>
    <row r="779" spans="1:9" ht="15" x14ac:dyDescent="0.25">
      <c r="A779" s="126"/>
      <c r="B779" s="111"/>
      <c r="C779" s="111"/>
      <c r="D779" s="111"/>
      <c r="E779" s="127"/>
      <c r="F779" s="111"/>
      <c r="G779" s="111"/>
      <c r="H779" s="111"/>
      <c r="I779" s="128"/>
    </row>
    <row r="780" spans="1:9" ht="15" x14ac:dyDescent="0.25">
      <c r="A780" s="126"/>
      <c r="B780" s="111"/>
      <c r="C780" s="111"/>
      <c r="D780" s="111"/>
      <c r="E780" s="127"/>
      <c r="F780" s="111"/>
      <c r="G780" s="111"/>
      <c r="H780" s="111"/>
      <c r="I780" s="128"/>
    </row>
    <row r="781" spans="1:9" ht="15" x14ac:dyDescent="0.25">
      <c r="A781" s="126"/>
      <c r="B781" s="111"/>
      <c r="C781" s="111"/>
      <c r="D781" s="111"/>
      <c r="E781" s="127"/>
      <c r="F781" s="111"/>
      <c r="G781" s="111"/>
      <c r="H781" s="111"/>
      <c r="I781" s="128"/>
    </row>
    <row r="782" spans="1:9" ht="15" x14ac:dyDescent="0.25">
      <c r="A782" s="126"/>
      <c r="B782" s="111"/>
      <c r="C782" s="111"/>
      <c r="D782" s="111"/>
      <c r="E782" s="127"/>
      <c r="F782" s="111"/>
      <c r="G782" s="111"/>
      <c r="H782" s="111"/>
      <c r="I782" s="128"/>
    </row>
    <row r="783" spans="1:9" ht="15" x14ac:dyDescent="0.25">
      <c r="A783" s="126"/>
      <c r="B783" s="111"/>
      <c r="C783" s="111"/>
      <c r="D783" s="111"/>
      <c r="E783" s="127"/>
      <c r="F783" s="111"/>
      <c r="G783" s="111"/>
      <c r="H783" s="111"/>
      <c r="I783" s="128"/>
    </row>
    <row r="784" spans="1:9" ht="15" x14ac:dyDescent="0.25">
      <c r="A784" s="126"/>
      <c r="B784" s="111"/>
      <c r="C784" s="111"/>
      <c r="D784" s="111"/>
      <c r="E784" s="127"/>
      <c r="F784" s="111"/>
      <c r="G784" s="111"/>
      <c r="H784" s="111"/>
      <c r="I784" s="128"/>
    </row>
    <row r="785" spans="1:9" ht="15" x14ac:dyDescent="0.25">
      <c r="A785" s="126"/>
      <c r="B785" s="111"/>
      <c r="C785" s="111"/>
      <c r="D785" s="111"/>
      <c r="E785" s="127"/>
      <c r="F785" s="111"/>
      <c r="G785" s="111"/>
      <c r="H785" s="111"/>
      <c r="I785" s="128"/>
    </row>
    <row r="786" spans="1:9" ht="15" x14ac:dyDescent="0.25">
      <c r="A786" s="126"/>
      <c r="B786" s="111"/>
      <c r="C786" s="111"/>
      <c r="D786" s="111"/>
      <c r="E786" s="127"/>
      <c r="F786" s="111"/>
      <c r="G786" s="111"/>
      <c r="H786" s="111"/>
      <c r="I786" s="128"/>
    </row>
    <row r="787" spans="1:9" ht="15" x14ac:dyDescent="0.25">
      <c r="A787" s="126"/>
      <c r="B787" s="111"/>
      <c r="C787" s="111"/>
      <c r="D787" s="111"/>
      <c r="E787" s="127"/>
      <c r="F787" s="111"/>
      <c r="G787" s="111"/>
      <c r="H787" s="111"/>
      <c r="I787" s="128"/>
    </row>
    <row r="788" spans="1:9" ht="15" x14ac:dyDescent="0.25">
      <c r="A788" s="126"/>
      <c r="B788" s="111"/>
      <c r="C788" s="111"/>
      <c r="D788" s="111"/>
      <c r="E788" s="127"/>
      <c r="F788" s="111"/>
      <c r="G788" s="111"/>
      <c r="H788" s="111"/>
      <c r="I788" s="128"/>
    </row>
    <row r="789" spans="1:9" ht="15" x14ac:dyDescent="0.25">
      <c r="A789" s="126"/>
      <c r="B789" s="111"/>
      <c r="C789" s="111"/>
      <c r="D789" s="111"/>
      <c r="E789" s="127"/>
      <c r="F789" s="111"/>
      <c r="G789" s="111"/>
      <c r="H789" s="111"/>
      <c r="I789" s="128"/>
    </row>
    <row r="790" spans="1:9" ht="15" x14ac:dyDescent="0.25">
      <c r="A790" s="126"/>
      <c r="B790" s="111"/>
      <c r="C790" s="111"/>
      <c r="D790" s="111"/>
      <c r="E790" s="127"/>
      <c r="F790" s="111"/>
      <c r="G790" s="111"/>
      <c r="H790" s="111"/>
      <c r="I790" s="128"/>
    </row>
    <row r="791" spans="1:9" ht="15" x14ac:dyDescent="0.25">
      <c r="A791" s="126"/>
      <c r="B791" s="111"/>
      <c r="C791" s="111"/>
      <c r="D791" s="111"/>
      <c r="E791" s="127"/>
      <c r="F791" s="111"/>
      <c r="G791" s="111"/>
      <c r="H791" s="111"/>
      <c r="I791" s="128"/>
    </row>
    <row r="792" spans="1:9" ht="15" x14ac:dyDescent="0.25">
      <c r="A792" s="126"/>
      <c r="B792" s="111"/>
      <c r="C792" s="111"/>
      <c r="D792" s="111"/>
      <c r="E792" s="127"/>
      <c r="F792" s="111"/>
      <c r="G792" s="111"/>
      <c r="H792" s="111"/>
      <c r="I792" s="128"/>
    </row>
    <row r="793" spans="1:9" ht="15" x14ac:dyDescent="0.25">
      <c r="A793" s="126"/>
      <c r="B793" s="111"/>
      <c r="C793" s="111"/>
      <c r="D793" s="111"/>
      <c r="E793" s="127"/>
      <c r="F793" s="111"/>
      <c r="G793" s="111"/>
      <c r="H793" s="111"/>
      <c r="I793" s="128"/>
    </row>
    <row r="794" spans="1:9" ht="15" x14ac:dyDescent="0.25">
      <c r="A794" s="126"/>
      <c r="B794" s="111"/>
      <c r="C794" s="111"/>
      <c r="D794" s="111"/>
      <c r="E794" s="127"/>
      <c r="F794" s="111"/>
      <c r="G794" s="111"/>
      <c r="H794" s="111"/>
      <c r="I794" s="128"/>
    </row>
    <row r="795" spans="1:9" ht="15" x14ac:dyDescent="0.25">
      <c r="A795" s="126"/>
      <c r="B795" s="111"/>
      <c r="C795" s="111"/>
      <c r="D795" s="111"/>
      <c r="E795" s="127"/>
      <c r="F795" s="111"/>
      <c r="G795" s="111"/>
      <c r="H795" s="111"/>
      <c r="I795" s="128"/>
    </row>
    <row r="796" spans="1:9" ht="15" x14ac:dyDescent="0.25">
      <c r="A796" s="126"/>
      <c r="B796" s="111"/>
      <c r="C796" s="111"/>
      <c r="D796" s="111"/>
      <c r="E796" s="127"/>
      <c r="F796" s="111"/>
      <c r="G796" s="111"/>
      <c r="H796" s="111"/>
      <c r="I796" s="128"/>
    </row>
    <row r="797" spans="1:9" ht="15" x14ac:dyDescent="0.25">
      <c r="A797" s="126"/>
      <c r="B797" s="111"/>
      <c r="C797" s="111"/>
      <c r="D797" s="111"/>
      <c r="E797" s="127"/>
      <c r="F797" s="111"/>
      <c r="G797" s="111"/>
      <c r="H797" s="111"/>
      <c r="I797" s="128"/>
    </row>
    <row r="798" spans="1:9" ht="15" x14ac:dyDescent="0.25">
      <c r="A798" s="126"/>
      <c r="B798" s="111"/>
      <c r="C798" s="111"/>
      <c r="D798" s="111"/>
      <c r="E798" s="127"/>
      <c r="F798" s="111"/>
      <c r="G798" s="111"/>
      <c r="H798" s="111"/>
      <c r="I798" s="128"/>
    </row>
    <row r="799" spans="1:9" ht="15" x14ac:dyDescent="0.25">
      <c r="A799" s="126"/>
      <c r="B799" s="111"/>
      <c r="C799" s="111"/>
      <c r="D799" s="111"/>
      <c r="E799" s="127"/>
      <c r="F799" s="111"/>
      <c r="G799" s="111"/>
      <c r="H799" s="111"/>
      <c r="I799" s="128"/>
    </row>
    <row r="800" spans="1:9" ht="15" x14ac:dyDescent="0.25">
      <c r="A800" s="126"/>
      <c r="B800" s="111"/>
      <c r="C800" s="111"/>
      <c r="D800" s="111"/>
      <c r="E800" s="127"/>
      <c r="F800" s="111"/>
      <c r="G800" s="111"/>
      <c r="H800" s="111"/>
      <c r="I800" s="128"/>
    </row>
    <row r="801" spans="1:9" ht="15" x14ac:dyDescent="0.25">
      <c r="A801" s="126"/>
      <c r="B801" s="111"/>
      <c r="C801" s="111"/>
      <c r="D801" s="111"/>
      <c r="E801" s="127"/>
      <c r="F801" s="111"/>
      <c r="G801" s="111"/>
      <c r="H801" s="111"/>
      <c r="I801" s="128"/>
    </row>
    <row r="802" spans="1:9" ht="15" x14ac:dyDescent="0.25">
      <c r="A802" s="126"/>
      <c r="B802" s="111"/>
      <c r="C802" s="111"/>
      <c r="D802" s="111"/>
      <c r="E802" s="127"/>
      <c r="F802" s="111"/>
      <c r="G802" s="111"/>
      <c r="H802" s="111"/>
      <c r="I802" s="128"/>
    </row>
    <row r="803" spans="1:9" ht="15" x14ac:dyDescent="0.25">
      <c r="A803" s="126"/>
      <c r="B803" s="111"/>
      <c r="C803" s="111"/>
      <c r="D803" s="111"/>
      <c r="E803" s="127"/>
      <c r="F803" s="111"/>
      <c r="G803" s="111"/>
      <c r="H803" s="111"/>
      <c r="I803" s="128"/>
    </row>
    <row r="804" spans="1:9" ht="15" x14ac:dyDescent="0.25">
      <c r="A804" s="126"/>
      <c r="B804" s="111"/>
      <c r="C804" s="111"/>
      <c r="D804" s="111"/>
      <c r="E804" s="127"/>
      <c r="F804" s="111"/>
      <c r="G804" s="111"/>
      <c r="H804" s="111"/>
      <c r="I804" s="128"/>
    </row>
    <row r="805" spans="1:9" ht="15" x14ac:dyDescent="0.25">
      <c r="A805" s="126"/>
      <c r="B805" s="111"/>
      <c r="C805" s="111"/>
      <c r="D805" s="111"/>
      <c r="E805" s="127"/>
      <c r="F805" s="111"/>
      <c r="G805" s="111"/>
      <c r="H805" s="111"/>
      <c r="I805" s="128"/>
    </row>
    <row r="806" spans="1:9" ht="15" x14ac:dyDescent="0.25">
      <c r="A806" s="126"/>
      <c r="B806" s="111"/>
      <c r="C806" s="111"/>
      <c r="D806" s="111"/>
      <c r="E806" s="127"/>
      <c r="F806" s="111"/>
      <c r="G806" s="111"/>
      <c r="H806" s="111"/>
      <c r="I806" s="128"/>
    </row>
    <row r="807" spans="1:9" ht="15" x14ac:dyDescent="0.25">
      <c r="A807" s="126"/>
      <c r="B807" s="111"/>
      <c r="C807" s="111"/>
      <c r="D807" s="111"/>
      <c r="E807" s="127"/>
      <c r="F807" s="111"/>
      <c r="G807" s="111"/>
      <c r="H807" s="111"/>
      <c r="I807" s="128"/>
    </row>
    <row r="808" spans="1:9" ht="15" x14ac:dyDescent="0.25">
      <c r="A808" s="126"/>
      <c r="B808" s="111"/>
      <c r="C808" s="111"/>
      <c r="D808" s="111"/>
      <c r="E808" s="127"/>
      <c r="F808" s="111"/>
      <c r="G808" s="111"/>
      <c r="H808" s="111"/>
      <c r="I808" s="128"/>
    </row>
    <row r="809" spans="1:9" ht="15" x14ac:dyDescent="0.25">
      <c r="A809" s="126"/>
      <c r="B809" s="111"/>
      <c r="C809" s="111"/>
      <c r="D809" s="111"/>
      <c r="E809" s="127"/>
      <c r="F809" s="111"/>
      <c r="G809" s="111"/>
      <c r="H809" s="111"/>
      <c r="I809" s="128"/>
    </row>
    <row r="810" spans="1:9" ht="15" x14ac:dyDescent="0.25">
      <c r="A810" s="126"/>
      <c r="B810" s="111"/>
      <c r="C810" s="111"/>
      <c r="D810" s="111"/>
      <c r="E810" s="127"/>
      <c r="F810" s="111"/>
      <c r="G810" s="111"/>
      <c r="H810" s="111"/>
      <c r="I810" s="128"/>
    </row>
    <row r="811" spans="1:9" ht="15" x14ac:dyDescent="0.25">
      <c r="A811" s="126"/>
      <c r="B811" s="111"/>
      <c r="C811" s="111"/>
      <c r="D811" s="111"/>
      <c r="E811" s="127"/>
      <c r="F811" s="111"/>
      <c r="G811" s="111"/>
      <c r="H811" s="111"/>
      <c r="I811" s="128"/>
    </row>
    <row r="812" spans="1:9" ht="15" x14ac:dyDescent="0.25">
      <c r="A812" s="126"/>
      <c r="B812" s="111"/>
      <c r="C812" s="111"/>
      <c r="D812" s="111"/>
      <c r="E812" s="127"/>
      <c r="F812" s="111"/>
      <c r="G812" s="111"/>
      <c r="H812" s="111"/>
      <c r="I812" s="128"/>
    </row>
    <row r="813" spans="1:9" ht="15" x14ac:dyDescent="0.25">
      <c r="A813" s="126"/>
      <c r="B813" s="111"/>
      <c r="C813" s="111"/>
      <c r="D813" s="111"/>
      <c r="E813" s="127"/>
      <c r="F813" s="111"/>
      <c r="G813" s="111"/>
      <c r="H813" s="111"/>
      <c r="I813" s="128"/>
    </row>
    <row r="814" spans="1:9" ht="15" x14ac:dyDescent="0.25">
      <c r="A814" s="126"/>
      <c r="B814" s="111"/>
      <c r="C814" s="111"/>
      <c r="D814" s="111"/>
      <c r="E814" s="127"/>
      <c r="F814" s="111"/>
      <c r="G814" s="111"/>
      <c r="H814" s="111"/>
      <c r="I814" s="128"/>
    </row>
    <row r="815" spans="1:9" ht="15" x14ac:dyDescent="0.25">
      <c r="A815" s="126"/>
      <c r="B815" s="111"/>
      <c r="C815" s="111"/>
      <c r="D815" s="111"/>
      <c r="E815" s="127"/>
      <c r="F815" s="111"/>
      <c r="G815" s="111"/>
      <c r="H815" s="111"/>
      <c r="I815" s="128"/>
    </row>
    <row r="816" spans="1:9" ht="15" x14ac:dyDescent="0.25">
      <c r="A816" s="126"/>
      <c r="B816" s="111"/>
      <c r="C816" s="111"/>
      <c r="D816" s="111"/>
      <c r="E816" s="127"/>
      <c r="F816" s="111"/>
      <c r="G816" s="111"/>
      <c r="H816" s="111"/>
      <c r="I816" s="128"/>
    </row>
    <row r="817" spans="1:9" ht="15" x14ac:dyDescent="0.25">
      <c r="A817" s="126"/>
      <c r="B817" s="111"/>
      <c r="C817" s="111"/>
      <c r="D817" s="111"/>
      <c r="E817" s="127"/>
      <c r="F817" s="111"/>
      <c r="G817" s="111"/>
      <c r="H817" s="111"/>
      <c r="I817" s="128"/>
    </row>
    <row r="818" spans="1:9" ht="15" x14ac:dyDescent="0.25">
      <c r="A818" s="126"/>
      <c r="B818" s="111"/>
      <c r="C818" s="111"/>
      <c r="D818" s="111"/>
      <c r="E818" s="127"/>
      <c r="F818" s="111"/>
      <c r="G818" s="111"/>
      <c r="H818" s="111"/>
      <c r="I818" s="128"/>
    </row>
    <row r="819" spans="1:9" ht="15" x14ac:dyDescent="0.25">
      <c r="A819" s="126"/>
      <c r="B819" s="111"/>
      <c r="C819" s="111"/>
      <c r="D819" s="111"/>
      <c r="E819" s="127"/>
      <c r="F819" s="111"/>
      <c r="G819" s="111"/>
      <c r="H819" s="111"/>
      <c r="I819" s="128"/>
    </row>
    <row r="820" spans="1:9" ht="15" x14ac:dyDescent="0.25">
      <c r="A820" s="126"/>
      <c r="B820" s="111"/>
      <c r="C820" s="111"/>
      <c r="D820" s="111"/>
      <c r="E820" s="127"/>
      <c r="F820" s="111"/>
      <c r="G820" s="111"/>
      <c r="H820" s="111"/>
      <c r="I820" s="128"/>
    </row>
    <row r="821" spans="1:9" ht="15" x14ac:dyDescent="0.25">
      <c r="A821" s="126"/>
      <c r="B821" s="111"/>
      <c r="C821" s="111"/>
      <c r="D821" s="111"/>
      <c r="E821" s="127"/>
      <c r="F821" s="111"/>
      <c r="G821" s="111"/>
      <c r="H821" s="111"/>
      <c r="I821" s="128"/>
    </row>
    <row r="822" spans="1:9" ht="15" x14ac:dyDescent="0.25">
      <c r="A822" s="126"/>
      <c r="B822" s="111"/>
      <c r="C822" s="111"/>
      <c r="D822" s="111"/>
      <c r="E822" s="127"/>
      <c r="F822" s="111"/>
      <c r="G822" s="111"/>
      <c r="H822" s="111"/>
      <c r="I822" s="128"/>
    </row>
    <row r="823" spans="1:9" ht="15" x14ac:dyDescent="0.25">
      <c r="A823" s="126"/>
      <c r="B823" s="111"/>
      <c r="C823" s="111"/>
      <c r="D823" s="111"/>
      <c r="E823" s="127"/>
      <c r="F823" s="111"/>
      <c r="G823" s="111"/>
      <c r="H823" s="111"/>
      <c r="I823" s="128"/>
    </row>
    <row r="824" spans="1:9" ht="15" x14ac:dyDescent="0.25">
      <c r="A824" s="126"/>
      <c r="B824" s="111"/>
      <c r="C824" s="111"/>
      <c r="D824" s="111"/>
      <c r="E824" s="127"/>
      <c r="F824" s="111"/>
      <c r="G824" s="111"/>
      <c r="H824" s="111"/>
      <c r="I824" s="128"/>
    </row>
    <row r="825" spans="1:9" ht="15" x14ac:dyDescent="0.25">
      <c r="A825" s="126"/>
      <c r="B825" s="111"/>
      <c r="C825" s="111"/>
      <c r="D825" s="111"/>
      <c r="E825" s="127"/>
      <c r="F825" s="111"/>
      <c r="G825" s="111"/>
      <c r="H825" s="111"/>
      <c r="I825" s="128"/>
    </row>
    <row r="826" spans="1:9" ht="15" x14ac:dyDescent="0.25">
      <c r="A826" s="126"/>
      <c r="B826" s="111"/>
      <c r="C826" s="111"/>
      <c r="D826" s="111"/>
      <c r="E826" s="127"/>
      <c r="F826" s="111"/>
      <c r="G826" s="111"/>
      <c r="H826" s="111"/>
      <c r="I826" s="128"/>
    </row>
    <row r="827" spans="1:9" ht="15" x14ac:dyDescent="0.25">
      <c r="A827" s="126"/>
      <c r="B827" s="111"/>
      <c r="C827" s="111"/>
      <c r="D827" s="111"/>
      <c r="E827" s="127"/>
      <c r="F827" s="111"/>
      <c r="G827" s="111"/>
      <c r="H827" s="111"/>
      <c r="I827" s="128"/>
    </row>
    <row r="828" spans="1:9" ht="15" x14ac:dyDescent="0.25">
      <c r="A828" s="126"/>
      <c r="B828" s="111"/>
      <c r="C828" s="111"/>
      <c r="D828" s="111"/>
      <c r="E828" s="127"/>
      <c r="F828" s="111"/>
      <c r="G828" s="111"/>
      <c r="H828" s="111"/>
      <c r="I828" s="128"/>
    </row>
    <row r="829" spans="1:9" ht="15" x14ac:dyDescent="0.25">
      <c r="A829" s="126"/>
      <c r="B829" s="111"/>
      <c r="C829" s="111"/>
      <c r="D829" s="111"/>
      <c r="E829" s="127"/>
      <c r="F829" s="111"/>
      <c r="G829" s="111"/>
      <c r="H829" s="111"/>
      <c r="I829" s="128"/>
    </row>
    <row r="830" spans="1:9" ht="15" x14ac:dyDescent="0.25">
      <c r="A830" s="126"/>
      <c r="B830" s="111"/>
      <c r="C830" s="111"/>
      <c r="D830" s="111"/>
      <c r="E830" s="127"/>
      <c r="F830" s="111"/>
      <c r="G830" s="111"/>
      <c r="H830" s="111"/>
      <c r="I830" s="128"/>
    </row>
    <row r="831" spans="1:9" ht="15" x14ac:dyDescent="0.25">
      <c r="A831" s="126"/>
      <c r="B831" s="111"/>
      <c r="C831" s="111"/>
      <c r="D831" s="111"/>
      <c r="E831" s="127"/>
      <c r="F831" s="111"/>
      <c r="G831" s="111"/>
      <c r="H831" s="111"/>
      <c r="I831" s="128"/>
    </row>
    <row r="832" spans="1:9" ht="15" x14ac:dyDescent="0.25">
      <c r="A832" s="126"/>
      <c r="B832" s="111"/>
      <c r="C832" s="111"/>
      <c r="D832" s="111"/>
      <c r="E832" s="127"/>
      <c r="F832" s="111"/>
      <c r="G832" s="111"/>
      <c r="H832" s="111"/>
      <c r="I832" s="128"/>
    </row>
    <row r="833" spans="1:9" ht="15" x14ac:dyDescent="0.25">
      <c r="A833" s="126"/>
      <c r="B833" s="111"/>
      <c r="C833" s="111"/>
      <c r="D833" s="111"/>
      <c r="E833" s="127"/>
      <c r="F833" s="111"/>
      <c r="G833" s="111"/>
      <c r="H833" s="111"/>
      <c r="I833" s="128"/>
    </row>
    <row r="834" spans="1:9" ht="15" x14ac:dyDescent="0.25">
      <c r="A834" s="126"/>
      <c r="B834" s="111"/>
      <c r="C834" s="111"/>
      <c r="D834" s="111"/>
      <c r="E834" s="127"/>
      <c r="F834" s="111"/>
      <c r="G834" s="111"/>
      <c r="H834" s="111"/>
      <c r="I834" s="128"/>
    </row>
    <row r="835" spans="1:9" ht="15" x14ac:dyDescent="0.25">
      <c r="A835" s="126"/>
      <c r="B835" s="111"/>
      <c r="C835" s="111"/>
      <c r="D835" s="111"/>
      <c r="E835" s="127"/>
      <c r="F835" s="111"/>
      <c r="G835" s="111"/>
      <c r="H835" s="111"/>
      <c r="I835" s="128"/>
    </row>
    <row r="836" spans="1:9" ht="15" x14ac:dyDescent="0.25">
      <c r="A836" s="126"/>
      <c r="B836" s="111"/>
      <c r="C836" s="111"/>
      <c r="D836" s="111"/>
      <c r="E836" s="127"/>
      <c r="F836" s="111"/>
      <c r="G836" s="111"/>
      <c r="H836" s="111"/>
      <c r="I836" s="128"/>
    </row>
    <row r="837" spans="1:9" ht="15" x14ac:dyDescent="0.25">
      <c r="A837" s="126"/>
      <c r="B837" s="111"/>
      <c r="C837" s="111"/>
      <c r="D837" s="111"/>
      <c r="E837" s="127"/>
      <c r="F837" s="111"/>
      <c r="G837" s="111"/>
      <c r="H837" s="111"/>
      <c r="I837" s="128"/>
    </row>
    <row r="838" spans="1:9" ht="15" x14ac:dyDescent="0.25">
      <c r="A838" s="126"/>
      <c r="B838" s="111"/>
      <c r="C838" s="111"/>
      <c r="D838" s="111"/>
      <c r="E838" s="127"/>
      <c r="F838" s="111"/>
      <c r="G838" s="111"/>
      <c r="H838" s="111"/>
      <c r="I838" s="128"/>
    </row>
    <row r="839" spans="1:9" ht="15" x14ac:dyDescent="0.25">
      <c r="A839" s="126"/>
      <c r="B839" s="111"/>
      <c r="C839" s="111"/>
      <c r="D839" s="111"/>
      <c r="E839" s="127"/>
      <c r="F839" s="111"/>
      <c r="G839" s="111"/>
      <c r="H839" s="111"/>
      <c r="I839" s="128"/>
    </row>
    <row r="840" spans="1:9" ht="15" x14ac:dyDescent="0.25">
      <c r="A840" s="126"/>
      <c r="B840" s="111"/>
      <c r="C840" s="111"/>
      <c r="D840" s="111"/>
      <c r="E840" s="127"/>
      <c r="F840" s="111"/>
      <c r="G840" s="111"/>
      <c r="H840" s="111"/>
      <c r="I840" s="128"/>
    </row>
    <row r="841" spans="1:9" ht="15" x14ac:dyDescent="0.25">
      <c r="A841" s="126"/>
      <c r="B841" s="111"/>
      <c r="C841" s="111"/>
      <c r="D841" s="111"/>
      <c r="E841" s="127"/>
      <c r="F841" s="111"/>
      <c r="G841" s="111"/>
      <c r="H841" s="111"/>
      <c r="I841" s="128"/>
    </row>
    <row r="842" spans="1:9" ht="15" x14ac:dyDescent="0.25">
      <c r="A842" s="126"/>
      <c r="B842" s="111"/>
      <c r="C842" s="111"/>
      <c r="D842" s="111"/>
      <c r="E842" s="127"/>
      <c r="F842" s="111"/>
      <c r="G842" s="111"/>
      <c r="H842" s="111"/>
      <c r="I842" s="128"/>
    </row>
    <row r="843" spans="1:9" ht="15" x14ac:dyDescent="0.25">
      <c r="A843" s="126"/>
      <c r="B843" s="111"/>
      <c r="C843" s="111"/>
      <c r="D843" s="111"/>
      <c r="E843" s="127"/>
      <c r="F843" s="111"/>
      <c r="G843" s="111"/>
      <c r="H843" s="111"/>
      <c r="I843" s="128"/>
    </row>
    <row r="844" spans="1:9" ht="15" x14ac:dyDescent="0.25">
      <c r="A844" s="126"/>
      <c r="B844" s="111"/>
      <c r="C844" s="111"/>
      <c r="D844" s="111"/>
      <c r="E844" s="127"/>
      <c r="F844" s="111"/>
      <c r="G844" s="111"/>
      <c r="H844" s="111"/>
      <c r="I844" s="128"/>
    </row>
    <row r="845" spans="1:9" ht="15" x14ac:dyDescent="0.25">
      <c r="A845" s="126"/>
      <c r="B845" s="111"/>
      <c r="C845" s="111"/>
      <c r="D845" s="111"/>
      <c r="E845" s="127"/>
      <c r="F845" s="111"/>
      <c r="G845" s="111"/>
      <c r="H845" s="111"/>
      <c r="I845" s="128"/>
    </row>
    <row r="846" spans="1:9" ht="15" x14ac:dyDescent="0.25">
      <c r="A846" s="126"/>
      <c r="B846" s="111"/>
      <c r="C846" s="111"/>
      <c r="D846" s="111"/>
      <c r="E846" s="127"/>
      <c r="F846" s="111"/>
      <c r="G846" s="111"/>
      <c r="H846" s="111"/>
      <c r="I846" s="128"/>
    </row>
    <row r="847" spans="1:9" ht="15" x14ac:dyDescent="0.25">
      <c r="A847" s="126"/>
      <c r="B847" s="111"/>
      <c r="C847" s="111"/>
      <c r="D847" s="111"/>
      <c r="E847" s="127"/>
      <c r="F847" s="111"/>
      <c r="G847" s="111"/>
      <c r="H847" s="111"/>
      <c r="I847" s="128"/>
    </row>
    <row r="848" spans="1:9" ht="15" x14ac:dyDescent="0.25">
      <c r="A848" s="126"/>
      <c r="B848" s="111"/>
      <c r="C848" s="111"/>
      <c r="D848" s="111"/>
      <c r="E848" s="127"/>
      <c r="F848" s="111"/>
      <c r="G848" s="111"/>
      <c r="H848" s="111"/>
      <c r="I848" s="128"/>
    </row>
    <row r="849" spans="1:9" ht="15" x14ac:dyDescent="0.25">
      <c r="A849" s="126"/>
      <c r="B849" s="111"/>
      <c r="C849" s="111"/>
      <c r="D849" s="111"/>
      <c r="E849" s="127"/>
      <c r="F849" s="111"/>
      <c r="G849" s="111"/>
      <c r="H849" s="111"/>
      <c r="I849" s="128"/>
    </row>
    <row r="850" spans="1:9" ht="15" x14ac:dyDescent="0.25">
      <c r="A850" s="126"/>
      <c r="B850" s="111"/>
      <c r="C850" s="111"/>
      <c r="D850" s="111"/>
      <c r="E850" s="127"/>
      <c r="F850" s="111"/>
      <c r="G850" s="111"/>
      <c r="H850" s="111"/>
      <c r="I850" s="128"/>
    </row>
    <row r="851" spans="1:9" ht="15" x14ac:dyDescent="0.25">
      <c r="A851" s="126"/>
      <c r="B851" s="111"/>
      <c r="C851" s="111"/>
      <c r="D851" s="111"/>
      <c r="E851" s="127"/>
      <c r="F851" s="111"/>
      <c r="G851" s="111"/>
      <c r="H851" s="111"/>
      <c r="I851" s="128"/>
    </row>
    <row r="852" spans="1:9" ht="15" x14ac:dyDescent="0.25">
      <c r="A852" s="126"/>
      <c r="B852" s="111"/>
      <c r="C852" s="111"/>
      <c r="D852" s="111"/>
      <c r="E852" s="127"/>
      <c r="F852" s="111"/>
      <c r="G852" s="111"/>
      <c r="H852" s="111"/>
      <c r="I852" s="128"/>
    </row>
    <row r="853" spans="1:9" ht="15" x14ac:dyDescent="0.25">
      <c r="A853" s="126"/>
      <c r="B853" s="111"/>
      <c r="C853" s="111"/>
      <c r="D853" s="111"/>
      <c r="E853" s="127"/>
      <c r="F853" s="111"/>
      <c r="G853" s="111"/>
      <c r="H853" s="111"/>
      <c r="I853" s="128"/>
    </row>
    <row r="854" spans="1:9" ht="15" x14ac:dyDescent="0.25">
      <c r="A854" s="126"/>
      <c r="B854" s="111"/>
      <c r="C854" s="111"/>
      <c r="D854" s="111"/>
      <c r="E854" s="127"/>
      <c r="F854" s="111"/>
      <c r="G854" s="111"/>
      <c r="H854" s="111"/>
      <c r="I854" s="128"/>
    </row>
    <row r="855" spans="1:9" ht="15" x14ac:dyDescent="0.25">
      <c r="A855" s="126"/>
      <c r="B855" s="111"/>
      <c r="C855" s="111"/>
      <c r="D855" s="111"/>
      <c r="E855" s="127"/>
      <c r="F855" s="111"/>
      <c r="G855" s="111"/>
      <c r="H855" s="111"/>
      <c r="I855" s="128"/>
    </row>
    <row r="856" spans="1:9" ht="15" x14ac:dyDescent="0.25">
      <c r="A856" s="126"/>
      <c r="B856" s="111"/>
      <c r="C856" s="111"/>
      <c r="D856" s="111"/>
      <c r="E856" s="127"/>
      <c r="F856" s="111"/>
      <c r="G856" s="111"/>
      <c r="H856" s="111"/>
      <c r="I856" s="128"/>
    </row>
    <row r="857" spans="1:9" ht="15" x14ac:dyDescent="0.25">
      <c r="A857" s="126"/>
      <c r="B857" s="111"/>
      <c r="C857" s="111"/>
      <c r="D857" s="111"/>
      <c r="E857" s="127"/>
      <c r="F857" s="111"/>
      <c r="G857" s="111"/>
      <c r="H857" s="111"/>
      <c r="I857" s="128"/>
    </row>
    <row r="858" spans="1:9" ht="15" x14ac:dyDescent="0.25">
      <c r="A858" s="126"/>
      <c r="B858" s="111"/>
      <c r="C858" s="111"/>
      <c r="D858" s="111"/>
      <c r="E858" s="127"/>
      <c r="F858" s="111"/>
      <c r="G858" s="111"/>
      <c r="H858" s="111"/>
      <c r="I858" s="128"/>
    </row>
    <row r="859" spans="1:9" ht="15" x14ac:dyDescent="0.25">
      <c r="A859" s="126"/>
      <c r="B859" s="111"/>
      <c r="C859" s="111"/>
      <c r="D859" s="111"/>
      <c r="E859" s="127"/>
      <c r="F859" s="111"/>
      <c r="G859" s="111"/>
      <c r="H859" s="111"/>
      <c r="I859" s="128"/>
    </row>
    <row r="860" spans="1:9" ht="15" x14ac:dyDescent="0.25">
      <c r="A860" s="126"/>
      <c r="B860" s="111"/>
      <c r="C860" s="111"/>
      <c r="D860" s="111"/>
      <c r="E860" s="127"/>
      <c r="F860" s="111"/>
      <c r="G860" s="111"/>
      <c r="H860" s="111"/>
      <c r="I860" s="128"/>
    </row>
    <row r="861" spans="1:9" ht="15" x14ac:dyDescent="0.25">
      <c r="A861" s="126"/>
      <c r="B861" s="111"/>
      <c r="C861" s="111"/>
      <c r="D861" s="111"/>
      <c r="E861" s="127"/>
      <c r="F861" s="111"/>
      <c r="G861" s="111"/>
      <c r="H861" s="111"/>
      <c r="I861" s="128"/>
    </row>
    <row r="862" spans="1:9" ht="15" x14ac:dyDescent="0.25">
      <c r="A862" s="126"/>
      <c r="B862" s="111"/>
      <c r="C862" s="111"/>
      <c r="D862" s="111"/>
      <c r="E862" s="127"/>
      <c r="F862" s="111"/>
      <c r="G862" s="111"/>
      <c r="H862" s="111"/>
      <c r="I862" s="128"/>
    </row>
    <row r="863" spans="1:9" ht="15" x14ac:dyDescent="0.25">
      <c r="A863" s="126"/>
      <c r="B863" s="111"/>
      <c r="C863" s="111"/>
      <c r="D863" s="111"/>
      <c r="E863" s="127"/>
      <c r="F863" s="111"/>
      <c r="G863" s="111"/>
      <c r="H863" s="111"/>
      <c r="I863" s="128"/>
    </row>
    <row r="864" spans="1:9" ht="15" x14ac:dyDescent="0.25">
      <c r="A864" s="126"/>
      <c r="B864" s="111"/>
      <c r="C864" s="111"/>
      <c r="D864" s="111"/>
      <c r="E864" s="127"/>
      <c r="F864" s="111"/>
      <c r="G864" s="111"/>
      <c r="H864" s="111"/>
      <c r="I864" s="128"/>
    </row>
    <row r="865" spans="1:9" ht="15" x14ac:dyDescent="0.25">
      <c r="A865" s="126"/>
      <c r="B865" s="111"/>
      <c r="C865" s="111"/>
      <c r="D865" s="111"/>
      <c r="E865" s="127"/>
      <c r="F865" s="111"/>
      <c r="G865" s="111"/>
      <c r="H865" s="111"/>
      <c r="I865" s="128"/>
    </row>
    <row r="866" spans="1:9" ht="15" x14ac:dyDescent="0.25">
      <c r="A866" s="126"/>
      <c r="B866" s="111"/>
      <c r="C866" s="111"/>
      <c r="D866" s="111"/>
      <c r="E866" s="127"/>
      <c r="F866" s="111"/>
      <c r="G866" s="111"/>
      <c r="H866" s="111"/>
      <c r="I866" s="128"/>
    </row>
    <row r="867" spans="1:9" ht="15" x14ac:dyDescent="0.25">
      <c r="A867" s="126"/>
      <c r="B867" s="111"/>
      <c r="C867" s="111"/>
      <c r="D867" s="111"/>
      <c r="E867" s="127"/>
      <c r="F867" s="111"/>
      <c r="G867" s="111"/>
      <c r="H867" s="111"/>
      <c r="I867" s="128"/>
    </row>
    <row r="868" spans="1:9" ht="15" x14ac:dyDescent="0.25">
      <c r="A868" s="126"/>
      <c r="B868" s="111"/>
      <c r="C868" s="111"/>
      <c r="D868" s="111"/>
      <c r="E868" s="127"/>
      <c r="F868" s="111"/>
      <c r="G868" s="111"/>
      <c r="H868" s="111"/>
      <c r="I868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998"/>
  <sheetViews>
    <sheetView workbookViewId="0">
      <selection activeCell="B34" sqref="B34"/>
    </sheetView>
  </sheetViews>
  <sheetFormatPr defaultColWidth="14.44140625" defaultRowHeight="15.75" customHeight="1" x14ac:dyDescent="0.25"/>
  <cols>
    <col min="2" max="2" width="26.88671875" customWidth="1"/>
    <col min="3" max="3" width="25.44140625" customWidth="1"/>
    <col min="4" max="4" width="25.109375" customWidth="1"/>
    <col min="5" max="5" width="23.5546875" customWidth="1"/>
  </cols>
  <sheetData>
    <row r="1" spans="1:21" ht="15.75" customHeight="1" x14ac:dyDescent="0.3">
      <c r="A1" s="58" t="s">
        <v>0</v>
      </c>
      <c r="B1" s="129" t="s">
        <v>316</v>
      </c>
      <c r="C1" s="129" t="s">
        <v>317</v>
      </c>
      <c r="D1" s="129" t="s">
        <v>318</v>
      </c>
      <c r="E1" s="129" t="s">
        <v>319</v>
      </c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</row>
    <row r="2" spans="1:21" ht="13.2" x14ac:dyDescent="0.25">
      <c r="A2" s="131">
        <f ca="1">IFERROR(__xludf.DUMMYFUNCTION("IMPORTRANGE(""https://docs.google.com/spreadsheets/d/1Z6aGDEehvntxFiePIi3q3HiVzeV-3jkOe87QLML9cWg/edit?ts=5f3b374c#gid=0"",""Histori Pemakaman!A2:E"")"),43891)</f>
        <v>43891</v>
      </c>
      <c r="B2" s="55">
        <f ca="1">IFERROR(__xludf.DUMMYFUNCTION("""COMPUTED_VALUE"""),0)</f>
        <v>0</v>
      </c>
      <c r="C2" s="55">
        <f ca="1">IFERROR(__xludf.DUMMYFUNCTION("""COMPUTED_VALUE"""),0)</f>
        <v>0</v>
      </c>
      <c r="D2" s="55">
        <f ca="1">IFERROR(__xludf.DUMMYFUNCTION("""COMPUTED_VALUE"""),150)</f>
        <v>150</v>
      </c>
      <c r="E2" s="55">
        <f ca="1">IFERROR(__xludf.DUMMYFUNCTION("""COMPUTED_VALUE"""),150)</f>
        <v>150</v>
      </c>
    </row>
    <row r="3" spans="1:21" ht="13.2" x14ac:dyDescent="0.25">
      <c r="A3" s="131">
        <f ca="1">IFERROR(__xludf.DUMMYFUNCTION("""COMPUTED_VALUE"""),43892)</f>
        <v>43892</v>
      </c>
      <c r="B3" s="55">
        <f ca="1">IFERROR(__xludf.DUMMYFUNCTION("""COMPUTED_VALUE"""),0)</f>
        <v>0</v>
      </c>
      <c r="C3" s="55">
        <f ca="1">IFERROR(__xludf.DUMMYFUNCTION("""COMPUTED_VALUE"""),0)</f>
        <v>0</v>
      </c>
      <c r="D3" s="55">
        <f ca="1">IFERROR(__xludf.DUMMYFUNCTION("""COMPUTED_VALUE"""),136)</f>
        <v>136</v>
      </c>
      <c r="E3" s="55">
        <f ca="1">IFERROR(__xludf.DUMMYFUNCTION("""COMPUTED_VALUE"""),286)</f>
        <v>286</v>
      </c>
    </row>
    <row r="4" spans="1:21" ht="13.2" x14ac:dyDescent="0.25">
      <c r="A4" s="131">
        <f ca="1">IFERROR(__xludf.DUMMYFUNCTION("""COMPUTED_VALUE"""),43893)</f>
        <v>43893</v>
      </c>
      <c r="B4" s="55">
        <f ca="1">IFERROR(__xludf.DUMMYFUNCTION("""COMPUTED_VALUE"""),0)</f>
        <v>0</v>
      </c>
      <c r="C4" s="55">
        <f ca="1">IFERROR(__xludf.DUMMYFUNCTION("""COMPUTED_VALUE"""),0)</f>
        <v>0</v>
      </c>
      <c r="D4" s="55">
        <f ca="1">IFERROR(__xludf.DUMMYFUNCTION("""COMPUTED_VALUE"""),135)</f>
        <v>135</v>
      </c>
      <c r="E4" s="55">
        <f ca="1">IFERROR(__xludf.DUMMYFUNCTION("""COMPUTED_VALUE"""),421)</f>
        <v>421</v>
      </c>
    </row>
    <row r="5" spans="1:21" ht="13.2" x14ac:dyDescent="0.25">
      <c r="A5" s="131">
        <f ca="1">IFERROR(__xludf.DUMMYFUNCTION("""COMPUTED_VALUE"""),43894)</f>
        <v>43894</v>
      </c>
      <c r="B5" s="55">
        <f ca="1">IFERROR(__xludf.DUMMYFUNCTION("""COMPUTED_VALUE"""),0)</f>
        <v>0</v>
      </c>
      <c r="C5" s="55">
        <f ca="1">IFERROR(__xludf.DUMMYFUNCTION("""COMPUTED_VALUE"""),0)</f>
        <v>0</v>
      </c>
      <c r="D5" s="55">
        <f ca="1">IFERROR(__xludf.DUMMYFUNCTION("""COMPUTED_VALUE"""),116)</f>
        <v>116</v>
      </c>
      <c r="E5" s="55">
        <f ca="1">IFERROR(__xludf.DUMMYFUNCTION("""COMPUTED_VALUE"""),537)</f>
        <v>537</v>
      </c>
    </row>
    <row r="6" spans="1:21" ht="13.2" x14ac:dyDescent="0.25">
      <c r="A6" s="131">
        <f ca="1">IFERROR(__xludf.DUMMYFUNCTION("""COMPUTED_VALUE"""),43895)</f>
        <v>43895</v>
      </c>
      <c r="B6" s="55">
        <f ca="1">IFERROR(__xludf.DUMMYFUNCTION("""COMPUTED_VALUE"""),0)</f>
        <v>0</v>
      </c>
      <c r="C6" s="55">
        <f ca="1">IFERROR(__xludf.DUMMYFUNCTION("""COMPUTED_VALUE"""),0)</f>
        <v>0</v>
      </c>
      <c r="D6" s="55">
        <f ca="1">IFERROR(__xludf.DUMMYFUNCTION("""COMPUTED_VALUE"""),124)</f>
        <v>124</v>
      </c>
      <c r="E6" s="55">
        <f ca="1">IFERROR(__xludf.DUMMYFUNCTION("""COMPUTED_VALUE"""),661)</f>
        <v>661</v>
      </c>
    </row>
    <row r="7" spans="1:21" ht="13.2" x14ac:dyDescent="0.25">
      <c r="A7" s="131">
        <f ca="1">IFERROR(__xludf.DUMMYFUNCTION("""COMPUTED_VALUE"""),43896)</f>
        <v>43896</v>
      </c>
      <c r="B7" s="55">
        <f ca="1">IFERROR(__xludf.DUMMYFUNCTION("""COMPUTED_VALUE"""),1)</f>
        <v>1</v>
      </c>
      <c r="C7" s="55">
        <f ca="1">IFERROR(__xludf.DUMMYFUNCTION("""COMPUTED_VALUE"""),1)</f>
        <v>1</v>
      </c>
      <c r="D7" s="55">
        <f ca="1">IFERROR(__xludf.DUMMYFUNCTION("""COMPUTED_VALUE"""),158)</f>
        <v>158</v>
      </c>
      <c r="E7" s="55">
        <f ca="1">IFERROR(__xludf.DUMMYFUNCTION("""COMPUTED_VALUE"""),819)</f>
        <v>819</v>
      </c>
    </row>
    <row r="8" spans="1:21" ht="13.2" x14ac:dyDescent="0.25">
      <c r="A8" s="131">
        <f ca="1">IFERROR(__xludf.DUMMYFUNCTION("""COMPUTED_VALUE"""),43897)</f>
        <v>43897</v>
      </c>
      <c r="B8" s="55">
        <f ca="1">IFERROR(__xludf.DUMMYFUNCTION("""COMPUTED_VALUE"""),0)</f>
        <v>0</v>
      </c>
      <c r="C8" s="55">
        <f ca="1">IFERROR(__xludf.DUMMYFUNCTION("""COMPUTED_VALUE"""),1)</f>
        <v>1</v>
      </c>
      <c r="D8" s="55">
        <f ca="1">IFERROR(__xludf.DUMMYFUNCTION("""COMPUTED_VALUE"""),144)</f>
        <v>144</v>
      </c>
      <c r="E8" s="55">
        <f ca="1">IFERROR(__xludf.DUMMYFUNCTION("""COMPUTED_VALUE"""),963)</f>
        <v>963</v>
      </c>
    </row>
    <row r="9" spans="1:21" ht="13.2" x14ac:dyDescent="0.25">
      <c r="A9" s="131">
        <f ca="1">IFERROR(__xludf.DUMMYFUNCTION("""COMPUTED_VALUE"""),43898)</f>
        <v>43898</v>
      </c>
      <c r="B9" s="55">
        <f ca="1">IFERROR(__xludf.DUMMYFUNCTION("""COMPUTED_VALUE"""),0)</f>
        <v>0</v>
      </c>
      <c r="C9" s="55">
        <f ca="1">IFERROR(__xludf.DUMMYFUNCTION("""COMPUTED_VALUE"""),1)</f>
        <v>1</v>
      </c>
      <c r="D9" s="55">
        <f ca="1">IFERROR(__xludf.DUMMYFUNCTION("""COMPUTED_VALUE"""),106)</f>
        <v>106</v>
      </c>
      <c r="E9" s="55">
        <f ca="1">IFERROR(__xludf.DUMMYFUNCTION("""COMPUTED_VALUE"""),1069)</f>
        <v>1069</v>
      </c>
    </row>
    <row r="10" spans="1:21" ht="13.2" x14ac:dyDescent="0.25">
      <c r="A10" s="131">
        <f ca="1">IFERROR(__xludf.DUMMYFUNCTION("""COMPUTED_VALUE"""),43899)</f>
        <v>43899</v>
      </c>
      <c r="B10" s="55">
        <f ca="1">IFERROR(__xludf.DUMMYFUNCTION("""COMPUTED_VALUE"""),0)</f>
        <v>0</v>
      </c>
      <c r="C10" s="55">
        <f ca="1">IFERROR(__xludf.DUMMYFUNCTION("""COMPUTED_VALUE"""),1)</f>
        <v>1</v>
      </c>
      <c r="D10" s="55">
        <f ca="1">IFERROR(__xludf.DUMMYFUNCTION("""COMPUTED_VALUE"""),145)</f>
        <v>145</v>
      </c>
      <c r="E10" s="55">
        <f ca="1">IFERROR(__xludf.DUMMYFUNCTION("""COMPUTED_VALUE"""),1214)</f>
        <v>1214</v>
      </c>
    </row>
    <row r="11" spans="1:21" ht="13.2" x14ac:dyDescent="0.25">
      <c r="A11" s="131">
        <f ca="1">IFERROR(__xludf.DUMMYFUNCTION("""COMPUTED_VALUE"""),43900)</f>
        <v>43900</v>
      </c>
      <c r="B11" s="55">
        <f ca="1">IFERROR(__xludf.DUMMYFUNCTION("""COMPUTED_VALUE"""),0)</f>
        <v>0</v>
      </c>
      <c r="C11" s="55">
        <f ca="1">IFERROR(__xludf.DUMMYFUNCTION("""COMPUTED_VALUE"""),1)</f>
        <v>1</v>
      </c>
      <c r="D11" s="55">
        <f ca="1">IFERROR(__xludf.DUMMYFUNCTION("""COMPUTED_VALUE"""),146)</f>
        <v>146</v>
      </c>
      <c r="E11" s="55">
        <f ca="1">IFERROR(__xludf.DUMMYFUNCTION("""COMPUTED_VALUE"""),1360)</f>
        <v>1360</v>
      </c>
    </row>
    <row r="12" spans="1:21" ht="13.2" x14ac:dyDescent="0.25">
      <c r="A12" s="131">
        <f ca="1">IFERROR(__xludf.DUMMYFUNCTION("""COMPUTED_VALUE"""),43901)</f>
        <v>43901</v>
      </c>
      <c r="B12" s="55">
        <f ca="1">IFERROR(__xludf.DUMMYFUNCTION("""COMPUTED_VALUE"""),0)</f>
        <v>0</v>
      </c>
      <c r="C12" s="55">
        <f ca="1">IFERROR(__xludf.DUMMYFUNCTION("""COMPUTED_VALUE"""),1)</f>
        <v>1</v>
      </c>
      <c r="D12" s="55">
        <f ca="1">IFERROR(__xludf.DUMMYFUNCTION("""COMPUTED_VALUE"""),148)</f>
        <v>148</v>
      </c>
      <c r="E12" s="55">
        <f ca="1">IFERROR(__xludf.DUMMYFUNCTION("""COMPUTED_VALUE"""),1508)</f>
        <v>1508</v>
      </c>
    </row>
    <row r="13" spans="1:21" ht="13.2" x14ac:dyDescent="0.25">
      <c r="A13" s="131">
        <f ca="1">IFERROR(__xludf.DUMMYFUNCTION("""COMPUTED_VALUE"""),43902)</f>
        <v>43902</v>
      </c>
      <c r="B13" s="55">
        <f ca="1">IFERROR(__xludf.DUMMYFUNCTION("""COMPUTED_VALUE"""),1)</f>
        <v>1</v>
      </c>
      <c r="C13" s="55">
        <f ca="1">IFERROR(__xludf.DUMMYFUNCTION("""COMPUTED_VALUE"""),2)</f>
        <v>2</v>
      </c>
      <c r="D13" s="55">
        <f ca="1">IFERROR(__xludf.DUMMYFUNCTION("""COMPUTED_VALUE"""),154)</f>
        <v>154</v>
      </c>
      <c r="E13" s="55">
        <f ca="1">IFERROR(__xludf.DUMMYFUNCTION("""COMPUTED_VALUE"""),1662)</f>
        <v>1662</v>
      </c>
    </row>
    <row r="14" spans="1:21" ht="13.2" x14ac:dyDescent="0.25">
      <c r="A14" s="131">
        <f ca="1">IFERROR(__xludf.DUMMYFUNCTION("""COMPUTED_VALUE"""),43903)</f>
        <v>43903</v>
      </c>
      <c r="B14" s="55">
        <f ca="1">IFERROR(__xludf.DUMMYFUNCTION("""COMPUTED_VALUE"""),2)</f>
        <v>2</v>
      </c>
      <c r="C14" s="55">
        <f ca="1">IFERROR(__xludf.DUMMYFUNCTION("""COMPUTED_VALUE"""),4)</f>
        <v>4</v>
      </c>
      <c r="D14" s="55">
        <f ca="1">IFERROR(__xludf.DUMMYFUNCTION("""COMPUTED_VALUE"""),124)</f>
        <v>124</v>
      </c>
      <c r="E14" s="55">
        <f ca="1">IFERROR(__xludf.DUMMYFUNCTION("""COMPUTED_VALUE"""),1786)</f>
        <v>1786</v>
      </c>
    </row>
    <row r="15" spans="1:21" ht="13.2" x14ac:dyDescent="0.25">
      <c r="A15" s="131">
        <f ca="1">IFERROR(__xludf.DUMMYFUNCTION("""COMPUTED_VALUE"""),43904)</f>
        <v>43904</v>
      </c>
      <c r="B15" s="55">
        <f ca="1">IFERROR(__xludf.DUMMYFUNCTION("""COMPUTED_VALUE"""),2)</f>
        <v>2</v>
      </c>
      <c r="C15" s="55">
        <f ca="1">IFERROR(__xludf.DUMMYFUNCTION("""COMPUTED_VALUE"""),6)</f>
        <v>6</v>
      </c>
      <c r="D15" s="55">
        <f ca="1">IFERROR(__xludf.DUMMYFUNCTION("""COMPUTED_VALUE"""),162)</f>
        <v>162</v>
      </c>
      <c r="E15" s="55">
        <f ca="1">IFERROR(__xludf.DUMMYFUNCTION("""COMPUTED_VALUE"""),1948)</f>
        <v>1948</v>
      </c>
    </row>
    <row r="16" spans="1:21" ht="13.2" x14ac:dyDescent="0.25">
      <c r="A16" s="131">
        <f ca="1">IFERROR(__xludf.DUMMYFUNCTION("""COMPUTED_VALUE"""),43905)</f>
        <v>43905</v>
      </c>
      <c r="B16" s="55">
        <f ca="1">IFERROR(__xludf.DUMMYFUNCTION("""COMPUTED_VALUE"""),0)</f>
        <v>0</v>
      </c>
      <c r="C16" s="55">
        <f ca="1">IFERROR(__xludf.DUMMYFUNCTION("""COMPUTED_VALUE"""),6)</f>
        <v>6</v>
      </c>
      <c r="D16" s="55">
        <f ca="1">IFERROR(__xludf.DUMMYFUNCTION("""COMPUTED_VALUE"""),119)</f>
        <v>119</v>
      </c>
      <c r="E16" s="55">
        <f ca="1">IFERROR(__xludf.DUMMYFUNCTION("""COMPUTED_VALUE"""),2067)</f>
        <v>2067</v>
      </c>
    </row>
    <row r="17" spans="1:5" ht="13.2" x14ac:dyDescent="0.25">
      <c r="A17" s="131">
        <f ca="1">IFERROR(__xludf.DUMMYFUNCTION("""COMPUTED_VALUE"""),43906)</f>
        <v>43906</v>
      </c>
      <c r="B17" s="55">
        <f ca="1">IFERROR(__xludf.DUMMYFUNCTION("""COMPUTED_VALUE"""),4)</f>
        <v>4</v>
      </c>
      <c r="C17" s="55">
        <f ca="1">IFERROR(__xludf.DUMMYFUNCTION("""COMPUTED_VALUE"""),10)</f>
        <v>10</v>
      </c>
      <c r="D17" s="55">
        <f ca="1">IFERROR(__xludf.DUMMYFUNCTION("""COMPUTED_VALUE"""),128)</f>
        <v>128</v>
      </c>
      <c r="E17" s="55">
        <f ca="1">IFERROR(__xludf.DUMMYFUNCTION("""COMPUTED_VALUE"""),2195)</f>
        <v>2195</v>
      </c>
    </row>
    <row r="18" spans="1:5" ht="13.2" x14ac:dyDescent="0.25">
      <c r="A18" s="131">
        <f ca="1">IFERROR(__xludf.DUMMYFUNCTION("""COMPUTED_VALUE"""),43907)</f>
        <v>43907</v>
      </c>
      <c r="B18" s="55">
        <f ca="1">IFERROR(__xludf.DUMMYFUNCTION("""COMPUTED_VALUE"""),4)</f>
        <v>4</v>
      </c>
      <c r="C18" s="55">
        <f ca="1">IFERROR(__xludf.DUMMYFUNCTION("""COMPUTED_VALUE"""),14)</f>
        <v>14</v>
      </c>
      <c r="D18" s="55">
        <f ca="1">IFERROR(__xludf.DUMMYFUNCTION("""COMPUTED_VALUE"""),135)</f>
        <v>135</v>
      </c>
      <c r="E18" s="55">
        <f ca="1">IFERROR(__xludf.DUMMYFUNCTION("""COMPUTED_VALUE"""),2330)</f>
        <v>2330</v>
      </c>
    </row>
    <row r="19" spans="1:5" ht="13.2" x14ac:dyDescent="0.25">
      <c r="A19" s="131">
        <f ca="1">IFERROR(__xludf.DUMMYFUNCTION("""COMPUTED_VALUE"""),43908)</f>
        <v>43908</v>
      </c>
      <c r="B19" s="55">
        <f ca="1">IFERROR(__xludf.DUMMYFUNCTION("""COMPUTED_VALUE"""),8)</f>
        <v>8</v>
      </c>
      <c r="C19" s="55">
        <f ca="1">IFERROR(__xludf.DUMMYFUNCTION("""COMPUTED_VALUE"""),22)</f>
        <v>22</v>
      </c>
      <c r="D19" s="55">
        <f ca="1">IFERROR(__xludf.DUMMYFUNCTION("""COMPUTED_VALUE"""),122)</f>
        <v>122</v>
      </c>
      <c r="E19" s="55">
        <f ca="1">IFERROR(__xludf.DUMMYFUNCTION("""COMPUTED_VALUE"""),2452)</f>
        <v>2452</v>
      </c>
    </row>
    <row r="20" spans="1:5" ht="13.2" x14ac:dyDescent="0.25">
      <c r="A20" s="131">
        <f ca="1">IFERROR(__xludf.DUMMYFUNCTION("""COMPUTED_VALUE"""),43909)</f>
        <v>43909</v>
      </c>
      <c r="B20" s="55">
        <f ca="1">IFERROR(__xludf.DUMMYFUNCTION("""COMPUTED_VALUE"""),7)</f>
        <v>7</v>
      </c>
      <c r="C20" s="55">
        <f ca="1">IFERROR(__xludf.DUMMYFUNCTION("""COMPUTED_VALUE"""),29)</f>
        <v>29</v>
      </c>
      <c r="D20" s="55">
        <f ca="1">IFERROR(__xludf.DUMMYFUNCTION("""COMPUTED_VALUE"""),108)</f>
        <v>108</v>
      </c>
      <c r="E20" s="55">
        <f ca="1">IFERROR(__xludf.DUMMYFUNCTION("""COMPUTED_VALUE"""),2560)</f>
        <v>2560</v>
      </c>
    </row>
    <row r="21" spans="1:5" ht="13.2" x14ac:dyDescent="0.25">
      <c r="A21" s="131">
        <f ca="1">IFERROR(__xludf.DUMMYFUNCTION("""COMPUTED_VALUE"""),43910)</f>
        <v>43910</v>
      </c>
      <c r="B21" s="55">
        <f ca="1">IFERROR(__xludf.DUMMYFUNCTION("""COMPUTED_VALUE"""),8)</f>
        <v>8</v>
      </c>
      <c r="C21" s="55">
        <f ca="1">IFERROR(__xludf.DUMMYFUNCTION("""COMPUTED_VALUE"""),37)</f>
        <v>37</v>
      </c>
      <c r="D21" s="55">
        <f ca="1">IFERROR(__xludf.DUMMYFUNCTION("""COMPUTED_VALUE"""),138)</f>
        <v>138</v>
      </c>
      <c r="E21" s="55">
        <f ca="1">IFERROR(__xludf.DUMMYFUNCTION("""COMPUTED_VALUE"""),2698)</f>
        <v>2698</v>
      </c>
    </row>
    <row r="22" spans="1:5" ht="13.2" x14ac:dyDescent="0.25">
      <c r="A22" s="131">
        <f ca="1">IFERROR(__xludf.DUMMYFUNCTION("""COMPUTED_VALUE"""),43911)</f>
        <v>43911</v>
      </c>
      <c r="B22" s="55">
        <f ca="1">IFERROR(__xludf.DUMMYFUNCTION("""COMPUTED_VALUE"""),10)</f>
        <v>10</v>
      </c>
      <c r="C22" s="55">
        <f ca="1">IFERROR(__xludf.DUMMYFUNCTION("""COMPUTED_VALUE"""),47)</f>
        <v>47</v>
      </c>
      <c r="D22" s="55">
        <f ca="1">IFERROR(__xludf.DUMMYFUNCTION("""COMPUTED_VALUE"""),118)</f>
        <v>118</v>
      </c>
      <c r="E22" s="55">
        <f ca="1">IFERROR(__xludf.DUMMYFUNCTION("""COMPUTED_VALUE"""),2816)</f>
        <v>2816</v>
      </c>
    </row>
    <row r="23" spans="1:5" ht="13.2" x14ac:dyDescent="0.25">
      <c r="A23" s="131">
        <f ca="1">IFERROR(__xludf.DUMMYFUNCTION("""COMPUTED_VALUE"""),43912)</f>
        <v>43912</v>
      </c>
      <c r="B23" s="55">
        <f ca="1">IFERROR(__xludf.DUMMYFUNCTION("""COMPUTED_VALUE"""),18)</f>
        <v>18</v>
      </c>
      <c r="C23" s="55">
        <f ca="1">IFERROR(__xludf.DUMMYFUNCTION("""COMPUTED_VALUE"""),65)</f>
        <v>65</v>
      </c>
      <c r="D23" s="55">
        <f ca="1">IFERROR(__xludf.DUMMYFUNCTION("""COMPUTED_VALUE"""),150)</f>
        <v>150</v>
      </c>
      <c r="E23" s="55">
        <f ca="1">IFERROR(__xludf.DUMMYFUNCTION("""COMPUTED_VALUE"""),2966)</f>
        <v>2966</v>
      </c>
    </row>
    <row r="24" spans="1:5" ht="13.2" x14ac:dyDescent="0.25">
      <c r="A24" s="131">
        <f ca="1">IFERROR(__xludf.DUMMYFUNCTION("""COMPUTED_VALUE"""),43913)</f>
        <v>43913</v>
      </c>
      <c r="B24" s="55">
        <f ca="1">IFERROR(__xludf.DUMMYFUNCTION("""COMPUTED_VALUE"""),22)</f>
        <v>22</v>
      </c>
      <c r="C24" s="55">
        <f ca="1">IFERROR(__xludf.DUMMYFUNCTION("""COMPUTED_VALUE"""),87)</f>
        <v>87</v>
      </c>
      <c r="D24" s="55">
        <f ca="1">IFERROR(__xludf.DUMMYFUNCTION("""COMPUTED_VALUE"""),151)</f>
        <v>151</v>
      </c>
      <c r="E24" s="55">
        <f ca="1">IFERROR(__xludf.DUMMYFUNCTION("""COMPUTED_VALUE"""),3117)</f>
        <v>3117</v>
      </c>
    </row>
    <row r="25" spans="1:5" ht="13.2" x14ac:dyDescent="0.25">
      <c r="A25" s="131">
        <f ca="1">IFERROR(__xludf.DUMMYFUNCTION("""COMPUTED_VALUE"""),43914)</f>
        <v>43914</v>
      </c>
      <c r="B25" s="55">
        <f ca="1">IFERROR(__xludf.DUMMYFUNCTION("""COMPUTED_VALUE"""),20)</f>
        <v>20</v>
      </c>
      <c r="C25" s="55">
        <f ca="1">IFERROR(__xludf.DUMMYFUNCTION("""COMPUTED_VALUE"""),107)</f>
        <v>107</v>
      </c>
      <c r="D25" s="55">
        <f ca="1">IFERROR(__xludf.DUMMYFUNCTION("""COMPUTED_VALUE"""),119)</f>
        <v>119</v>
      </c>
      <c r="E25" s="55">
        <f ca="1">IFERROR(__xludf.DUMMYFUNCTION("""COMPUTED_VALUE"""),3236)</f>
        <v>3236</v>
      </c>
    </row>
    <row r="26" spans="1:5" ht="13.2" x14ac:dyDescent="0.25">
      <c r="A26" s="131">
        <f ca="1">IFERROR(__xludf.DUMMYFUNCTION("""COMPUTED_VALUE"""),43915)</f>
        <v>43915</v>
      </c>
      <c r="B26" s="55">
        <f ca="1">IFERROR(__xludf.DUMMYFUNCTION("""COMPUTED_VALUE"""),33)</f>
        <v>33</v>
      </c>
      <c r="C26" s="55">
        <f ca="1">IFERROR(__xludf.DUMMYFUNCTION("""COMPUTED_VALUE"""),140)</f>
        <v>140</v>
      </c>
      <c r="D26" s="55">
        <f ca="1">IFERROR(__xludf.DUMMYFUNCTION("""COMPUTED_VALUE"""),160)</f>
        <v>160</v>
      </c>
      <c r="E26" s="55">
        <f ca="1">IFERROR(__xludf.DUMMYFUNCTION("""COMPUTED_VALUE"""),3396)</f>
        <v>3396</v>
      </c>
    </row>
    <row r="27" spans="1:5" ht="13.2" x14ac:dyDescent="0.25">
      <c r="A27" s="131">
        <f ca="1">IFERROR(__xludf.DUMMYFUNCTION("""COMPUTED_VALUE"""),43916)</f>
        <v>43916</v>
      </c>
      <c r="B27" s="55">
        <f ca="1">IFERROR(__xludf.DUMMYFUNCTION("""COMPUTED_VALUE"""),35)</f>
        <v>35</v>
      </c>
      <c r="C27" s="55">
        <f ca="1">IFERROR(__xludf.DUMMYFUNCTION("""COMPUTED_VALUE"""),175)</f>
        <v>175</v>
      </c>
      <c r="D27" s="55">
        <f ca="1">IFERROR(__xludf.DUMMYFUNCTION("""COMPUTED_VALUE"""),117)</f>
        <v>117</v>
      </c>
      <c r="E27" s="55">
        <f ca="1">IFERROR(__xludf.DUMMYFUNCTION("""COMPUTED_VALUE"""),3513)</f>
        <v>3513</v>
      </c>
    </row>
    <row r="28" spans="1:5" ht="13.2" x14ac:dyDescent="0.25">
      <c r="A28" s="131">
        <f ca="1">IFERROR(__xludf.DUMMYFUNCTION("""COMPUTED_VALUE"""),43917)</f>
        <v>43917</v>
      </c>
      <c r="B28" s="55">
        <f ca="1">IFERROR(__xludf.DUMMYFUNCTION("""COMPUTED_VALUE"""),31)</f>
        <v>31</v>
      </c>
      <c r="C28" s="55">
        <f ca="1">IFERROR(__xludf.DUMMYFUNCTION("""COMPUTED_VALUE"""),206)</f>
        <v>206</v>
      </c>
      <c r="D28" s="55">
        <f ca="1">IFERROR(__xludf.DUMMYFUNCTION("""COMPUTED_VALUE"""),150)</f>
        <v>150</v>
      </c>
      <c r="E28" s="55">
        <f ca="1">IFERROR(__xludf.DUMMYFUNCTION("""COMPUTED_VALUE"""),3663)</f>
        <v>3663</v>
      </c>
    </row>
    <row r="29" spans="1:5" ht="13.2" x14ac:dyDescent="0.25">
      <c r="A29" s="131">
        <f ca="1">IFERROR(__xludf.DUMMYFUNCTION("""COMPUTED_VALUE"""),43918)</f>
        <v>43918</v>
      </c>
      <c r="B29" s="55">
        <f ca="1">IFERROR(__xludf.DUMMYFUNCTION("""COMPUTED_VALUE"""),30)</f>
        <v>30</v>
      </c>
      <c r="C29" s="55">
        <f ca="1">IFERROR(__xludf.DUMMYFUNCTION("""COMPUTED_VALUE"""),236)</f>
        <v>236</v>
      </c>
      <c r="D29" s="55">
        <f ca="1">IFERROR(__xludf.DUMMYFUNCTION("""COMPUTED_VALUE"""),141)</f>
        <v>141</v>
      </c>
      <c r="E29" s="55">
        <f ca="1">IFERROR(__xludf.DUMMYFUNCTION("""COMPUTED_VALUE"""),3804)</f>
        <v>3804</v>
      </c>
    </row>
    <row r="30" spans="1:5" ht="13.2" x14ac:dyDescent="0.25">
      <c r="A30" s="131">
        <f ca="1">IFERROR(__xludf.DUMMYFUNCTION("""COMPUTED_VALUE"""),43919)</f>
        <v>43919</v>
      </c>
      <c r="B30" s="55">
        <f ca="1">IFERROR(__xludf.DUMMYFUNCTION("""COMPUTED_VALUE"""),47)</f>
        <v>47</v>
      </c>
      <c r="C30" s="55">
        <f ca="1">IFERROR(__xludf.DUMMYFUNCTION("""COMPUTED_VALUE"""),283)</f>
        <v>283</v>
      </c>
      <c r="D30" s="55">
        <f ca="1">IFERROR(__xludf.DUMMYFUNCTION("""COMPUTED_VALUE"""),153)</f>
        <v>153</v>
      </c>
      <c r="E30" s="55">
        <f ca="1">IFERROR(__xludf.DUMMYFUNCTION("""COMPUTED_VALUE"""),3957)</f>
        <v>3957</v>
      </c>
    </row>
    <row r="31" spans="1:5" ht="13.2" x14ac:dyDescent="0.25">
      <c r="A31" s="131">
        <f ca="1">IFERROR(__xludf.DUMMYFUNCTION("""COMPUTED_VALUE"""),43920)</f>
        <v>43920</v>
      </c>
      <c r="B31" s="55">
        <f ca="1">IFERROR(__xludf.DUMMYFUNCTION("""COMPUTED_VALUE"""),33)</f>
        <v>33</v>
      </c>
      <c r="C31" s="55">
        <f ca="1">IFERROR(__xludf.DUMMYFUNCTION("""COMPUTED_VALUE"""),316)</f>
        <v>316</v>
      </c>
      <c r="D31" s="55">
        <f ca="1">IFERROR(__xludf.DUMMYFUNCTION("""COMPUTED_VALUE"""),140)</f>
        <v>140</v>
      </c>
      <c r="E31" s="55">
        <f ca="1">IFERROR(__xludf.DUMMYFUNCTION("""COMPUTED_VALUE"""),4097)</f>
        <v>4097</v>
      </c>
    </row>
    <row r="32" spans="1:5" ht="13.2" x14ac:dyDescent="0.25">
      <c r="A32" s="131">
        <f ca="1">IFERROR(__xludf.DUMMYFUNCTION("""COMPUTED_VALUE"""),43921)</f>
        <v>43921</v>
      </c>
      <c r="B32" s="55">
        <f ca="1">IFERROR(__xludf.DUMMYFUNCTION("""COMPUTED_VALUE"""),38)</f>
        <v>38</v>
      </c>
      <c r="C32" s="55">
        <f ca="1">IFERROR(__xludf.DUMMYFUNCTION("""COMPUTED_VALUE"""),354)</f>
        <v>354</v>
      </c>
      <c r="D32" s="55">
        <f ca="1">IFERROR(__xludf.DUMMYFUNCTION("""COMPUTED_VALUE"""),148)</f>
        <v>148</v>
      </c>
      <c r="E32" s="55">
        <f ca="1">IFERROR(__xludf.DUMMYFUNCTION("""COMPUTED_VALUE"""),4245)</f>
        <v>4245</v>
      </c>
    </row>
    <row r="33" spans="1:5" ht="13.2" x14ac:dyDescent="0.25">
      <c r="A33" s="131">
        <f ca="1">IFERROR(__xludf.DUMMYFUNCTION("""COMPUTED_VALUE"""),43922)</f>
        <v>43922</v>
      </c>
      <c r="B33" s="55">
        <f ca="1">IFERROR(__xludf.DUMMYFUNCTION("""COMPUTED_VALUE"""),47)</f>
        <v>47</v>
      </c>
      <c r="C33" s="55">
        <f ca="1">IFERROR(__xludf.DUMMYFUNCTION("""COMPUTED_VALUE"""),401)</f>
        <v>401</v>
      </c>
      <c r="D33" s="55">
        <f ca="1">IFERROR(__xludf.DUMMYFUNCTION("""COMPUTED_VALUE"""),134)</f>
        <v>134</v>
      </c>
      <c r="E33" s="55">
        <f ca="1">IFERROR(__xludf.DUMMYFUNCTION("""COMPUTED_VALUE"""),4379)</f>
        <v>4379</v>
      </c>
    </row>
    <row r="34" spans="1:5" ht="13.2" x14ac:dyDescent="0.25">
      <c r="A34" s="131">
        <f ca="1">IFERROR(__xludf.DUMMYFUNCTION("""COMPUTED_VALUE"""),43923)</f>
        <v>43923</v>
      </c>
      <c r="B34" s="55">
        <f ca="1">IFERROR(__xludf.DUMMYFUNCTION("""COMPUTED_VALUE"""),53)</f>
        <v>53</v>
      </c>
      <c r="C34" s="55">
        <f ca="1">IFERROR(__xludf.DUMMYFUNCTION("""COMPUTED_VALUE"""),454)</f>
        <v>454</v>
      </c>
      <c r="D34" s="55">
        <f ca="1">IFERROR(__xludf.DUMMYFUNCTION("""COMPUTED_VALUE"""),150)</f>
        <v>150</v>
      </c>
      <c r="E34" s="55">
        <f ca="1">IFERROR(__xludf.DUMMYFUNCTION("""COMPUTED_VALUE"""),4529)</f>
        <v>4529</v>
      </c>
    </row>
    <row r="35" spans="1:5" ht="13.2" x14ac:dyDescent="0.25">
      <c r="A35" s="131">
        <f ca="1">IFERROR(__xludf.DUMMYFUNCTION("""COMPUTED_VALUE"""),43924)</f>
        <v>43924</v>
      </c>
      <c r="B35" s="55">
        <f ca="1">IFERROR(__xludf.DUMMYFUNCTION("""COMPUTED_VALUE"""),50)</f>
        <v>50</v>
      </c>
      <c r="C35" s="55">
        <f ca="1">IFERROR(__xludf.DUMMYFUNCTION("""COMPUTED_VALUE"""),504)</f>
        <v>504</v>
      </c>
      <c r="D35" s="55">
        <f ca="1">IFERROR(__xludf.DUMMYFUNCTION("""COMPUTED_VALUE"""),146)</f>
        <v>146</v>
      </c>
      <c r="E35" s="55">
        <f ca="1">IFERROR(__xludf.DUMMYFUNCTION("""COMPUTED_VALUE"""),4675)</f>
        <v>4675</v>
      </c>
    </row>
    <row r="36" spans="1:5" ht="13.2" x14ac:dyDescent="0.25">
      <c r="A36" s="131">
        <f ca="1">IFERROR(__xludf.DUMMYFUNCTION("""COMPUTED_VALUE"""),43925)</f>
        <v>43925</v>
      </c>
      <c r="B36" s="55">
        <f ca="1">IFERROR(__xludf.DUMMYFUNCTION("""COMPUTED_VALUE"""),44)</f>
        <v>44</v>
      </c>
      <c r="C36" s="55">
        <f ca="1">IFERROR(__xludf.DUMMYFUNCTION("""COMPUTED_VALUE"""),548)</f>
        <v>548</v>
      </c>
      <c r="D36" s="55">
        <f ca="1">IFERROR(__xludf.DUMMYFUNCTION("""COMPUTED_VALUE"""),135)</f>
        <v>135</v>
      </c>
      <c r="E36" s="55">
        <f ca="1">IFERROR(__xludf.DUMMYFUNCTION("""COMPUTED_VALUE"""),4810)</f>
        <v>4810</v>
      </c>
    </row>
    <row r="37" spans="1:5" ht="13.2" x14ac:dyDescent="0.25">
      <c r="A37" s="131">
        <f ca="1">IFERROR(__xludf.DUMMYFUNCTION("""COMPUTED_VALUE"""),43926)</f>
        <v>43926</v>
      </c>
      <c r="B37" s="55">
        <f ca="1">IFERROR(__xludf.DUMMYFUNCTION("""COMPUTED_VALUE"""),48)</f>
        <v>48</v>
      </c>
      <c r="C37" s="55">
        <f ca="1">IFERROR(__xludf.DUMMYFUNCTION("""COMPUTED_VALUE"""),596)</f>
        <v>596</v>
      </c>
      <c r="D37" s="55">
        <f ca="1">IFERROR(__xludf.DUMMYFUNCTION("""COMPUTED_VALUE"""),135)</f>
        <v>135</v>
      </c>
      <c r="E37" s="55">
        <f ca="1">IFERROR(__xludf.DUMMYFUNCTION("""COMPUTED_VALUE"""),4945)</f>
        <v>4945</v>
      </c>
    </row>
    <row r="38" spans="1:5" ht="13.2" x14ac:dyDescent="0.25">
      <c r="A38" s="131">
        <f ca="1">IFERROR(__xludf.DUMMYFUNCTION("""COMPUTED_VALUE"""),43927)</f>
        <v>43927</v>
      </c>
      <c r="B38" s="55">
        <f ca="1">IFERROR(__xludf.DUMMYFUNCTION("""COMPUTED_VALUE"""),48)</f>
        <v>48</v>
      </c>
      <c r="C38" s="55">
        <f ca="1">IFERROR(__xludf.DUMMYFUNCTION("""COMPUTED_VALUE"""),644)</f>
        <v>644</v>
      </c>
      <c r="D38" s="55">
        <f ca="1">IFERROR(__xludf.DUMMYFUNCTION("""COMPUTED_VALUE"""),123)</f>
        <v>123</v>
      </c>
      <c r="E38" s="55">
        <f ca="1">IFERROR(__xludf.DUMMYFUNCTION("""COMPUTED_VALUE"""),5068)</f>
        <v>5068</v>
      </c>
    </row>
    <row r="39" spans="1:5" ht="13.2" x14ac:dyDescent="0.25">
      <c r="A39" s="131">
        <f ca="1">IFERROR(__xludf.DUMMYFUNCTION("""COMPUTED_VALUE"""),43928)</f>
        <v>43928</v>
      </c>
      <c r="B39" s="55">
        <f ca="1">IFERROR(__xludf.DUMMYFUNCTION("""COMPUTED_VALUE"""),53)</f>
        <v>53</v>
      </c>
      <c r="C39" s="55">
        <f ca="1">IFERROR(__xludf.DUMMYFUNCTION("""COMPUTED_VALUE"""),697)</f>
        <v>697</v>
      </c>
      <c r="D39" s="55">
        <f ca="1">IFERROR(__xludf.DUMMYFUNCTION("""COMPUTED_VALUE"""),146)</f>
        <v>146</v>
      </c>
      <c r="E39" s="55">
        <f ca="1">IFERROR(__xludf.DUMMYFUNCTION("""COMPUTED_VALUE"""),5214)</f>
        <v>5214</v>
      </c>
    </row>
    <row r="40" spans="1:5" ht="13.2" x14ac:dyDescent="0.25">
      <c r="A40" s="131">
        <f ca="1">IFERROR(__xludf.DUMMYFUNCTION("""COMPUTED_VALUE"""),43929)</f>
        <v>43929</v>
      </c>
      <c r="B40" s="55">
        <f ca="1">IFERROR(__xludf.DUMMYFUNCTION("""COMPUTED_VALUE"""),54)</f>
        <v>54</v>
      </c>
      <c r="C40" s="55">
        <f ca="1">IFERROR(__xludf.DUMMYFUNCTION("""COMPUTED_VALUE"""),751)</f>
        <v>751</v>
      </c>
      <c r="D40" s="55">
        <f ca="1">IFERROR(__xludf.DUMMYFUNCTION("""COMPUTED_VALUE"""),136)</f>
        <v>136</v>
      </c>
      <c r="E40" s="55">
        <f ca="1">IFERROR(__xludf.DUMMYFUNCTION("""COMPUTED_VALUE"""),5350)</f>
        <v>5350</v>
      </c>
    </row>
    <row r="41" spans="1:5" ht="13.2" x14ac:dyDescent="0.25">
      <c r="A41" s="131">
        <f ca="1">IFERROR(__xludf.DUMMYFUNCTION("""COMPUTED_VALUE"""),43930)</f>
        <v>43930</v>
      </c>
      <c r="B41" s="55">
        <f ca="1">IFERROR(__xludf.DUMMYFUNCTION("""COMPUTED_VALUE"""),47)</f>
        <v>47</v>
      </c>
      <c r="C41" s="55">
        <f ca="1">IFERROR(__xludf.DUMMYFUNCTION("""COMPUTED_VALUE"""),798)</f>
        <v>798</v>
      </c>
      <c r="D41" s="55">
        <f ca="1">IFERROR(__xludf.DUMMYFUNCTION("""COMPUTED_VALUE"""),136)</f>
        <v>136</v>
      </c>
      <c r="E41" s="55">
        <f ca="1">IFERROR(__xludf.DUMMYFUNCTION("""COMPUTED_VALUE"""),5486)</f>
        <v>5486</v>
      </c>
    </row>
    <row r="42" spans="1:5" ht="13.2" x14ac:dyDescent="0.25">
      <c r="A42" s="131">
        <f ca="1">IFERROR(__xludf.DUMMYFUNCTION("""COMPUTED_VALUE"""),43931)</f>
        <v>43931</v>
      </c>
      <c r="B42" s="55">
        <f ca="1">IFERROR(__xludf.DUMMYFUNCTION("""COMPUTED_VALUE"""),37)</f>
        <v>37</v>
      </c>
      <c r="C42" s="55">
        <f ca="1">IFERROR(__xludf.DUMMYFUNCTION("""COMPUTED_VALUE"""),835)</f>
        <v>835</v>
      </c>
      <c r="D42" s="55">
        <f ca="1">IFERROR(__xludf.DUMMYFUNCTION("""COMPUTED_VALUE"""),154)</f>
        <v>154</v>
      </c>
      <c r="E42" s="55">
        <f ca="1">IFERROR(__xludf.DUMMYFUNCTION("""COMPUTED_VALUE"""),5640)</f>
        <v>5640</v>
      </c>
    </row>
    <row r="43" spans="1:5" ht="13.2" x14ac:dyDescent="0.25">
      <c r="A43" s="131">
        <f ca="1">IFERROR(__xludf.DUMMYFUNCTION("""COMPUTED_VALUE"""),43932)</f>
        <v>43932</v>
      </c>
      <c r="B43" s="55">
        <f ca="1">IFERROR(__xludf.DUMMYFUNCTION("""COMPUTED_VALUE"""),39)</f>
        <v>39</v>
      </c>
      <c r="C43" s="55">
        <f ca="1">IFERROR(__xludf.DUMMYFUNCTION("""COMPUTED_VALUE"""),874)</f>
        <v>874</v>
      </c>
      <c r="D43" s="55">
        <f ca="1">IFERROR(__xludf.DUMMYFUNCTION("""COMPUTED_VALUE"""),143)</f>
        <v>143</v>
      </c>
      <c r="E43" s="55">
        <f ca="1">IFERROR(__xludf.DUMMYFUNCTION("""COMPUTED_VALUE"""),5783)</f>
        <v>5783</v>
      </c>
    </row>
    <row r="44" spans="1:5" ht="13.2" x14ac:dyDescent="0.25">
      <c r="A44" s="131">
        <f ca="1">IFERROR(__xludf.DUMMYFUNCTION("""COMPUTED_VALUE"""),43933)</f>
        <v>43933</v>
      </c>
      <c r="B44" s="55">
        <f ca="1">IFERROR(__xludf.DUMMYFUNCTION("""COMPUTED_VALUE"""),52)</f>
        <v>52</v>
      </c>
      <c r="C44" s="55">
        <f ca="1">IFERROR(__xludf.DUMMYFUNCTION("""COMPUTED_VALUE"""),926)</f>
        <v>926</v>
      </c>
      <c r="D44" s="55">
        <f ca="1">IFERROR(__xludf.DUMMYFUNCTION("""COMPUTED_VALUE"""),145)</f>
        <v>145</v>
      </c>
      <c r="E44" s="55">
        <f ca="1">IFERROR(__xludf.DUMMYFUNCTION("""COMPUTED_VALUE"""),5928)</f>
        <v>5928</v>
      </c>
    </row>
    <row r="45" spans="1:5" ht="13.2" x14ac:dyDescent="0.25">
      <c r="A45" s="131">
        <f ca="1">IFERROR(__xludf.DUMMYFUNCTION("""COMPUTED_VALUE"""),43934)</f>
        <v>43934</v>
      </c>
      <c r="B45" s="55">
        <f ca="1">IFERROR(__xludf.DUMMYFUNCTION("""COMPUTED_VALUE"""),40)</f>
        <v>40</v>
      </c>
      <c r="C45" s="55">
        <f ca="1">IFERROR(__xludf.DUMMYFUNCTION("""COMPUTED_VALUE"""),966)</f>
        <v>966</v>
      </c>
      <c r="D45" s="55">
        <f ca="1">IFERROR(__xludf.DUMMYFUNCTION("""COMPUTED_VALUE"""),125)</f>
        <v>125</v>
      </c>
      <c r="E45" s="55">
        <f ca="1">IFERROR(__xludf.DUMMYFUNCTION("""COMPUTED_VALUE"""),6053)</f>
        <v>6053</v>
      </c>
    </row>
    <row r="46" spans="1:5" ht="13.2" x14ac:dyDescent="0.25">
      <c r="A46" s="131">
        <f ca="1">IFERROR(__xludf.DUMMYFUNCTION("""COMPUTED_VALUE"""),43935)</f>
        <v>43935</v>
      </c>
      <c r="B46" s="55">
        <f ca="1">IFERROR(__xludf.DUMMYFUNCTION("""COMPUTED_VALUE"""),46)</f>
        <v>46</v>
      </c>
      <c r="C46" s="55">
        <f ca="1">IFERROR(__xludf.DUMMYFUNCTION("""COMPUTED_VALUE"""),1012)</f>
        <v>1012</v>
      </c>
      <c r="D46" s="55">
        <f ca="1">IFERROR(__xludf.DUMMYFUNCTION("""COMPUTED_VALUE"""),147)</f>
        <v>147</v>
      </c>
      <c r="E46" s="55">
        <f ca="1">IFERROR(__xludf.DUMMYFUNCTION("""COMPUTED_VALUE"""),6200)</f>
        <v>6200</v>
      </c>
    </row>
    <row r="47" spans="1:5" ht="13.2" x14ac:dyDescent="0.25">
      <c r="A47" s="131">
        <f ca="1">IFERROR(__xludf.DUMMYFUNCTION("""COMPUTED_VALUE"""),43936)</f>
        <v>43936</v>
      </c>
      <c r="B47" s="55">
        <f ca="1">IFERROR(__xludf.DUMMYFUNCTION("""COMPUTED_VALUE"""),31)</f>
        <v>31</v>
      </c>
      <c r="C47" s="55">
        <f ca="1">IFERROR(__xludf.DUMMYFUNCTION("""COMPUTED_VALUE"""),1043)</f>
        <v>1043</v>
      </c>
      <c r="D47" s="55">
        <f ca="1">IFERROR(__xludf.DUMMYFUNCTION("""COMPUTED_VALUE"""),138)</f>
        <v>138</v>
      </c>
      <c r="E47" s="55">
        <f ca="1">IFERROR(__xludf.DUMMYFUNCTION("""COMPUTED_VALUE"""),6338)</f>
        <v>6338</v>
      </c>
    </row>
    <row r="48" spans="1:5" ht="13.2" x14ac:dyDescent="0.25">
      <c r="A48" s="131">
        <f ca="1">IFERROR(__xludf.DUMMYFUNCTION("""COMPUTED_VALUE"""),43937)</f>
        <v>43937</v>
      </c>
      <c r="B48" s="55">
        <f ca="1">IFERROR(__xludf.DUMMYFUNCTION("""COMPUTED_VALUE"""),32)</f>
        <v>32</v>
      </c>
      <c r="C48" s="55">
        <f ca="1">IFERROR(__xludf.DUMMYFUNCTION("""COMPUTED_VALUE"""),1075)</f>
        <v>1075</v>
      </c>
      <c r="D48" s="55">
        <f ca="1">IFERROR(__xludf.DUMMYFUNCTION("""COMPUTED_VALUE"""),126)</f>
        <v>126</v>
      </c>
      <c r="E48" s="55">
        <f ca="1">IFERROR(__xludf.DUMMYFUNCTION("""COMPUTED_VALUE"""),6464)</f>
        <v>6464</v>
      </c>
    </row>
    <row r="49" spans="1:5" ht="13.2" x14ac:dyDescent="0.25">
      <c r="A49" s="131">
        <f ca="1">IFERROR(__xludf.DUMMYFUNCTION("""COMPUTED_VALUE"""),43938)</f>
        <v>43938</v>
      </c>
      <c r="B49" s="55">
        <f ca="1">IFERROR(__xludf.DUMMYFUNCTION("""COMPUTED_VALUE"""),42)</f>
        <v>42</v>
      </c>
      <c r="C49" s="55">
        <f ca="1">IFERROR(__xludf.DUMMYFUNCTION("""COMPUTED_VALUE"""),1117)</f>
        <v>1117</v>
      </c>
      <c r="D49" s="55">
        <f ca="1">IFERROR(__xludf.DUMMYFUNCTION("""COMPUTED_VALUE"""),148)</f>
        <v>148</v>
      </c>
      <c r="E49" s="55">
        <f ca="1">IFERROR(__xludf.DUMMYFUNCTION("""COMPUTED_VALUE"""),6612)</f>
        <v>6612</v>
      </c>
    </row>
    <row r="50" spans="1:5" ht="13.2" x14ac:dyDescent="0.25">
      <c r="A50" s="131">
        <f ca="1">IFERROR(__xludf.DUMMYFUNCTION("""COMPUTED_VALUE"""),43939)</f>
        <v>43939</v>
      </c>
      <c r="B50" s="55">
        <f ca="1">IFERROR(__xludf.DUMMYFUNCTION("""COMPUTED_VALUE"""),47)</f>
        <v>47</v>
      </c>
      <c r="C50" s="55">
        <f ca="1">IFERROR(__xludf.DUMMYFUNCTION("""COMPUTED_VALUE"""),1164)</f>
        <v>1164</v>
      </c>
      <c r="D50" s="55">
        <f ca="1">IFERROR(__xludf.DUMMYFUNCTION("""COMPUTED_VALUE"""),108)</f>
        <v>108</v>
      </c>
      <c r="E50" s="55">
        <f ca="1">IFERROR(__xludf.DUMMYFUNCTION("""COMPUTED_VALUE"""),6720)</f>
        <v>6720</v>
      </c>
    </row>
    <row r="51" spans="1:5" ht="13.2" x14ac:dyDescent="0.25">
      <c r="A51" s="131">
        <f ca="1">IFERROR(__xludf.DUMMYFUNCTION("""COMPUTED_VALUE"""),43940)</f>
        <v>43940</v>
      </c>
      <c r="B51" s="55">
        <f ca="1">IFERROR(__xludf.DUMMYFUNCTION("""COMPUTED_VALUE"""),29)</f>
        <v>29</v>
      </c>
      <c r="C51" s="55">
        <f ca="1">IFERROR(__xludf.DUMMYFUNCTION("""COMPUTED_VALUE"""),1193)</f>
        <v>1193</v>
      </c>
      <c r="D51" s="55">
        <f ca="1">IFERROR(__xludf.DUMMYFUNCTION("""COMPUTED_VALUE"""),147)</f>
        <v>147</v>
      </c>
      <c r="E51" s="55">
        <f ca="1">IFERROR(__xludf.DUMMYFUNCTION("""COMPUTED_VALUE"""),6867)</f>
        <v>6867</v>
      </c>
    </row>
    <row r="52" spans="1:5" ht="13.2" x14ac:dyDescent="0.25">
      <c r="A52" s="131">
        <f ca="1">IFERROR(__xludf.DUMMYFUNCTION("""COMPUTED_VALUE"""),43941)</f>
        <v>43941</v>
      </c>
      <c r="B52" s="55">
        <f ca="1">IFERROR(__xludf.DUMMYFUNCTION("""COMPUTED_VALUE"""),36)</f>
        <v>36</v>
      </c>
      <c r="C52" s="55">
        <f ca="1">IFERROR(__xludf.DUMMYFUNCTION("""COMPUTED_VALUE"""),1229)</f>
        <v>1229</v>
      </c>
      <c r="D52" s="55">
        <f ca="1">IFERROR(__xludf.DUMMYFUNCTION("""COMPUTED_VALUE"""),134)</f>
        <v>134</v>
      </c>
      <c r="E52" s="55">
        <f ca="1">IFERROR(__xludf.DUMMYFUNCTION("""COMPUTED_VALUE"""),7001)</f>
        <v>7001</v>
      </c>
    </row>
    <row r="53" spans="1:5" ht="13.2" x14ac:dyDescent="0.25">
      <c r="A53" s="131">
        <f ca="1">IFERROR(__xludf.DUMMYFUNCTION("""COMPUTED_VALUE"""),43942)</f>
        <v>43942</v>
      </c>
      <c r="B53" s="55">
        <f ca="1">IFERROR(__xludf.DUMMYFUNCTION("""COMPUTED_VALUE"""),38)</f>
        <v>38</v>
      </c>
      <c r="C53" s="55">
        <f ca="1">IFERROR(__xludf.DUMMYFUNCTION("""COMPUTED_VALUE"""),1267)</f>
        <v>1267</v>
      </c>
      <c r="D53" s="55">
        <f ca="1">IFERROR(__xludf.DUMMYFUNCTION("""COMPUTED_VALUE"""),132)</f>
        <v>132</v>
      </c>
      <c r="E53" s="55">
        <f ca="1">IFERROR(__xludf.DUMMYFUNCTION("""COMPUTED_VALUE"""),7133)</f>
        <v>7133</v>
      </c>
    </row>
    <row r="54" spans="1:5" ht="13.2" x14ac:dyDescent="0.25">
      <c r="A54" s="131">
        <f ca="1">IFERROR(__xludf.DUMMYFUNCTION("""COMPUTED_VALUE"""),43943)</f>
        <v>43943</v>
      </c>
      <c r="B54" s="55">
        <f ca="1">IFERROR(__xludf.DUMMYFUNCTION("""COMPUTED_VALUE"""),49)</f>
        <v>49</v>
      </c>
      <c r="C54" s="55">
        <f ca="1">IFERROR(__xludf.DUMMYFUNCTION("""COMPUTED_VALUE"""),1316)</f>
        <v>1316</v>
      </c>
      <c r="D54" s="55">
        <f ca="1">IFERROR(__xludf.DUMMYFUNCTION("""COMPUTED_VALUE"""),123)</f>
        <v>123</v>
      </c>
      <c r="E54" s="55">
        <f ca="1">IFERROR(__xludf.DUMMYFUNCTION("""COMPUTED_VALUE"""),7256)</f>
        <v>7256</v>
      </c>
    </row>
    <row r="55" spans="1:5" ht="13.2" x14ac:dyDescent="0.25">
      <c r="A55" s="131">
        <f ca="1">IFERROR(__xludf.DUMMYFUNCTION("""COMPUTED_VALUE"""),43944)</f>
        <v>43944</v>
      </c>
      <c r="B55" s="55">
        <f ca="1">IFERROR(__xludf.DUMMYFUNCTION("""COMPUTED_VALUE"""),45)</f>
        <v>45</v>
      </c>
      <c r="C55" s="55">
        <f ca="1">IFERROR(__xludf.DUMMYFUNCTION("""COMPUTED_VALUE"""),1361)</f>
        <v>1361</v>
      </c>
      <c r="D55" s="55">
        <f ca="1">IFERROR(__xludf.DUMMYFUNCTION("""COMPUTED_VALUE"""),107)</f>
        <v>107</v>
      </c>
      <c r="E55" s="55">
        <f ca="1">IFERROR(__xludf.DUMMYFUNCTION("""COMPUTED_VALUE"""),7363)</f>
        <v>7363</v>
      </c>
    </row>
    <row r="56" spans="1:5" ht="13.2" x14ac:dyDescent="0.25">
      <c r="A56" s="131">
        <f ca="1">IFERROR(__xludf.DUMMYFUNCTION("""COMPUTED_VALUE"""),43945)</f>
        <v>43945</v>
      </c>
      <c r="B56" s="55">
        <f ca="1">IFERROR(__xludf.DUMMYFUNCTION("""COMPUTED_VALUE"""),40)</f>
        <v>40</v>
      </c>
      <c r="C56" s="55">
        <f ca="1">IFERROR(__xludf.DUMMYFUNCTION("""COMPUTED_VALUE"""),1401)</f>
        <v>1401</v>
      </c>
      <c r="D56" s="55">
        <f ca="1">IFERROR(__xludf.DUMMYFUNCTION("""COMPUTED_VALUE"""),129)</f>
        <v>129</v>
      </c>
      <c r="E56" s="55">
        <f ca="1">IFERROR(__xludf.DUMMYFUNCTION("""COMPUTED_VALUE"""),7492)</f>
        <v>7492</v>
      </c>
    </row>
    <row r="57" spans="1:5" ht="13.2" x14ac:dyDescent="0.25">
      <c r="A57" s="131">
        <f ca="1">IFERROR(__xludf.DUMMYFUNCTION("""COMPUTED_VALUE"""),43946)</f>
        <v>43946</v>
      </c>
      <c r="B57" s="55">
        <f ca="1">IFERROR(__xludf.DUMMYFUNCTION("""COMPUTED_VALUE"""),44)</f>
        <v>44</v>
      </c>
      <c r="C57" s="55">
        <f ca="1">IFERROR(__xludf.DUMMYFUNCTION("""COMPUTED_VALUE"""),1445)</f>
        <v>1445</v>
      </c>
      <c r="D57" s="55">
        <f ca="1">IFERROR(__xludf.DUMMYFUNCTION("""COMPUTED_VALUE"""),114)</f>
        <v>114</v>
      </c>
      <c r="E57" s="55">
        <f ca="1">IFERROR(__xludf.DUMMYFUNCTION("""COMPUTED_VALUE"""),7606)</f>
        <v>7606</v>
      </c>
    </row>
    <row r="58" spans="1:5" ht="13.2" x14ac:dyDescent="0.25">
      <c r="A58" s="131">
        <f ca="1">IFERROR(__xludf.DUMMYFUNCTION("""COMPUTED_VALUE"""),43947)</f>
        <v>43947</v>
      </c>
      <c r="B58" s="55">
        <f ca="1">IFERROR(__xludf.DUMMYFUNCTION("""COMPUTED_VALUE"""),27)</f>
        <v>27</v>
      </c>
      <c r="C58" s="55">
        <f ca="1">IFERROR(__xludf.DUMMYFUNCTION("""COMPUTED_VALUE"""),1472)</f>
        <v>1472</v>
      </c>
      <c r="D58" s="55">
        <f ca="1">IFERROR(__xludf.DUMMYFUNCTION("""COMPUTED_VALUE"""),137)</f>
        <v>137</v>
      </c>
      <c r="E58" s="55">
        <f ca="1">IFERROR(__xludf.DUMMYFUNCTION("""COMPUTED_VALUE"""),7743)</f>
        <v>7743</v>
      </c>
    </row>
    <row r="59" spans="1:5" ht="13.2" x14ac:dyDescent="0.25">
      <c r="A59" s="131">
        <f ca="1">IFERROR(__xludf.DUMMYFUNCTION("""COMPUTED_VALUE"""),43948)</f>
        <v>43948</v>
      </c>
      <c r="B59" s="55">
        <f ca="1">IFERROR(__xludf.DUMMYFUNCTION("""COMPUTED_VALUE"""),38)</f>
        <v>38</v>
      </c>
      <c r="C59" s="55">
        <f ca="1">IFERROR(__xludf.DUMMYFUNCTION("""COMPUTED_VALUE"""),1510)</f>
        <v>1510</v>
      </c>
      <c r="D59" s="55">
        <f ca="1">IFERROR(__xludf.DUMMYFUNCTION("""COMPUTED_VALUE"""),140)</f>
        <v>140</v>
      </c>
      <c r="E59" s="55">
        <f ca="1">IFERROR(__xludf.DUMMYFUNCTION("""COMPUTED_VALUE"""),7883)</f>
        <v>7883</v>
      </c>
    </row>
    <row r="60" spans="1:5" ht="13.2" x14ac:dyDescent="0.25">
      <c r="A60" s="131">
        <f ca="1">IFERROR(__xludf.DUMMYFUNCTION("""COMPUTED_VALUE"""),43949)</f>
        <v>43949</v>
      </c>
      <c r="B60" s="55">
        <f ca="1">IFERROR(__xludf.DUMMYFUNCTION("""COMPUTED_VALUE"""),38)</f>
        <v>38</v>
      </c>
      <c r="C60" s="55">
        <f ca="1">IFERROR(__xludf.DUMMYFUNCTION("""COMPUTED_VALUE"""),1548)</f>
        <v>1548</v>
      </c>
      <c r="D60" s="55">
        <f ca="1">IFERROR(__xludf.DUMMYFUNCTION("""COMPUTED_VALUE"""),137)</f>
        <v>137</v>
      </c>
      <c r="E60" s="55">
        <f ca="1">IFERROR(__xludf.DUMMYFUNCTION("""COMPUTED_VALUE"""),8020)</f>
        <v>8020</v>
      </c>
    </row>
    <row r="61" spans="1:5" ht="13.2" x14ac:dyDescent="0.25">
      <c r="A61" s="131">
        <f ca="1">IFERROR(__xludf.DUMMYFUNCTION("""COMPUTED_VALUE"""),43950)</f>
        <v>43950</v>
      </c>
      <c r="B61" s="55">
        <f ca="1">IFERROR(__xludf.DUMMYFUNCTION("""COMPUTED_VALUE"""),25)</f>
        <v>25</v>
      </c>
      <c r="C61" s="55">
        <f ca="1">IFERROR(__xludf.DUMMYFUNCTION("""COMPUTED_VALUE"""),1573)</f>
        <v>1573</v>
      </c>
      <c r="D61" s="55">
        <f ca="1">IFERROR(__xludf.DUMMYFUNCTION("""COMPUTED_VALUE"""),130)</f>
        <v>130</v>
      </c>
      <c r="E61" s="55">
        <f ca="1">IFERROR(__xludf.DUMMYFUNCTION("""COMPUTED_VALUE"""),8150)</f>
        <v>8150</v>
      </c>
    </row>
    <row r="62" spans="1:5" ht="13.2" x14ac:dyDescent="0.25">
      <c r="A62" s="131">
        <f ca="1">IFERROR(__xludf.DUMMYFUNCTION("""COMPUTED_VALUE"""),43951)</f>
        <v>43951</v>
      </c>
      <c r="B62" s="55">
        <f ca="1">IFERROR(__xludf.DUMMYFUNCTION("""COMPUTED_VALUE"""),22)</f>
        <v>22</v>
      </c>
      <c r="C62" s="55">
        <f ca="1">IFERROR(__xludf.DUMMYFUNCTION("""COMPUTED_VALUE"""),1595)</f>
        <v>1595</v>
      </c>
      <c r="D62" s="55">
        <f ca="1">IFERROR(__xludf.DUMMYFUNCTION("""COMPUTED_VALUE"""),114)</f>
        <v>114</v>
      </c>
      <c r="E62" s="55">
        <f ca="1">IFERROR(__xludf.DUMMYFUNCTION("""COMPUTED_VALUE"""),8264)</f>
        <v>8264</v>
      </c>
    </row>
    <row r="63" spans="1:5" ht="13.2" x14ac:dyDescent="0.25">
      <c r="A63" s="131">
        <f ca="1">IFERROR(__xludf.DUMMYFUNCTION("""COMPUTED_VALUE"""),43952)</f>
        <v>43952</v>
      </c>
      <c r="B63" s="55">
        <f ca="1">IFERROR(__xludf.DUMMYFUNCTION("""COMPUTED_VALUE"""),35)</f>
        <v>35</v>
      </c>
      <c r="C63" s="55">
        <f ca="1">IFERROR(__xludf.DUMMYFUNCTION("""COMPUTED_VALUE"""),1630)</f>
        <v>1630</v>
      </c>
      <c r="D63" s="55">
        <f ca="1">IFERROR(__xludf.DUMMYFUNCTION("""COMPUTED_VALUE"""),116)</f>
        <v>116</v>
      </c>
      <c r="E63" s="55">
        <f ca="1">IFERROR(__xludf.DUMMYFUNCTION("""COMPUTED_VALUE"""),8380)</f>
        <v>8380</v>
      </c>
    </row>
    <row r="64" spans="1:5" ht="13.2" x14ac:dyDescent="0.25">
      <c r="A64" s="131">
        <f ca="1">IFERROR(__xludf.DUMMYFUNCTION("""COMPUTED_VALUE"""),43953)</f>
        <v>43953</v>
      </c>
      <c r="B64" s="55">
        <f ca="1">IFERROR(__xludf.DUMMYFUNCTION("""COMPUTED_VALUE"""),47)</f>
        <v>47</v>
      </c>
      <c r="C64" s="55">
        <f ca="1">IFERROR(__xludf.DUMMYFUNCTION("""COMPUTED_VALUE"""),1677)</f>
        <v>1677</v>
      </c>
      <c r="D64" s="55">
        <f ca="1">IFERROR(__xludf.DUMMYFUNCTION("""COMPUTED_VALUE"""),159)</f>
        <v>159</v>
      </c>
      <c r="E64" s="55">
        <f ca="1">IFERROR(__xludf.DUMMYFUNCTION("""COMPUTED_VALUE"""),8539)</f>
        <v>8539</v>
      </c>
    </row>
    <row r="65" spans="1:5" ht="13.2" x14ac:dyDescent="0.25">
      <c r="A65" s="131">
        <f ca="1">IFERROR(__xludf.DUMMYFUNCTION("""COMPUTED_VALUE"""),43954)</f>
        <v>43954</v>
      </c>
      <c r="B65" s="55">
        <f ca="1">IFERROR(__xludf.DUMMYFUNCTION("""COMPUTED_VALUE"""),26)</f>
        <v>26</v>
      </c>
      <c r="C65" s="55">
        <f ca="1">IFERROR(__xludf.DUMMYFUNCTION("""COMPUTED_VALUE"""),1703)</f>
        <v>1703</v>
      </c>
      <c r="D65" s="55">
        <f ca="1">IFERROR(__xludf.DUMMYFUNCTION("""COMPUTED_VALUE"""),123)</f>
        <v>123</v>
      </c>
      <c r="E65" s="55">
        <f ca="1">IFERROR(__xludf.DUMMYFUNCTION("""COMPUTED_VALUE"""),8662)</f>
        <v>8662</v>
      </c>
    </row>
    <row r="66" spans="1:5" ht="13.2" x14ac:dyDescent="0.25">
      <c r="A66" s="131">
        <f ca="1">IFERROR(__xludf.DUMMYFUNCTION("""COMPUTED_VALUE"""),43955)</f>
        <v>43955</v>
      </c>
      <c r="B66" s="55">
        <f ca="1">IFERROR(__xludf.DUMMYFUNCTION("""COMPUTED_VALUE"""),36)</f>
        <v>36</v>
      </c>
      <c r="C66" s="55">
        <f ca="1">IFERROR(__xludf.DUMMYFUNCTION("""COMPUTED_VALUE"""),1739)</f>
        <v>1739</v>
      </c>
      <c r="D66" s="55">
        <f ca="1">IFERROR(__xludf.DUMMYFUNCTION("""COMPUTED_VALUE"""),136)</f>
        <v>136</v>
      </c>
      <c r="E66" s="55">
        <f ca="1">IFERROR(__xludf.DUMMYFUNCTION("""COMPUTED_VALUE"""),8798)</f>
        <v>8798</v>
      </c>
    </row>
    <row r="67" spans="1:5" ht="13.2" x14ac:dyDescent="0.25">
      <c r="A67" s="131">
        <f ca="1">IFERROR(__xludf.DUMMYFUNCTION("""COMPUTED_VALUE"""),43956)</f>
        <v>43956</v>
      </c>
      <c r="B67" s="55">
        <f ca="1">IFERROR(__xludf.DUMMYFUNCTION("""COMPUTED_VALUE"""),36)</f>
        <v>36</v>
      </c>
      <c r="C67" s="55">
        <f ca="1">IFERROR(__xludf.DUMMYFUNCTION("""COMPUTED_VALUE"""),1775)</f>
        <v>1775</v>
      </c>
      <c r="D67" s="55">
        <f ca="1">IFERROR(__xludf.DUMMYFUNCTION("""COMPUTED_VALUE"""),128)</f>
        <v>128</v>
      </c>
      <c r="E67" s="55">
        <f ca="1">IFERROR(__xludf.DUMMYFUNCTION("""COMPUTED_VALUE"""),8926)</f>
        <v>8926</v>
      </c>
    </row>
    <row r="68" spans="1:5" ht="13.2" x14ac:dyDescent="0.25">
      <c r="A68" s="131">
        <f ca="1">IFERROR(__xludf.DUMMYFUNCTION("""COMPUTED_VALUE"""),43957)</f>
        <v>43957</v>
      </c>
      <c r="B68" s="55">
        <f ca="1">IFERROR(__xludf.DUMMYFUNCTION("""COMPUTED_VALUE"""),35)</f>
        <v>35</v>
      </c>
      <c r="C68" s="55">
        <f ca="1">IFERROR(__xludf.DUMMYFUNCTION("""COMPUTED_VALUE"""),1810)</f>
        <v>1810</v>
      </c>
      <c r="D68" s="55">
        <f ca="1">IFERROR(__xludf.DUMMYFUNCTION("""COMPUTED_VALUE"""),118)</f>
        <v>118</v>
      </c>
      <c r="E68" s="55">
        <f ca="1">IFERROR(__xludf.DUMMYFUNCTION("""COMPUTED_VALUE"""),9044)</f>
        <v>9044</v>
      </c>
    </row>
    <row r="69" spans="1:5" ht="13.2" x14ac:dyDescent="0.25">
      <c r="A69" s="131">
        <f ca="1">IFERROR(__xludf.DUMMYFUNCTION("""COMPUTED_VALUE"""),43958)</f>
        <v>43958</v>
      </c>
      <c r="B69" s="55">
        <f ca="1">IFERROR(__xludf.DUMMYFUNCTION("""COMPUTED_VALUE"""),28)</f>
        <v>28</v>
      </c>
      <c r="C69" s="55">
        <f ca="1">IFERROR(__xludf.DUMMYFUNCTION("""COMPUTED_VALUE"""),1838)</f>
        <v>1838</v>
      </c>
      <c r="D69" s="55">
        <f ca="1">IFERROR(__xludf.DUMMYFUNCTION("""COMPUTED_VALUE"""),116)</f>
        <v>116</v>
      </c>
      <c r="E69" s="55">
        <f ca="1">IFERROR(__xludf.DUMMYFUNCTION("""COMPUTED_VALUE"""),9160)</f>
        <v>9160</v>
      </c>
    </row>
    <row r="70" spans="1:5" ht="13.2" x14ac:dyDescent="0.25">
      <c r="A70" s="131">
        <f ca="1">IFERROR(__xludf.DUMMYFUNCTION("""COMPUTED_VALUE"""),43959)</f>
        <v>43959</v>
      </c>
      <c r="B70" s="55">
        <f ca="1">IFERROR(__xludf.DUMMYFUNCTION("""COMPUTED_VALUE"""),35)</f>
        <v>35</v>
      </c>
      <c r="C70" s="55">
        <f ca="1">IFERROR(__xludf.DUMMYFUNCTION("""COMPUTED_VALUE"""),1873)</f>
        <v>1873</v>
      </c>
      <c r="D70" s="55">
        <f ca="1">IFERROR(__xludf.DUMMYFUNCTION("""COMPUTED_VALUE"""),119)</f>
        <v>119</v>
      </c>
      <c r="E70" s="55">
        <f ca="1">IFERROR(__xludf.DUMMYFUNCTION("""COMPUTED_VALUE"""),9279)</f>
        <v>9279</v>
      </c>
    </row>
    <row r="71" spans="1:5" ht="13.2" x14ac:dyDescent="0.25">
      <c r="A71" s="131">
        <f ca="1">IFERROR(__xludf.DUMMYFUNCTION("""COMPUTED_VALUE"""),43960)</f>
        <v>43960</v>
      </c>
      <c r="B71" s="55">
        <f ca="1">IFERROR(__xludf.DUMMYFUNCTION("""COMPUTED_VALUE"""),30)</f>
        <v>30</v>
      </c>
      <c r="C71" s="55">
        <f ca="1">IFERROR(__xludf.DUMMYFUNCTION("""COMPUTED_VALUE"""),1903)</f>
        <v>1903</v>
      </c>
      <c r="D71" s="55">
        <f ca="1">IFERROR(__xludf.DUMMYFUNCTION("""COMPUTED_VALUE"""),108)</f>
        <v>108</v>
      </c>
      <c r="E71" s="55">
        <f ca="1">IFERROR(__xludf.DUMMYFUNCTION("""COMPUTED_VALUE"""),9387)</f>
        <v>9387</v>
      </c>
    </row>
    <row r="72" spans="1:5" ht="13.2" x14ac:dyDescent="0.25">
      <c r="A72" s="131">
        <f ca="1">IFERROR(__xludf.DUMMYFUNCTION("""COMPUTED_VALUE"""),43961)</f>
        <v>43961</v>
      </c>
      <c r="B72" s="55">
        <f ca="1">IFERROR(__xludf.DUMMYFUNCTION("""COMPUTED_VALUE"""),35)</f>
        <v>35</v>
      </c>
      <c r="C72" s="55">
        <f ca="1">IFERROR(__xludf.DUMMYFUNCTION("""COMPUTED_VALUE"""),1938)</f>
        <v>1938</v>
      </c>
      <c r="D72" s="55">
        <f ca="1">IFERROR(__xludf.DUMMYFUNCTION("""COMPUTED_VALUE"""),120)</f>
        <v>120</v>
      </c>
      <c r="E72" s="55">
        <f ca="1">IFERROR(__xludf.DUMMYFUNCTION("""COMPUTED_VALUE"""),9507)</f>
        <v>9507</v>
      </c>
    </row>
    <row r="73" spans="1:5" ht="13.2" x14ac:dyDescent="0.25">
      <c r="A73" s="131">
        <f ca="1">IFERROR(__xludf.DUMMYFUNCTION("""COMPUTED_VALUE"""),43962)</f>
        <v>43962</v>
      </c>
      <c r="B73" s="55">
        <f ca="1">IFERROR(__xludf.DUMMYFUNCTION("""COMPUTED_VALUE"""),27)</f>
        <v>27</v>
      </c>
      <c r="C73" s="55">
        <f ca="1">IFERROR(__xludf.DUMMYFUNCTION("""COMPUTED_VALUE"""),1965)</f>
        <v>1965</v>
      </c>
      <c r="D73" s="55">
        <f ca="1">IFERROR(__xludf.DUMMYFUNCTION("""COMPUTED_VALUE"""),135)</f>
        <v>135</v>
      </c>
      <c r="E73" s="55">
        <f ca="1">IFERROR(__xludf.DUMMYFUNCTION("""COMPUTED_VALUE"""),9642)</f>
        <v>9642</v>
      </c>
    </row>
    <row r="74" spans="1:5" ht="13.2" x14ac:dyDescent="0.25">
      <c r="A74" s="131">
        <f ca="1">IFERROR(__xludf.DUMMYFUNCTION("""COMPUTED_VALUE"""),43963)</f>
        <v>43963</v>
      </c>
      <c r="B74" s="55">
        <f ca="1">IFERROR(__xludf.DUMMYFUNCTION("""COMPUTED_VALUE"""),32)</f>
        <v>32</v>
      </c>
      <c r="C74" s="55">
        <f ca="1">IFERROR(__xludf.DUMMYFUNCTION("""COMPUTED_VALUE"""),1997)</f>
        <v>1997</v>
      </c>
      <c r="D74" s="55">
        <f ca="1">IFERROR(__xludf.DUMMYFUNCTION("""COMPUTED_VALUE"""),136)</f>
        <v>136</v>
      </c>
      <c r="E74" s="55">
        <f ca="1">IFERROR(__xludf.DUMMYFUNCTION("""COMPUTED_VALUE"""),9778)</f>
        <v>9778</v>
      </c>
    </row>
    <row r="75" spans="1:5" ht="13.2" x14ac:dyDescent="0.25">
      <c r="A75" s="131">
        <f ca="1">IFERROR(__xludf.DUMMYFUNCTION("""COMPUTED_VALUE"""),43964)</f>
        <v>43964</v>
      </c>
      <c r="B75" s="55">
        <f ca="1">IFERROR(__xludf.DUMMYFUNCTION("""COMPUTED_VALUE"""),38)</f>
        <v>38</v>
      </c>
      <c r="C75" s="55">
        <f ca="1">IFERROR(__xludf.DUMMYFUNCTION("""COMPUTED_VALUE"""),2035)</f>
        <v>2035</v>
      </c>
      <c r="D75" s="55">
        <f ca="1">IFERROR(__xludf.DUMMYFUNCTION("""COMPUTED_VALUE"""),124)</f>
        <v>124</v>
      </c>
      <c r="E75" s="55">
        <f ca="1">IFERROR(__xludf.DUMMYFUNCTION("""COMPUTED_VALUE"""),9902)</f>
        <v>9902</v>
      </c>
    </row>
    <row r="76" spans="1:5" ht="13.2" x14ac:dyDescent="0.25">
      <c r="A76" s="131">
        <f ca="1">IFERROR(__xludf.DUMMYFUNCTION("""COMPUTED_VALUE"""),43965)</f>
        <v>43965</v>
      </c>
      <c r="B76" s="55">
        <f ca="1">IFERROR(__xludf.DUMMYFUNCTION("""COMPUTED_VALUE"""),32)</f>
        <v>32</v>
      </c>
      <c r="C76" s="55">
        <f ca="1">IFERROR(__xludf.DUMMYFUNCTION("""COMPUTED_VALUE"""),2067)</f>
        <v>2067</v>
      </c>
      <c r="D76" s="55">
        <f ca="1">IFERROR(__xludf.DUMMYFUNCTION("""COMPUTED_VALUE"""),142)</f>
        <v>142</v>
      </c>
      <c r="E76" s="55">
        <f ca="1">IFERROR(__xludf.DUMMYFUNCTION("""COMPUTED_VALUE"""),10044)</f>
        <v>10044</v>
      </c>
    </row>
    <row r="77" spans="1:5" ht="13.2" x14ac:dyDescent="0.25">
      <c r="A77" s="131">
        <f ca="1">IFERROR(__xludf.DUMMYFUNCTION("""COMPUTED_VALUE"""),43966)</f>
        <v>43966</v>
      </c>
      <c r="B77" s="55">
        <f ca="1">IFERROR(__xludf.DUMMYFUNCTION("""COMPUTED_VALUE"""),28)</f>
        <v>28</v>
      </c>
      <c r="C77" s="55">
        <f ca="1">IFERROR(__xludf.DUMMYFUNCTION("""COMPUTED_VALUE"""),2095)</f>
        <v>2095</v>
      </c>
      <c r="D77" s="55">
        <f ca="1">IFERROR(__xludf.DUMMYFUNCTION("""COMPUTED_VALUE"""),137)</f>
        <v>137</v>
      </c>
      <c r="E77" s="55">
        <f ca="1">IFERROR(__xludf.DUMMYFUNCTION("""COMPUTED_VALUE"""),10181)</f>
        <v>10181</v>
      </c>
    </row>
    <row r="78" spans="1:5" ht="13.2" x14ac:dyDescent="0.25">
      <c r="A78" s="131">
        <f ca="1">IFERROR(__xludf.DUMMYFUNCTION("""COMPUTED_VALUE"""),43967)</f>
        <v>43967</v>
      </c>
      <c r="B78" s="55">
        <f ca="1">IFERROR(__xludf.DUMMYFUNCTION("""COMPUTED_VALUE"""),37)</f>
        <v>37</v>
      </c>
      <c r="C78" s="55">
        <f ca="1">IFERROR(__xludf.DUMMYFUNCTION("""COMPUTED_VALUE"""),2132)</f>
        <v>2132</v>
      </c>
      <c r="D78" s="55">
        <f ca="1">IFERROR(__xludf.DUMMYFUNCTION("""COMPUTED_VALUE"""),121)</f>
        <v>121</v>
      </c>
      <c r="E78" s="55">
        <f ca="1">IFERROR(__xludf.DUMMYFUNCTION("""COMPUTED_VALUE"""),10302)</f>
        <v>10302</v>
      </c>
    </row>
    <row r="79" spans="1:5" ht="13.2" x14ac:dyDescent="0.25">
      <c r="A79" s="131">
        <f ca="1">IFERROR(__xludf.DUMMYFUNCTION("""COMPUTED_VALUE"""),43968)</f>
        <v>43968</v>
      </c>
      <c r="B79" s="55">
        <f ca="1">IFERROR(__xludf.DUMMYFUNCTION("""COMPUTED_VALUE"""),34)</f>
        <v>34</v>
      </c>
      <c r="C79" s="55">
        <f ca="1">IFERROR(__xludf.DUMMYFUNCTION("""COMPUTED_VALUE"""),2166)</f>
        <v>2166</v>
      </c>
      <c r="D79" s="55">
        <f ca="1">IFERROR(__xludf.DUMMYFUNCTION("""COMPUTED_VALUE"""),113)</f>
        <v>113</v>
      </c>
      <c r="E79" s="55">
        <f ca="1">IFERROR(__xludf.DUMMYFUNCTION("""COMPUTED_VALUE"""),10415)</f>
        <v>10415</v>
      </c>
    </row>
    <row r="80" spans="1:5" ht="13.2" x14ac:dyDescent="0.25">
      <c r="A80" s="131">
        <f ca="1">IFERROR(__xludf.DUMMYFUNCTION("""COMPUTED_VALUE"""),43969)</f>
        <v>43969</v>
      </c>
      <c r="B80" s="55">
        <f ca="1">IFERROR(__xludf.DUMMYFUNCTION("""COMPUTED_VALUE"""),30)</f>
        <v>30</v>
      </c>
      <c r="C80" s="55">
        <f ca="1">IFERROR(__xludf.DUMMYFUNCTION("""COMPUTED_VALUE"""),2196)</f>
        <v>2196</v>
      </c>
      <c r="D80" s="55">
        <f ca="1">IFERROR(__xludf.DUMMYFUNCTION("""COMPUTED_VALUE"""),104)</f>
        <v>104</v>
      </c>
      <c r="E80" s="55">
        <f ca="1">IFERROR(__xludf.DUMMYFUNCTION("""COMPUTED_VALUE"""),10519)</f>
        <v>10519</v>
      </c>
    </row>
    <row r="81" spans="1:5" ht="13.2" x14ac:dyDescent="0.25">
      <c r="A81" s="131">
        <f ca="1">IFERROR(__xludf.DUMMYFUNCTION("""COMPUTED_VALUE"""),43970)</f>
        <v>43970</v>
      </c>
      <c r="B81" s="55">
        <f ca="1">IFERROR(__xludf.DUMMYFUNCTION("""COMPUTED_VALUE"""),30)</f>
        <v>30</v>
      </c>
      <c r="C81" s="55">
        <f ca="1">IFERROR(__xludf.DUMMYFUNCTION("""COMPUTED_VALUE"""),2226)</f>
        <v>2226</v>
      </c>
      <c r="D81" s="55">
        <f ca="1">IFERROR(__xludf.DUMMYFUNCTION("""COMPUTED_VALUE"""),92)</f>
        <v>92</v>
      </c>
      <c r="E81" s="55">
        <f ca="1">IFERROR(__xludf.DUMMYFUNCTION("""COMPUTED_VALUE"""),10611)</f>
        <v>10611</v>
      </c>
    </row>
    <row r="82" spans="1:5" ht="13.2" x14ac:dyDescent="0.25">
      <c r="A82" s="131">
        <f ca="1">IFERROR(__xludf.DUMMYFUNCTION("""COMPUTED_VALUE"""),43971)</f>
        <v>43971</v>
      </c>
      <c r="B82" s="55">
        <f ca="1">IFERROR(__xludf.DUMMYFUNCTION("""COMPUTED_VALUE"""),24)</f>
        <v>24</v>
      </c>
      <c r="C82" s="55">
        <f ca="1">IFERROR(__xludf.DUMMYFUNCTION("""COMPUTED_VALUE"""),2250)</f>
        <v>2250</v>
      </c>
      <c r="D82" s="55">
        <f ca="1">IFERROR(__xludf.DUMMYFUNCTION("""COMPUTED_VALUE"""),136)</f>
        <v>136</v>
      </c>
      <c r="E82" s="55">
        <f ca="1">IFERROR(__xludf.DUMMYFUNCTION("""COMPUTED_VALUE"""),10747)</f>
        <v>10747</v>
      </c>
    </row>
    <row r="83" spans="1:5" ht="13.2" x14ac:dyDescent="0.25">
      <c r="A83" s="131">
        <f ca="1">IFERROR(__xludf.DUMMYFUNCTION("""COMPUTED_VALUE"""),43972)</f>
        <v>43972</v>
      </c>
      <c r="B83" s="55">
        <f ca="1">IFERROR(__xludf.DUMMYFUNCTION("""COMPUTED_VALUE"""),20)</f>
        <v>20</v>
      </c>
      <c r="C83" s="55">
        <f ca="1">IFERROR(__xludf.DUMMYFUNCTION("""COMPUTED_VALUE"""),2270)</f>
        <v>2270</v>
      </c>
      <c r="D83" s="55">
        <f ca="1">IFERROR(__xludf.DUMMYFUNCTION("""COMPUTED_VALUE"""),128)</f>
        <v>128</v>
      </c>
      <c r="E83" s="55">
        <f ca="1">IFERROR(__xludf.DUMMYFUNCTION("""COMPUTED_VALUE"""),10875)</f>
        <v>10875</v>
      </c>
    </row>
    <row r="84" spans="1:5" ht="13.2" x14ac:dyDescent="0.25">
      <c r="A84" s="131">
        <f ca="1">IFERROR(__xludf.DUMMYFUNCTION("""COMPUTED_VALUE"""),43973)</f>
        <v>43973</v>
      </c>
      <c r="B84" s="55">
        <f ca="1">IFERROR(__xludf.DUMMYFUNCTION("""COMPUTED_VALUE"""),18)</f>
        <v>18</v>
      </c>
      <c r="C84" s="55">
        <f ca="1">IFERROR(__xludf.DUMMYFUNCTION("""COMPUTED_VALUE"""),2288)</f>
        <v>2288</v>
      </c>
      <c r="D84" s="55">
        <f ca="1">IFERROR(__xludf.DUMMYFUNCTION("""COMPUTED_VALUE"""),111)</f>
        <v>111</v>
      </c>
      <c r="E84" s="55">
        <f ca="1">IFERROR(__xludf.DUMMYFUNCTION("""COMPUTED_VALUE"""),10986)</f>
        <v>10986</v>
      </c>
    </row>
    <row r="85" spans="1:5" ht="13.2" x14ac:dyDescent="0.25">
      <c r="A85" s="131">
        <f ca="1">IFERROR(__xludf.DUMMYFUNCTION("""COMPUTED_VALUE"""),43974)</f>
        <v>43974</v>
      </c>
      <c r="B85" s="55">
        <f ca="1">IFERROR(__xludf.DUMMYFUNCTION("""COMPUTED_VALUE"""),21)</f>
        <v>21</v>
      </c>
      <c r="C85" s="55">
        <f ca="1">IFERROR(__xludf.DUMMYFUNCTION("""COMPUTED_VALUE"""),2309)</f>
        <v>2309</v>
      </c>
      <c r="D85" s="55">
        <f ca="1">IFERROR(__xludf.DUMMYFUNCTION("""COMPUTED_VALUE"""),103)</f>
        <v>103</v>
      </c>
      <c r="E85" s="55">
        <f ca="1">IFERROR(__xludf.DUMMYFUNCTION("""COMPUTED_VALUE"""),11089)</f>
        <v>11089</v>
      </c>
    </row>
    <row r="86" spans="1:5" ht="13.2" x14ac:dyDescent="0.25">
      <c r="A86" s="131">
        <f ca="1">IFERROR(__xludf.DUMMYFUNCTION("""COMPUTED_VALUE"""),43975)</f>
        <v>43975</v>
      </c>
      <c r="B86" s="55">
        <f ca="1">IFERROR(__xludf.DUMMYFUNCTION("""COMPUTED_VALUE"""),20)</f>
        <v>20</v>
      </c>
      <c r="C86" s="55">
        <f ca="1">IFERROR(__xludf.DUMMYFUNCTION("""COMPUTED_VALUE"""),2329)</f>
        <v>2329</v>
      </c>
      <c r="D86" s="55">
        <f ca="1">IFERROR(__xludf.DUMMYFUNCTION("""COMPUTED_VALUE"""),122)</f>
        <v>122</v>
      </c>
      <c r="E86" s="55">
        <f ca="1">IFERROR(__xludf.DUMMYFUNCTION("""COMPUTED_VALUE"""),11211)</f>
        <v>11211</v>
      </c>
    </row>
    <row r="87" spans="1:5" ht="13.2" x14ac:dyDescent="0.25">
      <c r="A87" s="131">
        <f ca="1">IFERROR(__xludf.DUMMYFUNCTION("""COMPUTED_VALUE"""),43976)</f>
        <v>43976</v>
      </c>
      <c r="B87" s="55">
        <f ca="1">IFERROR(__xludf.DUMMYFUNCTION("""COMPUTED_VALUE"""),20)</f>
        <v>20</v>
      </c>
      <c r="C87" s="55">
        <f ca="1">IFERROR(__xludf.DUMMYFUNCTION("""COMPUTED_VALUE"""),2349)</f>
        <v>2349</v>
      </c>
      <c r="D87" s="55">
        <f ca="1">IFERROR(__xludf.DUMMYFUNCTION("""COMPUTED_VALUE"""),139)</f>
        <v>139</v>
      </c>
      <c r="E87" s="55">
        <f ca="1">IFERROR(__xludf.DUMMYFUNCTION("""COMPUTED_VALUE"""),11350)</f>
        <v>11350</v>
      </c>
    </row>
    <row r="88" spans="1:5" ht="13.2" x14ac:dyDescent="0.25">
      <c r="A88" s="131">
        <f ca="1">IFERROR(__xludf.DUMMYFUNCTION("""COMPUTED_VALUE"""),43977)</f>
        <v>43977</v>
      </c>
      <c r="B88" s="55">
        <f ca="1">IFERROR(__xludf.DUMMYFUNCTION("""COMPUTED_VALUE"""),38)</f>
        <v>38</v>
      </c>
      <c r="C88" s="55">
        <f ca="1">IFERROR(__xludf.DUMMYFUNCTION("""COMPUTED_VALUE"""),2387)</f>
        <v>2387</v>
      </c>
      <c r="D88" s="55">
        <f ca="1">IFERROR(__xludf.DUMMYFUNCTION("""COMPUTED_VALUE"""),109)</f>
        <v>109</v>
      </c>
      <c r="E88" s="55">
        <f ca="1">IFERROR(__xludf.DUMMYFUNCTION("""COMPUTED_VALUE"""),11459)</f>
        <v>11459</v>
      </c>
    </row>
    <row r="89" spans="1:5" ht="13.2" x14ac:dyDescent="0.25">
      <c r="A89" s="131">
        <f ca="1">IFERROR(__xludf.DUMMYFUNCTION("""COMPUTED_VALUE"""),43978)</f>
        <v>43978</v>
      </c>
      <c r="B89" s="55">
        <f ca="1">IFERROR(__xludf.DUMMYFUNCTION("""COMPUTED_VALUE"""),24)</f>
        <v>24</v>
      </c>
      <c r="C89" s="55">
        <f ca="1">IFERROR(__xludf.DUMMYFUNCTION("""COMPUTED_VALUE"""),2411)</f>
        <v>2411</v>
      </c>
      <c r="D89" s="55">
        <f ca="1">IFERROR(__xludf.DUMMYFUNCTION("""COMPUTED_VALUE"""),108)</f>
        <v>108</v>
      </c>
      <c r="E89" s="55">
        <f ca="1">IFERROR(__xludf.DUMMYFUNCTION("""COMPUTED_VALUE"""),11567)</f>
        <v>11567</v>
      </c>
    </row>
    <row r="90" spans="1:5" ht="13.2" x14ac:dyDescent="0.25">
      <c r="A90" s="131">
        <f ca="1">IFERROR(__xludf.DUMMYFUNCTION("""COMPUTED_VALUE"""),43979)</f>
        <v>43979</v>
      </c>
      <c r="B90" s="55">
        <f ca="1">IFERROR(__xludf.DUMMYFUNCTION("""COMPUTED_VALUE"""),22)</f>
        <v>22</v>
      </c>
      <c r="C90" s="55">
        <f ca="1">IFERROR(__xludf.DUMMYFUNCTION("""COMPUTED_VALUE"""),2433)</f>
        <v>2433</v>
      </c>
      <c r="D90" s="55">
        <f ca="1">IFERROR(__xludf.DUMMYFUNCTION("""COMPUTED_VALUE"""),122)</f>
        <v>122</v>
      </c>
      <c r="E90" s="55">
        <f ca="1">IFERROR(__xludf.DUMMYFUNCTION("""COMPUTED_VALUE"""),11689)</f>
        <v>11689</v>
      </c>
    </row>
    <row r="91" spans="1:5" ht="13.2" x14ac:dyDescent="0.25">
      <c r="A91" s="131">
        <f ca="1">IFERROR(__xludf.DUMMYFUNCTION("""COMPUTED_VALUE"""),43980)</f>
        <v>43980</v>
      </c>
      <c r="B91" s="55">
        <f ca="1">IFERROR(__xludf.DUMMYFUNCTION("""COMPUTED_VALUE"""),20)</f>
        <v>20</v>
      </c>
      <c r="C91" s="55">
        <f ca="1">IFERROR(__xludf.DUMMYFUNCTION("""COMPUTED_VALUE"""),2453)</f>
        <v>2453</v>
      </c>
      <c r="D91" s="55">
        <f ca="1">IFERROR(__xludf.DUMMYFUNCTION("""COMPUTED_VALUE"""),117)</f>
        <v>117</v>
      </c>
      <c r="E91" s="55">
        <f ca="1">IFERROR(__xludf.DUMMYFUNCTION("""COMPUTED_VALUE"""),11806)</f>
        <v>11806</v>
      </c>
    </row>
    <row r="92" spans="1:5" ht="13.2" x14ac:dyDescent="0.25">
      <c r="A92" s="131">
        <f ca="1">IFERROR(__xludf.DUMMYFUNCTION("""COMPUTED_VALUE"""),43981)</f>
        <v>43981</v>
      </c>
      <c r="B92" s="55">
        <f ca="1">IFERROR(__xludf.DUMMYFUNCTION("""COMPUTED_VALUE"""),20)</f>
        <v>20</v>
      </c>
      <c r="C92" s="55">
        <f ca="1">IFERROR(__xludf.DUMMYFUNCTION("""COMPUTED_VALUE"""),2473)</f>
        <v>2473</v>
      </c>
      <c r="D92" s="55">
        <f ca="1">IFERROR(__xludf.DUMMYFUNCTION("""COMPUTED_VALUE"""),121)</f>
        <v>121</v>
      </c>
      <c r="E92" s="55">
        <f ca="1">IFERROR(__xludf.DUMMYFUNCTION("""COMPUTED_VALUE"""),11927)</f>
        <v>11927</v>
      </c>
    </row>
    <row r="93" spans="1:5" ht="13.2" x14ac:dyDescent="0.25">
      <c r="A93" s="131">
        <f ca="1">IFERROR(__xludf.DUMMYFUNCTION("""COMPUTED_VALUE"""),43982)</f>
        <v>43982</v>
      </c>
      <c r="B93" s="55">
        <f ca="1">IFERROR(__xludf.DUMMYFUNCTION("""COMPUTED_VALUE"""),14)</f>
        <v>14</v>
      </c>
      <c r="C93" s="55">
        <f ca="1">IFERROR(__xludf.DUMMYFUNCTION("""COMPUTED_VALUE"""),2487)</f>
        <v>2487</v>
      </c>
      <c r="D93" s="55">
        <f ca="1">IFERROR(__xludf.DUMMYFUNCTION("""COMPUTED_VALUE"""),122)</f>
        <v>122</v>
      </c>
      <c r="E93" s="55">
        <f ca="1">IFERROR(__xludf.DUMMYFUNCTION("""COMPUTED_VALUE"""),12049)</f>
        <v>12049</v>
      </c>
    </row>
    <row r="94" spans="1:5" ht="13.2" x14ac:dyDescent="0.25">
      <c r="A94" s="131">
        <f ca="1">IFERROR(__xludf.DUMMYFUNCTION("""COMPUTED_VALUE"""),43983)</f>
        <v>43983</v>
      </c>
      <c r="B94" s="55">
        <f ca="1">IFERROR(__xludf.DUMMYFUNCTION("""COMPUTED_VALUE"""),17)</f>
        <v>17</v>
      </c>
      <c r="C94" s="55">
        <f ca="1">IFERROR(__xludf.DUMMYFUNCTION("""COMPUTED_VALUE"""),2504)</f>
        <v>2504</v>
      </c>
      <c r="D94" s="55">
        <f ca="1">IFERROR(__xludf.DUMMYFUNCTION("""COMPUTED_VALUE"""),112)</f>
        <v>112</v>
      </c>
      <c r="E94" s="55">
        <f ca="1">IFERROR(__xludf.DUMMYFUNCTION("""COMPUTED_VALUE"""),12161)</f>
        <v>12161</v>
      </c>
    </row>
    <row r="95" spans="1:5" ht="13.2" x14ac:dyDescent="0.25">
      <c r="A95" s="131">
        <f ca="1">IFERROR(__xludf.DUMMYFUNCTION("""COMPUTED_VALUE"""),43984)</f>
        <v>43984</v>
      </c>
      <c r="B95" s="55">
        <f ca="1">IFERROR(__xludf.DUMMYFUNCTION("""COMPUTED_VALUE"""),19)</f>
        <v>19</v>
      </c>
      <c r="C95" s="55">
        <f ca="1">IFERROR(__xludf.DUMMYFUNCTION("""COMPUTED_VALUE"""),2523)</f>
        <v>2523</v>
      </c>
      <c r="D95" s="55">
        <f ca="1">IFERROR(__xludf.DUMMYFUNCTION("""COMPUTED_VALUE"""),129)</f>
        <v>129</v>
      </c>
      <c r="E95" s="55">
        <f ca="1">IFERROR(__xludf.DUMMYFUNCTION("""COMPUTED_VALUE"""),12290)</f>
        <v>12290</v>
      </c>
    </row>
    <row r="96" spans="1:5" ht="13.2" x14ac:dyDescent="0.25">
      <c r="A96" s="131">
        <f ca="1">IFERROR(__xludf.DUMMYFUNCTION("""COMPUTED_VALUE"""),43985)</f>
        <v>43985</v>
      </c>
      <c r="B96" s="55">
        <f ca="1">IFERROR(__xludf.DUMMYFUNCTION("""COMPUTED_VALUE"""),23)</f>
        <v>23</v>
      </c>
      <c r="C96" s="55">
        <f ca="1">IFERROR(__xludf.DUMMYFUNCTION("""COMPUTED_VALUE"""),2546)</f>
        <v>2546</v>
      </c>
      <c r="D96" s="55">
        <f ca="1">IFERROR(__xludf.DUMMYFUNCTION("""COMPUTED_VALUE"""),124)</f>
        <v>124</v>
      </c>
      <c r="E96" s="55">
        <f ca="1">IFERROR(__xludf.DUMMYFUNCTION("""COMPUTED_VALUE"""),12414)</f>
        <v>12414</v>
      </c>
    </row>
    <row r="97" spans="1:5" ht="13.2" x14ac:dyDescent="0.25">
      <c r="A97" s="131">
        <f ca="1">IFERROR(__xludf.DUMMYFUNCTION("""COMPUTED_VALUE"""),43986)</f>
        <v>43986</v>
      </c>
      <c r="B97" s="55">
        <f ca="1">IFERROR(__xludf.DUMMYFUNCTION("""COMPUTED_VALUE"""),24)</f>
        <v>24</v>
      </c>
      <c r="C97" s="55">
        <f ca="1">IFERROR(__xludf.DUMMYFUNCTION("""COMPUTED_VALUE"""),2570)</f>
        <v>2570</v>
      </c>
      <c r="D97" s="55">
        <f ca="1">IFERROR(__xludf.DUMMYFUNCTION("""COMPUTED_VALUE"""),119)</f>
        <v>119</v>
      </c>
      <c r="E97" s="55">
        <f ca="1">IFERROR(__xludf.DUMMYFUNCTION("""COMPUTED_VALUE"""),12533)</f>
        <v>12533</v>
      </c>
    </row>
    <row r="98" spans="1:5" ht="13.2" x14ac:dyDescent="0.25">
      <c r="A98" s="131">
        <f ca="1">IFERROR(__xludf.DUMMYFUNCTION("""COMPUTED_VALUE"""),43987)</f>
        <v>43987</v>
      </c>
      <c r="B98" s="55">
        <f ca="1">IFERROR(__xludf.DUMMYFUNCTION("""COMPUTED_VALUE"""),18)</f>
        <v>18</v>
      </c>
      <c r="C98" s="55">
        <f ca="1">IFERROR(__xludf.DUMMYFUNCTION("""COMPUTED_VALUE"""),2588)</f>
        <v>2588</v>
      </c>
      <c r="D98" s="55">
        <f ca="1">IFERROR(__xludf.DUMMYFUNCTION("""COMPUTED_VALUE"""),122)</f>
        <v>122</v>
      </c>
      <c r="E98" s="55">
        <f ca="1">IFERROR(__xludf.DUMMYFUNCTION("""COMPUTED_VALUE"""),12655)</f>
        <v>12655</v>
      </c>
    </row>
    <row r="99" spans="1:5" ht="13.2" x14ac:dyDescent="0.25">
      <c r="A99" s="131">
        <f ca="1">IFERROR(__xludf.DUMMYFUNCTION("""COMPUTED_VALUE"""),43988)</f>
        <v>43988</v>
      </c>
      <c r="B99" s="55">
        <f ca="1">IFERROR(__xludf.DUMMYFUNCTION("""COMPUTED_VALUE"""),21)</f>
        <v>21</v>
      </c>
      <c r="C99" s="55">
        <f ca="1">IFERROR(__xludf.DUMMYFUNCTION("""COMPUTED_VALUE"""),2609)</f>
        <v>2609</v>
      </c>
      <c r="D99" s="55">
        <f ca="1">IFERROR(__xludf.DUMMYFUNCTION("""COMPUTED_VALUE"""),121)</f>
        <v>121</v>
      </c>
      <c r="E99" s="55">
        <f ca="1">IFERROR(__xludf.DUMMYFUNCTION("""COMPUTED_VALUE"""),12776)</f>
        <v>12776</v>
      </c>
    </row>
    <row r="100" spans="1:5" ht="13.2" x14ac:dyDescent="0.25">
      <c r="A100" s="131">
        <f ca="1">IFERROR(__xludf.DUMMYFUNCTION("""COMPUTED_VALUE"""),43989)</f>
        <v>43989</v>
      </c>
      <c r="B100" s="55">
        <f ca="1">IFERROR(__xludf.DUMMYFUNCTION("""COMPUTED_VALUE"""),19)</f>
        <v>19</v>
      </c>
      <c r="C100" s="55">
        <f ca="1">IFERROR(__xludf.DUMMYFUNCTION("""COMPUTED_VALUE"""),2628)</f>
        <v>2628</v>
      </c>
      <c r="D100" s="55">
        <f ca="1">IFERROR(__xludf.DUMMYFUNCTION("""COMPUTED_VALUE"""),131)</f>
        <v>131</v>
      </c>
      <c r="E100" s="55">
        <f ca="1">IFERROR(__xludf.DUMMYFUNCTION("""COMPUTED_VALUE"""),12907)</f>
        <v>12907</v>
      </c>
    </row>
    <row r="101" spans="1:5" ht="13.2" x14ac:dyDescent="0.25">
      <c r="A101" s="131">
        <f ca="1">IFERROR(__xludf.DUMMYFUNCTION("""COMPUTED_VALUE"""),43990)</f>
        <v>43990</v>
      </c>
      <c r="B101" s="55">
        <f ca="1">IFERROR(__xludf.DUMMYFUNCTION("""COMPUTED_VALUE"""),21)</f>
        <v>21</v>
      </c>
      <c r="C101" s="55">
        <f ca="1">IFERROR(__xludf.DUMMYFUNCTION("""COMPUTED_VALUE"""),2649)</f>
        <v>2649</v>
      </c>
      <c r="D101" s="55">
        <f ca="1">IFERROR(__xludf.DUMMYFUNCTION("""COMPUTED_VALUE"""),138)</f>
        <v>138</v>
      </c>
      <c r="E101" s="55">
        <f ca="1">IFERROR(__xludf.DUMMYFUNCTION("""COMPUTED_VALUE"""),13045)</f>
        <v>13045</v>
      </c>
    </row>
    <row r="102" spans="1:5" ht="13.2" x14ac:dyDescent="0.25">
      <c r="A102" s="131">
        <f ca="1">IFERROR(__xludf.DUMMYFUNCTION("""COMPUTED_VALUE"""),43991)</f>
        <v>43991</v>
      </c>
      <c r="B102" s="55">
        <f ca="1">IFERROR(__xludf.DUMMYFUNCTION("""COMPUTED_VALUE"""),22)</f>
        <v>22</v>
      </c>
      <c r="C102" s="55">
        <f ca="1">IFERROR(__xludf.DUMMYFUNCTION("""COMPUTED_VALUE"""),2671)</f>
        <v>2671</v>
      </c>
      <c r="D102" s="55">
        <f ca="1">IFERROR(__xludf.DUMMYFUNCTION("""COMPUTED_VALUE"""),122)</f>
        <v>122</v>
      </c>
      <c r="E102" s="55">
        <f ca="1">IFERROR(__xludf.DUMMYFUNCTION("""COMPUTED_VALUE"""),13167)</f>
        <v>13167</v>
      </c>
    </row>
    <row r="103" spans="1:5" ht="13.2" x14ac:dyDescent="0.25">
      <c r="A103" s="131">
        <f ca="1">IFERROR(__xludf.DUMMYFUNCTION("""COMPUTED_VALUE"""),43992)</f>
        <v>43992</v>
      </c>
      <c r="B103" s="55">
        <f ca="1">IFERROR(__xludf.DUMMYFUNCTION("""COMPUTED_VALUE"""),15)</f>
        <v>15</v>
      </c>
      <c r="C103" s="55">
        <f ca="1">IFERROR(__xludf.DUMMYFUNCTION("""COMPUTED_VALUE"""),2686)</f>
        <v>2686</v>
      </c>
      <c r="D103" s="55">
        <f ca="1">IFERROR(__xludf.DUMMYFUNCTION("""COMPUTED_VALUE"""),113)</f>
        <v>113</v>
      </c>
      <c r="E103" s="55">
        <f ca="1">IFERROR(__xludf.DUMMYFUNCTION("""COMPUTED_VALUE"""),13280)</f>
        <v>13280</v>
      </c>
    </row>
    <row r="104" spans="1:5" ht="13.2" x14ac:dyDescent="0.25">
      <c r="A104" s="131">
        <f ca="1">IFERROR(__xludf.DUMMYFUNCTION("""COMPUTED_VALUE"""),43993)</f>
        <v>43993</v>
      </c>
      <c r="B104" s="55">
        <f ca="1">IFERROR(__xludf.DUMMYFUNCTION("""COMPUTED_VALUE"""),15)</f>
        <v>15</v>
      </c>
      <c r="C104" s="55">
        <f ca="1">IFERROR(__xludf.DUMMYFUNCTION("""COMPUTED_VALUE"""),2701)</f>
        <v>2701</v>
      </c>
      <c r="D104" s="55">
        <f ca="1">IFERROR(__xludf.DUMMYFUNCTION("""COMPUTED_VALUE"""),131)</f>
        <v>131</v>
      </c>
      <c r="E104" s="55">
        <f ca="1">IFERROR(__xludf.DUMMYFUNCTION("""COMPUTED_VALUE"""),13411)</f>
        <v>13411</v>
      </c>
    </row>
    <row r="105" spans="1:5" ht="13.2" x14ac:dyDescent="0.25">
      <c r="A105" s="131">
        <f ca="1">IFERROR(__xludf.DUMMYFUNCTION("""COMPUTED_VALUE"""),43994)</f>
        <v>43994</v>
      </c>
      <c r="B105" s="55">
        <f ca="1">IFERROR(__xludf.DUMMYFUNCTION("""COMPUTED_VALUE"""),21)</f>
        <v>21</v>
      </c>
      <c r="C105" s="55">
        <f ca="1">IFERROR(__xludf.DUMMYFUNCTION("""COMPUTED_VALUE"""),2722)</f>
        <v>2722</v>
      </c>
      <c r="D105" s="55">
        <f ca="1">IFERROR(__xludf.DUMMYFUNCTION("""COMPUTED_VALUE"""),120)</f>
        <v>120</v>
      </c>
      <c r="E105" s="55">
        <f ca="1">IFERROR(__xludf.DUMMYFUNCTION("""COMPUTED_VALUE"""),13531)</f>
        <v>13531</v>
      </c>
    </row>
    <row r="106" spans="1:5" ht="13.2" x14ac:dyDescent="0.25">
      <c r="A106" s="131">
        <f ca="1">IFERROR(__xludf.DUMMYFUNCTION("""COMPUTED_VALUE"""),43995)</f>
        <v>43995</v>
      </c>
      <c r="B106" s="55">
        <f ca="1">IFERROR(__xludf.DUMMYFUNCTION("""COMPUTED_VALUE"""),17)</f>
        <v>17</v>
      </c>
      <c r="C106" s="55">
        <f ca="1">IFERROR(__xludf.DUMMYFUNCTION("""COMPUTED_VALUE"""),2739)</f>
        <v>2739</v>
      </c>
      <c r="D106" s="55">
        <f ca="1">IFERROR(__xludf.DUMMYFUNCTION("""COMPUTED_VALUE"""),95)</f>
        <v>95</v>
      </c>
      <c r="E106" s="55">
        <f ca="1">IFERROR(__xludf.DUMMYFUNCTION("""COMPUTED_VALUE"""),13626)</f>
        <v>13626</v>
      </c>
    </row>
    <row r="107" spans="1:5" ht="13.2" x14ac:dyDescent="0.25">
      <c r="A107" s="131">
        <f ca="1">IFERROR(__xludf.DUMMYFUNCTION("""COMPUTED_VALUE"""),43996)</f>
        <v>43996</v>
      </c>
      <c r="B107" s="55">
        <f ca="1">IFERROR(__xludf.DUMMYFUNCTION("""COMPUTED_VALUE"""),30)</f>
        <v>30</v>
      </c>
      <c r="C107" s="55">
        <f ca="1">IFERROR(__xludf.DUMMYFUNCTION("""COMPUTED_VALUE"""),2769)</f>
        <v>2769</v>
      </c>
      <c r="D107" s="55">
        <f ca="1">IFERROR(__xludf.DUMMYFUNCTION("""COMPUTED_VALUE"""),140)</f>
        <v>140</v>
      </c>
      <c r="E107" s="55">
        <f ca="1">IFERROR(__xludf.DUMMYFUNCTION("""COMPUTED_VALUE"""),13766)</f>
        <v>13766</v>
      </c>
    </row>
    <row r="108" spans="1:5" ht="13.2" x14ac:dyDescent="0.25">
      <c r="A108" s="131">
        <f ca="1">IFERROR(__xludf.DUMMYFUNCTION("""COMPUTED_VALUE"""),43997)</f>
        <v>43997</v>
      </c>
      <c r="B108" s="55">
        <f ca="1">IFERROR(__xludf.DUMMYFUNCTION("""COMPUTED_VALUE"""),17)</f>
        <v>17</v>
      </c>
      <c r="C108" s="55">
        <f ca="1">IFERROR(__xludf.DUMMYFUNCTION("""COMPUTED_VALUE"""),2786)</f>
        <v>2786</v>
      </c>
      <c r="D108" s="55">
        <f ca="1">IFERROR(__xludf.DUMMYFUNCTION("""COMPUTED_VALUE"""),132)</f>
        <v>132</v>
      </c>
      <c r="E108" s="55">
        <f ca="1">IFERROR(__xludf.DUMMYFUNCTION("""COMPUTED_VALUE"""),13898)</f>
        <v>13898</v>
      </c>
    </row>
    <row r="109" spans="1:5" ht="13.2" x14ac:dyDescent="0.25">
      <c r="A109" s="131">
        <f ca="1">IFERROR(__xludf.DUMMYFUNCTION("""COMPUTED_VALUE"""),43998)</f>
        <v>43998</v>
      </c>
      <c r="B109" s="55">
        <f ca="1">IFERROR(__xludf.DUMMYFUNCTION("""COMPUTED_VALUE"""),10)</f>
        <v>10</v>
      </c>
      <c r="C109" s="55">
        <f ca="1">IFERROR(__xludf.DUMMYFUNCTION("""COMPUTED_VALUE"""),2796)</f>
        <v>2796</v>
      </c>
      <c r="D109" s="55">
        <f ca="1">IFERROR(__xludf.DUMMYFUNCTION("""COMPUTED_VALUE"""),133)</f>
        <v>133</v>
      </c>
      <c r="E109" s="55">
        <f ca="1">IFERROR(__xludf.DUMMYFUNCTION("""COMPUTED_VALUE"""),14031)</f>
        <v>14031</v>
      </c>
    </row>
    <row r="110" spans="1:5" ht="13.2" x14ac:dyDescent="0.25">
      <c r="A110" s="131">
        <f ca="1">IFERROR(__xludf.DUMMYFUNCTION("""COMPUTED_VALUE"""),43999)</f>
        <v>43999</v>
      </c>
      <c r="B110" s="55">
        <f ca="1">IFERROR(__xludf.DUMMYFUNCTION("""COMPUTED_VALUE"""),22)</f>
        <v>22</v>
      </c>
      <c r="C110" s="55">
        <f ca="1">IFERROR(__xludf.DUMMYFUNCTION("""COMPUTED_VALUE"""),2818)</f>
        <v>2818</v>
      </c>
      <c r="D110" s="55">
        <f ca="1">IFERROR(__xludf.DUMMYFUNCTION("""COMPUTED_VALUE"""),103)</f>
        <v>103</v>
      </c>
      <c r="E110" s="55">
        <f ca="1">IFERROR(__xludf.DUMMYFUNCTION("""COMPUTED_VALUE"""),14134)</f>
        <v>14134</v>
      </c>
    </row>
    <row r="111" spans="1:5" ht="13.2" x14ac:dyDescent="0.25">
      <c r="A111" s="131">
        <f ca="1">IFERROR(__xludf.DUMMYFUNCTION("""COMPUTED_VALUE"""),44000)</f>
        <v>44000</v>
      </c>
      <c r="B111" s="55">
        <f ca="1">IFERROR(__xludf.DUMMYFUNCTION("""COMPUTED_VALUE"""),16)</f>
        <v>16</v>
      </c>
      <c r="C111" s="55">
        <f ca="1">IFERROR(__xludf.DUMMYFUNCTION("""COMPUTED_VALUE"""),2834)</f>
        <v>2834</v>
      </c>
      <c r="D111" s="55">
        <f ca="1">IFERROR(__xludf.DUMMYFUNCTION("""COMPUTED_VALUE"""),45)</f>
        <v>45</v>
      </c>
      <c r="E111" s="55">
        <f ca="1">IFERROR(__xludf.DUMMYFUNCTION("""COMPUTED_VALUE"""),14179)</f>
        <v>14179</v>
      </c>
    </row>
    <row r="112" spans="1:5" ht="13.2" x14ac:dyDescent="0.25">
      <c r="A112" s="131">
        <f ca="1">IFERROR(__xludf.DUMMYFUNCTION("""COMPUTED_VALUE"""),44001)</f>
        <v>44001</v>
      </c>
      <c r="B112" s="55">
        <f ca="1">IFERROR(__xludf.DUMMYFUNCTION("""COMPUTED_VALUE"""),15)</f>
        <v>15</v>
      </c>
      <c r="C112" s="55">
        <f ca="1">IFERROR(__xludf.DUMMYFUNCTION("""COMPUTED_VALUE"""),2849)</f>
        <v>2849</v>
      </c>
      <c r="D112" s="55">
        <f ca="1">IFERROR(__xludf.DUMMYFUNCTION("""COMPUTED_VALUE"""),119)</f>
        <v>119</v>
      </c>
      <c r="E112" s="55">
        <f ca="1">IFERROR(__xludf.DUMMYFUNCTION("""COMPUTED_VALUE"""),14298)</f>
        <v>14298</v>
      </c>
    </row>
    <row r="113" spans="1:5" ht="13.2" x14ac:dyDescent="0.25">
      <c r="A113" s="131">
        <f ca="1">IFERROR(__xludf.DUMMYFUNCTION("""COMPUTED_VALUE"""),44002)</f>
        <v>44002</v>
      </c>
      <c r="B113" s="55">
        <f ca="1">IFERROR(__xludf.DUMMYFUNCTION("""COMPUTED_VALUE"""),25)</f>
        <v>25</v>
      </c>
      <c r="C113" s="55">
        <f ca="1">IFERROR(__xludf.DUMMYFUNCTION("""COMPUTED_VALUE"""),2874)</f>
        <v>2874</v>
      </c>
      <c r="D113" s="55">
        <f ca="1">IFERROR(__xludf.DUMMYFUNCTION("""COMPUTED_VALUE"""),125)</f>
        <v>125</v>
      </c>
      <c r="E113" s="55">
        <f ca="1">IFERROR(__xludf.DUMMYFUNCTION("""COMPUTED_VALUE"""),14423)</f>
        <v>14423</v>
      </c>
    </row>
    <row r="114" spans="1:5" ht="13.2" x14ac:dyDescent="0.25">
      <c r="A114" s="131">
        <f ca="1">IFERROR(__xludf.DUMMYFUNCTION("""COMPUTED_VALUE"""),44003)</f>
        <v>44003</v>
      </c>
      <c r="B114" s="55">
        <f ca="1">IFERROR(__xludf.DUMMYFUNCTION("""COMPUTED_VALUE"""),18)</f>
        <v>18</v>
      </c>
      <c r="C114" s="55">
        <f ca="1">IFERROR(__xludf.DUMMYFUNCTION("""COMPUTED_VALUE"""),2892)</f>
        <v>2892</v>
      </c>
      <c r="D114" s="55">
        <f ca="1">IFERROR(__xludf.DUMMYFUNCTION("""COMPUTED_VALUE"""),120)</f>
        <v>120</v>
      </c>
      <c r="E114" s="55">
        <f ca="1">IFERROR(__xludf.DUMMYFUNCTION("""COMPUTED_VALUE"""),14543)</f>
        <v>14543</v>
      </c>
    </row>
    <row r="115" spans="1:5" ht="13.2" x14ac:dyDescent="0.25">
      <c r="A115" s="131">
        <f ca="1">IFERROR(__xludf.DUMMYFUNCTION("""COMPUTED_VALUE"""),44004)</f>
        <v>44004</v>
      </c>
      <c r="B115" s="55">
        <f ca="1">IFERROR(__xludf.DUMMYFUNCTION("""COMPUTED_VALUE"""),28)</f>
        <v>28</v>
      </c>
      <c r="C115" s="55">
        <f ca="1">IFERROR(__xludf.DUMMYFUNCTION("""COMPUTED_VALUE"""),2920)</f>
        <v>2920</v>
      </c>
      <c r="D115" s="55">
        <f ca="1">IFERROR(__xludf.DUMMYFUNCTION("""COMPUTED_VALUE"""),124)</f>
        <v>124</v>
      </c>
      <c r="E115" s="55">
        <f ca="1">IFERROR(__xludf.DUMMYFUNCTION("""COMPUTED_VALUE"""),14667)</f>
        <v>14667</v>
      </c>
    </row>
    <row r="116" spans="1:5" ht="13.2" x14ac:dyDescent="0.25">
      <c r="A116" s="131">
        <f ca="1">IFERROR(__xludf.DUMMYFUNCTION("""COMPUTED_VALUE"""),44005)</f>
        <v>44005</v>
      </c>
      <c r="B116" s="55">
        <f ca="1">IFERROR(__xludf.DUMMYFUNCTION("""COMPUTED_VALUE"""),27)</f>
        <v>27</v>
      </c>
      <c r="C116" s="55">
        <f ca="1">IFERROR(__xludf.DUMMYFUNCTION("""COMPUTED_VALUE"""),2947)</f>
        <v>2947</v>
      </c>
      <c r="D116" s="55">
        <f ca="1">IFERROR(__xludf.DUMMYFUNCTION("""COMPUTED_VALUE"""),123)</f>
        <v>123</v>
      </c>
      <c r="E116" s="55">
        <f ca="1">IFERROR(__xludf.DUMMYFUNCTION("""COMPUTED_VALUE"""),14790)</f>
        <v>14790</v>
      </c>
    </row>
    <row r="117" spans="1:5" ht="13.2" x14ac:dyDescent="0.25">
      <c r="A117" s="131">
        <f ca="1">IFERROR(__xludf.DUMMYFUNCTION("""COMPUTED_VALUE"""),44006)</f>
        <v>44006</v>
      </c>
      <c r="B117" s="55">
        <f ca="1">IFERROR(__xludf.DUMMYFUNCTION("""COMPUTED_VALUE"""),12)</f>
        <v>12</v>
      </c>
      <c r="C117" s="55">
        <f ca="1">IFERROR(__xludf.DUMMYFUNCTION("""COMPUTED_VALUE"""),2959)</f>
        <v>2959</v>
      </c>
      <c r="D117" s="55">
        <f ca="1">IFERROR(__xludf.DUMMYFUNCTION("""COMPUTED_VALUE"""),129)</f>
        <v>129</v>
      </c>
      <c r="E117" s="55">
        <f ca="1">IFERROR(__xludf.DUMMYFUNCTION("""COMPUTED_VALUE"""),14919)</f>
        <v>14919</v>
      </c>
    </row>
    <row r="118" spans="1:5" ht="13.2" x14ac:dyDescent="0.25">
      <c r="A118" s="131">
        <f ca="1">IFERROR(__xludf.DUMMYFUNCTION("""COMPUTED_VALUE"""),44007)</f>
        <v>44007</v>
      </c>
      <c r="B118" s="55">
        <f ca="1">IFERROR(__xludf.DUMMYFUNCTION("""COMPUTED_VALUE"""),12)</f>
        <v>12</v>
      </c>
      <c r="C118" s="55">
        <f ca="1">IFERROR(__xludf.DUMMYFUNCTION("""COMPUTED_VALUE"""),2971)</f>
        <v>2971</v>
      </c>
      <c r="D118" s="55">
        <f ca="1">IFERROR(__xludf.DUMMYFUNCTION("""COMPUTED_VALUE"""),125)</f>
        <v>125</v>
      </c>
      <c r="E118" s="55">
        <f ca="1">IFERROR(__xludf.DUMMYFUNCTION("""COMPUTED_VALUE"""),15044)</f>
        <v>15044</v>
      </c>
    </row>
    <row r="119" spans="1:5" ht="13.2" x14ac:dyDescent="0.25">
      <c r="A119" s="131">
        <f ca="1">IFERROR(__xludf.DUMMYFUNCTION("""COMPUTED_VALUE"""),44008)</f>
        <v>44008</v>
      </c>
      <c r="B119" s="55">
        <f ca="1">IFERROR(__xludf.DUMMYFUNCTION("""COMPUTED_VALUE"""),25)</f>
        <v>25</v>
      </c>
      <c r="C119" s="55">
        <f ca="1">IFERROR(__xludf.DUMMYFUNCTION("""COMPUTED_VALUE"""),2996)</f>
        <v>2996</v>
      </c>
      <c r="D119" s="55">
        <f ca="1">IFERROR(__xludf.DUMMYFUNCTION("""COMPUTED_VALUE"""),148)</f>
        <v>148</v>
      </c>
      <c r="E119" s="55">
        <f ca="1">IFERROR(__xludf.DUMMYFUNCTION("""COMPUTED_VALUE"""),15192)</f>
        <v>15192</v>
      </c>
    </row>
    <row r="120" spans="1:5" ht="13.2" x14ac:dyDescent="0.25">
      <c r="A120" s="131">
        <f ca="1">IFERROR(__xludf.DUMMYFUNCTION("""COMPUTED_VALUE"""),44009)</f>
        <v>44009</v>
      </c>
      <c r="B120" s="55">
        <f ca="1">IFERROR(__xludf.DUMMYFUNCTION("""COMPUTED_VALUE"""),19)</f>
        <v>19</v>
      </c>
      <c r="C120" s="55">
        <f ca="1">IFERROR(__xludf.DUMMYFUNCTION("""COMPUTED_VALUE"""),3015)</f>
        <v>3015</v>
      </c>
      <c r="D120" s="55">
        <f ca="1">IFERROR(__xludf.DUMMYFUNCTION("""COMPUTED_VALUE"""),144)</f>
        <v>144</v>
      </c>
      <c r="E120" s="55">
        <f ca="1">IFERROR(__xludf.DUMMYFUNCTION("""COMPUTED_VALUE"""),15336)</f>
        <v>15336</v>
      </c>
    </row>
    <row r="121" spans="1:5" ht="13.2" x14ac:dyDescent="0.25">
      <c r="A121" s="131">
        <f ca="1">IFERROR(__xludf.DUMMYFUNCTION("""COMPUTED_VALUE"""),44010)</f>
        <v>44010</v>
      </c>
      <c r="B121" s="55">
        <f ca="1">IFERROR(__xludf.DUMMYFUNCTION("""COMPUTED_VALUE"""),20)</f>
        <v>20</v>
      </c>
      <c r="C121" s="55">
        <f ca="1">IFERROR(__xludf.DUMMYFUNCTION("""COMPUTED_VALUE"""),3035)</f>
        <v>3035</v>
      </c>
      <c r="D121" s="55">
        <f ca="1">IFERROR(__xludf.DUMMYFUNCTION("""COMPUTED_VALUE"""),128)</f>
        <v>128</v>
      </c>
      <c r="E121" s="55">
        <f ca="1">IFERROR(__xludf.DUMMYFUNCTION("""COMPUTED_VALUE"""),15464)</f>
        <v>15464</v>
      </c>
    </row>
    <row r="122" spans="1:5" ht="13.2" x14ac:dyDescent="0.25">
      <c r="A122" s="131">
        <f ca="1">IFERROR(__xludf.DUMMYFUNCTION("""COMPUTED_VALUE"""),44011)</f>
        <v>44011</v>
      </c>
      <c r="B122" s="55">
        <f ca="1">IFERROR(__xludf.DUMMYFUNCTION("""COMPUTED_VALUE"""),18)</f>
        <v>18</v>
      </c>
      <c r="C122" s="55">
        <f ca="1">IFERROR(__xludf.DUMMYFUNCTION("""COMPUTED_VALUE"""),3053)</f>
        <v>3053</v>
      </c>
      <c r="D122" s="55">
        <f ca="1">IFERROR(__xludf.DUMMYFUNCTION("""COMPUTED_VALUE"""),126)</f>
        <v>126</v>
      </c>
      <c r="E122" s="55">
        <f ca="1">IFERROR(__xludf.DUMMYFUNCTION("""COMPUTED_VALUE"""),15590)</f>
        <v>15590</v>
      </c>
    </row>
    <row r="123" spans="1:5" ht="13.2" x14ac:dyDescent="0.25">
      <c r="A123" s="131">
        <f ca="1">IFERROR(__xludf.DUMMYFUNCTION("""COMPUTED_VALUE"""),44012)</f>
        <v>44012</v>
      </c>
      <c r="B123" s="55">
        <f ca="1">IFERROR(__xludf.DUMMYFUNCTION("""COMPUTED_VALUE"""),9)</f>
        <v>9</v>
      </c>
      <c r="C123" s="55">
        <f ca="1">IFERROR(__xludf.DUMMYFUNCTION("""COMPUTED_VALUE"""),3062)</f>
        <v>3062</v>
      </c>
      <c r="D123" s="55">
        <f ca="1">IFERROR(__xludf.DUMMYFUNCTION("""COMPUTED_VALUE"""),147)</f>
        <v>147</v>
      </c>
      <c r="E123" s="55">
        <f ca="1">IFERROR(__xludf.DUMMYFUNCTION("""COMPUTED_VALUE"""),15737)</f>
        <v>15737</v>
      </c>
    </row>
    <row r="124" spans="1:5" ht="13.2" x14ac:dyDescent="0.25">
      <c r="A124" s="131">
        <f ca="1">IFERROR(__xludf.DUMMYFUNCTION("""COMPUTED_VALUE"""),44013)</f>
        <v>44013</v>
      </c>
      <c r="B124" s="55">
        <f ca="1">IFERROR(__xludf.DUMMYFUNCTION("""COMPUTED_VALUE"""),21)</f>
        <v>21</v>
      </c>
      <c r="C124" s="55">
        <f ca="1">IFERROR(__xludf.DUMMYFUNCTION("""COMPUTED_VALUE"""),3083)</f>
        <v>3083</v>
      </c>
      <c r="D124" s="55">
        <f ca="1">IFERROR(__xludf.DUMMYFUNCTION("""COMPUTED_VALUE"""),139)</f>
        <v>139</v>
      </c>
      <c r="E124" s="55">
        <f ca="1">IFERROR(__xludf.DUMMYFUNCTION("""COMPUTED_VALUE"""),15876)</f>
        <v>15876</v>
      </c>
    </row>
    <row r="125" spans="1:5" ht="13.2" x14ac:dyDescent="0.25">
      <c r="A125" s="131">
        <f ca="1">IFERROR(__xludf.DUMMYFUNCTION("""COMPUTED_VALUE"""),44014)</f>
        <v>44014</v>
      </c>
      <c r="B125" s="55">
        <f ca="1">IFERROR(__xludf.DUMMYFUNCTION("""COMPUTED_VALUE"""),21)</f>
        <v>21</v>
      </c>
      <c r="C125" s="55">
        <f ca="1">IFERROR(__xludf.DUMMYFUNCTION("""COMPUTED_VALUE"""),3104)</f>
        <v>3104</v>
      </c>
      <c r="D125" s="55">
        <f ca="1">IFERROR(__xludf.DUMMYFUNCTION("""COMPUTED_VALUE"""),122)</f>
        <v>122</v>
      </c>
      <c r="E125" s="55">
        <f ca="1">IFERROR(__xludf.DUMMYFUNCTION("""COMPUTED_VALUE"""),15998)</f>
        <v>15998</v>
      </c>
    </row>
    <row r="126" spans="1:5" ht="13.2" x14ac:dyDescent="0.25">
      <c r="A126" s="131">
        <f ca="1">IFERROR(__xludf.DUMMYFUNCTION("""COMPUTED_VALUE"""),44015)</f>
        <v>44015</v>
      </c>
      <c r="B126" s="55">
        <f ca="1">IFERROR(__xludf.DUMMYFUNCTION("""COMPUTED_VALUE"""),12)</f>
        <v>12</v>
      </c>
      <c r="C126" s="55">
        <f ca="1">IFERROR(__xludf.DUMMYFUNCTION("""COMPUTED_VALUE"""),3116)</f>
        <v>3116</v>
      </c>
      <c r="D126" s="55">
        <f ca="1">IFERROR(__xludf.DUMMYFUNCTION("""COMPUTED_VALUE"""),117)</f>
        <v>117</v>
      </c>
      <c r="E126" s="55">
        <f ca="1">IFERROR(__xludf.DUMMYFUNCTION("""COMPUTED_VALUE"""),16115)</f>
        <v>16115</v>
      </c>
    </row>
    <row r="127" spans="1:5" ht="13.2" x14ac:dyDescent="0.25">
      <c r="A127" s="131">
        <f ca="1">IFERROR(__xludf.DUMMYFUNCTION("""COMPUTED_VALUE"""),44016)</f>
        <v>44016</v>
      </c>
      <c r="B127" s="55">
        <f ca="1">IFERROR(__xludf.DUMMYFUNCTION("""COMPUTED_VALUE"""),19)</f>
        <v>19</v>
      </c>
      <c r="C127" s="55">
        <f ca="1">IFERROR(__xludf.DUMMYFUNCTION("""COMPUTED_VALUE"""),3135)</f>
        <v>3135</v>
      </c>
      <c r="D127" s="55">
        <f ca="1">IFERROR(__xludf.DUMMYFUNCTION("""COMPUTED_VALUE"""),142)</f>
        <v>142</v>
      </c>
      <c r="E127" s="55">
        <f ca="1">IFERROR(__xludf.DUMMYFUNCTION("""COMPUTED_VALUE"""),16257)</f>
        <v>16257</v>
      </c>
    </row>
    <row r="128" spans="1:5" ht="13.2" x14ac:dyDescent="0.25">
      <c r="A128" s="131">
        <f ca="1">IFERROR(__xludf.DUMMYFUNCTION("""COMPUTED_VALUE"""),44017)</f>
        <v>44017</v>
      </c>
      <c r="B128" s="55">
        <f ca="1">IFERROR(__xludf.DUMMYFUNCTION("""COMPUTED_VALUE"""),21)</f>
        <v>21</v>
      </c>
      <c r="C128" s="55">
        <f ca="1">IFERROR(__xludf.DUMMYFUNCTION("""COMPUTED_VALUE"""),3156)</f>
        <v>3156</v>
      </c>
      <c r="D128" s="55">
        <f ca="1">IFERROR(__xludf.DUMMYFUNCTION("""COMPUTED_VALUE"""),116)</f>
        <v>116</v>
      </c>
      <c r="E128" s="55">
        <f ca="1">IFERROR(__xludf.DUMMYFUNCTION("""COMPUTED_VALUE"""),16373)</f>
        <v>16373</v>
      </c>
    </row>
    <row r="129" spans="1:5" ht="13.2" x14ac:dyDescent="0.25">
      <c r="A129" s="131">
        <f ca="1">IFERROR(__xludf.DUMMYFUNCTION("""COMPUTED_VALUE"""),44018)</f>
        <v>44018</v>
      </c>
      <c r="B129" s="55">
        <f ca="1">IFERROR(__xludf.DUMMYFUNCTION("""COMPUTED_VALUE"""),20)</f>
        <v>20</v>
      </c>
      <c r="C129" s="55">
        <f ca="1">IFERROR(__xludf.DUMMYFUNCTION("""COMPUTED_VALUE"""),3176)</f>
        <v>3176</v>
      </c>
      <c r="D129" s="55">
        <f ca="1">IFERROR(__xludf.DUMMYFUNCTION("""COMPUTED_VALUE"""),127)</f>
        <v>127</v>
      </c>
      <c r="E129" s="55">
        <f ca="1">IFERROR(__xludf.DUMMYFUNCTION("""COMPUTED_VALUE"""),16500)</f>
        <v>16500</v>
      </c>
    </row>
    <row r="130" spans="1:5" ht="13.2" x14ac:dyDescent="0.25">
      <c r="A130" s="131">
        <f ca="1">IFERROR(__xludf.DUMMYFUNCTION("""COMPUTED_VALUE"""),44019)</f>
        <v>44019</v>
      </c>
      <c r="B130" s="55">
        <f ca="1">IFERROR(__xludf.DUMMYFUNCTION("""COMPUTED_VALUE"""),15)</f>
        <v>15</v>
      </c>
      <c r="C130" s="55">
        <f ca="1">IFERROR(__xludf.DUMMYFUNCTION("""COMPUTED_VALUE"""),3191)</f>
        <v>3191</v>
      </c>
      <c r="D130" s="55">
        <f ca="1">IFERROR(__xludf.DUMMYFUNCTION("""COMPUTED_VALUE"""),112)</f>
        <v>112</v>
      </c>
      <c r="E130" s="55">
        <f ca="1">IFERROR(__xludf.DUMMYFUNCTION("""COMPUTED_VALUE"""),16612)</f>
        <v>16612</v>
      </c>
    </row>
    <row r="131" spans="1:5" ht="13.2" x14ac:dyDescent="0.25">
      <c r="A131" s="131">
        <f ca="1">IFERROR(__xludf.DUMMYFUNCTION("""COMPUTED_VALUE"""),44020)</f>
        <v>44020</v>
      </c>
      <c r="B131" s="55">
        <f ca="1">IFERROR(__xludf.DUMMYFUNCTION("""COMPUTED_VALUE"""),17)</f>
        <v>17</v>
      </c>
      <c r="C131" s="55">
        <f ca="1">IFERROR(__xludf.DUMMYFUNCTION("""COMPUTED_VALUE"""),3208)</f>
        <v>3208</v>
      </c>
      <c r="D131" s="55">
        <f ca="1">IFERROR(__xludf.DUMMYFUNCTION("""COMPUTED_VALUE"""),145)</f>
        <v>145</v>
      </c>
      <c r="E131" s="55">
        <f ca="1">IFERROR(__xludf.DUMMYFUNCTION("""COMPUTED_VALUE"""),16757)</f>
        <v>16757</v>
      </c>
    </row>
    <row r="132" spans="1:5" ht="13.2" x14ac:dyDescent="0.25">
      <c r="A132" s="131">
        <f ca="1">IFERROR(__xludf.DUMMYFUNCTION("""COMPUTED_VALUE"""),44021)</f>
        <v>44021</v>
      </c>
      <c r="B132" s="55">
        <f ca="1">IFERROR(__xludf.DUMMYFUNCTION("""COMPUTED_VALUE"""),22)</f>
        <v>22</v>
      </c>
      <c r="C132" s="55">
        <f ca="1">IFERROR(__xludf.DUMMYFUNCTION("""COMPUTED_VALUE"""),3230)</f>
        <v>3230</v>
      </c>
      <c r="D132" s="55">
        <f ca="1">IFERROR(__xludf.DUMMYFUNCTION("""COMPUTED_VALUE"""),126)</f>
        <v>126</v>
      </c>
      <c r="E132" s="55">
        <f ca="1">IFERROR(__xludf.DUMMYFUNCTION("""COMPUTED_VALUE"""),16883)</f>
        <v>16883</v>
      </c>
    </row>
    <row r="133" spans="1:5" ht="13.2" x14ac:dyDescent="0.25">
      <c r="A133" s="131">
        <f ca="1">IFERROR(__xludf.DUMMYFUNCTION("""COMPUTED_VALUE"""),44022)</f>
        <v>44022</v>
      </c>
      <c r="B133" s="55">
        <f ca="1">IFERROR(__xludf.DUMMYFUNCTION("""COMPUTED_VALUE"""),21)</f>
        <v>21</v>
      </c>
      <c r="C133" s="55">
        <f ca="1">IFERROR(__xludf.DUMMYFUNCTION("""COMPUTED_VALUE"""),3251)</f>
        <v>3251</v>
      </c>
      <c r="D133" s="55">
        <f ca="1">IFERROR(__xludf.DUMMYFUNCTION("""COMPUTED_VALUE"""),118)</f>
        <v>118</v>
      </c>
      <c r="E133" s="55">
        <f ca="1">IFERROR(__xludf.DUMMYFUNCTION("""COMPUTED_VALUE"""),17001)</f>
        <v>17001</v>
      </c>
    </row>
    <row r="134" spans="1:5" ht="13.2" x14ac:dyDescent="0.25">
      <c r="A134" s="131">
        <f ca="1">IFERROR(__xludf.DUMMYFUNCTION("""COMPUTED_VALUE"""),44023)</f>
        <v>44023</v>
      </c>
      <c r="B134" s="55">
        <f ca="1">IFERROR(__xludf.DUMMYFUNCTION("""COMPUTED_VALUE"""),21)</f>
        <v>21</v>
      </c>
      <c r="C134" s="55">
        <f ca="1">IFERROR(__xludf.DUMMYFUNCTION("""COMPUTED_VALUE"""),3272)</f>
        <v>3272</v>
      </c>
      <c r="D134" s="55">
        <f ca="1">IFERROR(__xludf.DUMMYFUNCTION("""COMPUTED_VALUE"""),146)</f>
        <v>146</v>
      </c>
      <c r="E134" s="55">
        <f ca="1">IFERROR(__xludf.DUMMYFUNCTION("""COMPUTED_VALUE"""),17147)</f>
        <v>17147</v>
      </c>
    </row>
    <row r="135" spans="1:5" ht="13.2" x14ac:dyDescent="0.25">
      <c r="A135" s="131">
        <f ca="1">IFERROR(__xludf.DUMMYFUNCTION("""COMPUTED_VALUE"""),44024)</f>
        <v>44024</v>
      </c>
      <c r="B135" s="55">
        <f ca="1">IFERROR(__xludf.DUMMYFUNCTION("""COMPUTED_VALUE"""),20)</f>
        <v>20</v>
      </c>
      <c r="C135" s="55">
        <f ca="1">IFERROR(__xludf.DUMMYFUNCTION("""COMPUTED_VALUE"""),3292)</f>
        <v>3292</v>
      </c>
      <c r="D135" s="55">
        <f ca="1">IFERROR(__xludf.DUMMYFUNCTION("""COMPUTED_VALUE"""),139)</f>
        <v>139</v>
      </c>
      <c r="E135" s="55">
        <f ca="1">IFERROR(__xludf.DUMMYFUNCTION("""COMPUTED_VALUE"""),17286)</f>
        <v>17286</v>
      </c>
    </row>
    <row r="136" spans="1:5" ht="13.2" x14ac:dyDescent="0.25">
      <c r="A136" s="131">
        <f ca="1">IFERROR(__xludf.DUMMYFUNCTION("""COMPUTED_VALUE"""),44025)</f>
        <v>44025</v>
      </c>
      <c r="B136" s="55">
        <f ca="1">IFERROR(__xludf.DUMMYFUNCTION("""COMPUTED_VALUE"""),20)</f>
        <v>20</v>
      </c>
      <c r="C136" s="55">
        <f ca="1">IFERROR(__xludf.DUMMYFUNCTION("""COMPUTED_VALUE"""),3312)</f>
        <v>3312</v>
      </c>
      <c r="D136" s="55">
        <f ca="1">IFERROR(__xludf.DUMMYFUNCTION("""COMPUTED_VALUE"""),132)</f>
        <v>132</v>
      </c>
      <c r="E136" s="55">
        <f ca="1">IFERROR(__xludf.DUMMYFUNCTION("""COMPUTED_VALUE"""),17418)</f>
        <v>17418</v>
      </c>
    </row>
    <row r="137" spans="1:5" ht="13.2" x14ac:dyDescent="0.25">
      <c r="A137" s="131">
        <f ca="1">IFERROR(__xludf.DUMMYFUNCTION("""COMPUTED_VALUE"""),44026)</f>
        <v>44026</v>
      </c>
      <c r="B137" s="55">
        <f ca="1">IFERROR(__xludf.DUMMYFUNCTION("""COMPUTED_VALUE"""),14)</f>
        <v>14</v>
      </c>
      <c r="C137" s="55">
        <f ca="1">IFERROR(__xludf.DUMMYFUNCTION("""COMPUTED_VALUE"""),3326)</f>
        <v>3326</v>
      </c>
      <c r="D137" s="55">
        <f ca="1">IFERROR(__xludf.DUMMYFUNCTION("""COMPUTED_VALUE"""),146)</f>
        <v>146</v>
      </c>
      <c r="E137" s="55">
        <f ca="1">IFERROR(__xludf.DUMMYFUNCTION("""COMPUTED_VALUE"""),17564)</f>
        <v>17564</v>
      </c>
    </row>
    <row r="138" spans="1:5" ht="13.2" x14ac:dyDescent="0.25">
      <c r="A138" s="131">
        <f ca="1">IFERROR(__xludf.DUMMYFUNCTION("""COMPUTED_VALUE"""),44027)</f>
        <v>44027</v>
      </c>
      <c r="B138" s="55">
        <f ca="1">IFERROR(__xludf.DUMMYFUNCTION("""COMPUTED_VALUE"""),19)</f>
        <v>19</v>
      </c>
      <c r="C138" s="55">
        <f ca="1">IFERROR(__xludf.DUMMYFUNCTION("""COMPUTED_VALUE"""),3345)</f>
        <v>3345</v>
      </c>
      <c r="D138" s="55">
        <f ca="1">IFERROR(__xludf.DUMMYFUNCTION("""COMPUTED_VALUE"""),137)</f>
        <v>137</v>
      </c>
      <c r="E138" s="55">
        <f ca="1">IFERROR(__xludf.DUMMYFUNCTION("""COMPUTED_VALUE"""),17701)</f>
        <v>17701</v>
      </c>
    </row>
    <row r="139" spans="1:5" ht="13.2" x14ac:dyDescent="0.25">
      <c r="A139" s="131">
        <f ca="1">IFERROR(__xludf.DUMMYFUNCTION("""COMPUTED_VALUE"""),44028)</f>
        <v>44028</v>
      </c>
      <c r="B139" s="55">
        <f ca="1">IFERROR(__xludf.DUMMYFUNCTION("""COMPUTED_VALUE"""),14)</f>
        <v>14</v>
      </c>
      <c r="C139" s="55">
        <f ca="1">IFERROR(__xludf.DUMMYFUNCTION("""COMPUTED_VALUE"""),3359)</f>
        <v>3359</v>
      </c>
      <c r="D139" s="55">
        <f ca="1">IFERROR(__xludf.DUMMYFUNCTION("""COMPUTED_VALUE"""),111)</f>
        <v>111</v>
      </c>
      <c r="E139" s="55">
        <f ca="1">IFERROR(__xludf.DUMMYFUNCTION("""COMPUTED_VALUE"""),17812)</f>
        <v>17812</v>
      </c>
    </row>
    <row r="140" spans="1:5" ht="13.2" x14ac:dyDescent="0.25">
      <c r="A140" s="131">
        <f ca="1">IFERROR(__xludf.DUMMYFUNCTION("""COMPUTED_VALUE"""),44029)</f>
        <v>44029</v>
      </c>
      <c r="B140" s="55">
        <f ca="1">IFERROR(__xludf.DUMMYFUNCTION("""COMPUTED_VALUE"""),15)</f>
        <v>15</v>
      </c>
      <c r="C140" s="55">
        <f ca="1">IFERROR(__xludf.DUMMYFUNCTION("""COMPUTED_VALUE"""),3374)</f>
        <v>3374</v>
      </c>
      <c r="D140" s="55">
        <f ca="1">IFERROR(__xludf.DUMMYFUNCTION("""COMPUTED_VALUE"""),131)</f>
        <v>131</v>
      </c>
      <c r="E140" s="55">
        <f ca="1">IFERROR(__xludf.DUMMYFUNCTION("""COMPUTED_VALUE"""),17943)</f>
        <v>17943</v>
      </c>
    </row>
    <row r="141" spans="1:5" ht="13.2" x14ac:dyDescent="0.25">
      <c r="A141" s="131">
        <f ca="1">IFERROR(__xludf.DUMMYFUNCTION("""COMPUTED_VALUE"""),44030)</f>
        <v>44030</v>
      </c>
      <c r="B141" s="55">
        <f ca="1">IFERROR(__xludf.DUMMYFUNCTION("""COMPUTED_VALUE"""),24)</f>
        <v>24</v>
      </c>
      <c r="C141" s="55">
        <f ca="1">IFERROR(__xludf.DUMMYFUNCTION("""COMPUTED_VALUE"""),3398)</f>
        <v>3398</v>
      </c>
      <c r="D141" s="55">
        <f ca="1">IFERROR(__xludf.DUMMYFUNCTION("""COMPUTED_VALUE"""),150)</f>
        <v>150</v>
      </c>
      <c r="E141" s="55">
        <f ca="1">IFERROR(__xludf.DUMMYFUNCTION("""COMPUTED_VALUE"""),18093)</f>
        <v>18093</v>
      </c>
    </row>
    <row r="142" spans="1:5" ht="13.2" x14ac:dyDescent="0.25">
      <c r="A142" s="131">
        <f ca="1">IFERROR(__xludf.DUMMYFUNCTION("""COMPUTED_VALUE"""),44031)</f>
        <v>44031</v>
      </c>
      <c r="B142" s="55">
        <f ca="1">IFERROR(__xludf.DUMMYFUNCTION("""COMPUTED_VALUE"""),15)</f>
        <v>15</v>
      </c>
      <c r="C142" s="55">
        <f ca="1">IFERROR(__xludf.DUMMYFUNCTION("""COMPUTED_VALUE"""),3413)</f>
        <v>3413</v>
      </c>
      <c r="D142" s="55">
        <f ca="1">IFERROR(__xludf.DUMMYFUNCTION("""COMPUTED_VALUE"""),123)</f>
        <v>123</v>
      </c>
      <c r="E142" s="55">
        <f ca="1">IFERROR(__xludf.DUMMYFUNCTION("""COMPUTED_VALUE"""),18216)</f>
        <v>18216</v>
      </c>
    </row>
    <row r="143" spans="1:5" ht="13.2" x14ac:dyDescent="0.25">
      <c r="A143" s="131">
        <f ca="1">IFERROR(__xludf.DUMMYFUNCTION("""COMPUTED_VALUE"""),44032)</f>
        <v>44032</v>
      </c>
      <c r="B143" s="55">
        <f ca="1">IFERROR(__xludf.DUMMYFUNCTION("""COMPUTED_VALUE"""),23)</f>
        <v>23</v>
      </c>
      <c r="C143" s="55">
        <f ca="1">IFERROR(__xludf.DUMMYFUNCTION("""COMPUTED_VALUE"""),3436)</f>
        <v>3436</v>
      </c>
      <c r="D143" s="55">
        <f ca="1">IFERROR(__xludf.DUMMYFUNCTION("""COMPUTED_VALUE"""),151)</f>
        <v>151</v>
      </c>
      <c r="E143" s="55">
        <f ca="1">IFERROR(__xludf.DUMMYFUNCTION("""COMPUTED_VALUE"""),18367)</f>
        <v>18367</v>
      </c>
    </row>
    <row r="144" spans="1:5" ht="13.2" x14ac:dyDescent="0.25">
      <c r="A144" s="131">
        <f ca="1">IFERROR(__xludf.DUMMYFUNCTION("""COMPUTED_VALUE"""),44033)</f>
        <v>44033</v>
      </c>
      <c r="B144" s="55">
        <f ca="1">IFERROR(__xludf.DUMMYFUNCTION("""COMPUTED_VALUE"""),20)</f>
        <v>20</v>
      </c>
      <c r="C144" s="55">
        <f ca="1">IFERROR(__xludf.DUMMYFUNCTION("""COMPUTED_VALUE"""),3456)</f>
        <v>3456</v>
      </c>
      <c r="D144" s="55">
        <f ca="1">IFERROR(__xludf.DUMMYFUNCTION("""COMPUTED_VALUE"""),152)</f>
        <v>152</v>
      </c>
      <c r="E144" s="55">
        <f ca="1">IFERROR(__xludf.DUMMYFUNCTION("""COMPUTED_VALUE"""),18519)</f>
        <v>18519</v>
      </c>
    </row>
    <row r="145" spans="1:5" ht="13.2" x14ac:dyDescent="0.25">
      <c r="A145" s="131">
        <f ca="1">IFERROR(__xludf.DUMMYFUNCTION("""COMPUTED_VALUE"""),44034)</f>
        <v>44034</v>
      </c>
      <c r="B145" s="55">
        <f ca="1">IFERROR(__xludf.DUMMYFUNCTION("""COMPUTED_VALUE"""),21)</f>
        <v>21</v>
      </c>
      <c r="C145" s="55">
        <f ca="1">IFERROR(__xludf.DUMMYFUNCTION("""COMPUTED_VALUE"""),3477)</f>
        <v>3477</v>
      </c>
      <c r="D145" s="55">
        <f ca="1">IFERROR(__xludf.DUMMYFUNCTION("""COMPUTED_VALUE"""),132)</f>
        <v>132</v>
      </c>
      <c r="E145" s="55">
        <f ca="1">IFERROR(__xludf.DUMMYFUNCTION("""COMPUTED_VALUE"""),18651)</f>
        <v>18651</v>
      </c>
    </row>
    <row r="146" spans="1:5" ht="13.2" x14ac:dyDescent="0.25">
      <c r="A146" s="131">
        <f ca="1">IFERROR(__xludf.DUMMYFUNCTION("""COMPUTED_VALUE"""),44035)</f>
        <v>44035</v>
      </c>
      <c r="B146" s="55">
        <f ca="1">IFERROR(__xludf.DUMMYFUNCTION("""COMPUTED_VALUE"""),21)</f>
        <v>21</v>
      </c>
      <c r="C146" s="55">
        <f ca="1">IFERROR(__xludf.DUMMYFUNCTION("""COMPUTED_VALUE"""),3498)</f>
        <v>3498</v>
      </c>
      <c r="D146" s="55">
        <f ca="1">IFERROR(__xludf.DUMMYFUNCTION("""COMPUTED_VALUE"""),168)</f>
        <v>168</v>
      </c>
      <c r="E146" s="55">
        <f ca="1">IFERROR(__xludf.DUMMYFUNCTION("""COMPUTED_VALUE"""),18819)</f>
        <v>18819</v>
      </c>
    </row>
    <row r="147" spans="1:5" ht="13.2" x14ac:dyDescent="0.25">
      <c r="A147" s="131">
        <f ca="1">IFERROR(__xludf.DUMMYFUNCTION("""COMPUTED_VALUE"""),44036)</f>
        <v>44036</v>
      </c>
      <c r="B147" s="55">
        <f ca="1">IFERROR(__xludf.DUMMYFUNCTION("""COMPUTED_VALUE"""),25)</f>
        <v>25</v>
      </c>
      <c r="C147" s="55">
        <f ca="1">IFERROR(__xludf.DUMMYFUNCTION("""COMPUTED_VALUE"""),3523)</f>
        <v>3523</v>
      </c>
      <c r="D147" s="55">
        <f ca="1">IFERROR(__xludf.DUMMYFUNCTION("""COMPUTED_VALUE"""),155)</f>
        <v>155</v>
      </c>
      <c r="E147" s="55">
        <f ca="1">IFERROR(__xludf.DUMMYFUNCTION("""COMPUTED_VALUE"""),18974)</f>
        <v>18974</v>
      </c>
    </row>
    <row r="148" spans="1:5" ht="13.2" x14ac:dyDescent="0.25">
      <c r="A148" s="131">
        <f ca="1">IFERROR(__xludf.DUMMYFUNCTION("""COMPUTED_VALUE"""),44037)</f>
        <v>44037</v>
      </c>
      <c r="B148" s="55">
        <f ca="1">IFERROR(__xludf.DUMMYFUNCTION("""COMPUTED_VALUE"""),19)</f>
        <v>19</v>
      </c>
      <c r="C148" s="55">
        <f ca="1">IFERROR(__xludf.DUMMYFUNCTION("""COMPUTED_VALUE"""),3542)</f>
        <v>3542</v>
      </c>
      <c r="D148" s="55">
        <f ca="1">IFERROR(__xludf.DUMMYFUNCTION("""COMPUTED_VALUE"""),140)</f>
        <v>140</v>
      </c>
      <c r="E148" s="55">
        <f ca="1">IFERROR(__xludf.DUMMYFUNCTION("""COMPUTED_VALUE"""),19114)</f>
        <v>19114</v>
      </c>
    </row>
    <row r="149" spans="1:5" ht="13.2" x14ac:dyDescent="0.25">
      <c r="A149" s="131">
        <f ca="1">IFERROR(__xludf.DUMMYFUNCTION("""COMPUTED_VALUE"""),44038)</f>
        <v>44038</v>
      </c>
      <c r="B149" s="55">
        <f ca="1">IFERROR(__xludf.DUMMYFUNCTION("""COMPUTED_VALUE"""),23)</f>
        <v>23</v>
      </c>
      <c r="C149" s="55">
        <f ca="1">IFERROR(__xludf.DUMMYFUNCTION("""COMPUTED_VALUE"""),3565)</f>
        <v>3565</v>
      </c>
      <c r="D149" s="55">
        <f ca="1">IFERROR(__xludf.DUMMYFUNCTION("""COMPUTED_VALUE"""),117)</f>
        <v>117</v>
      </c>
      <c r="E149" s="55">
        <f ca="1">IFERROR(__xludf.DUMMYFUNCTION("""COMPUTED_VALUE"""),19231)</f>
        <v>19231</v>
      </c>
    </row>
    <row r="150" spans="1:5" ht="13.2" x14ac:dyDescent="0.25">
      <c r="A150" s="131">
        <f ca="1">IFERROR(__xludf.DUMMYFUNCTION("""COMPUTED_VALUE"""),44039)</f>
        <v>44039</v>
      </c>
      <c r="B150" s="55">
        <f ca="1">IFERROR(__xludf.DUMMYFUNCTION("""COMPUTED_VALUE"""),24)</f>
        <v>24</v>
      </c>
      <c r="C150" s="55">
        <f ca="1">IFERROR(__xludf.DUMMYFUNCTION("""COMPUTED_VALUE"""),3589)</f>
        <v>3589</v>
      </c>
      <c r="D150" s="55">
        <f ca="1">IFERROR(__xludf.DUMMYFUNCTION("""COMPUTED_VALUE"""),143)</f>
        <v>143</v>
      </c>
      <c r="E150" s="55">
        <f ca="1">IFERROR(__xludf.DUMMYFUNCTION("""COMPUTED_VALUE"""),19374)</f>
        <v>19374</v>
      </c>
    </row>
    <row r="151" spans="1:5" ht="13.2" x14ac:dyDescent="0.25">
      <c r="A151" s="131">
        <f ca="1">IFERROR(__xludf.DUMMYFUNCTION("""COMPUTED_VALUE"""),44040)</f>
        <v>44040</v>
      </c>
      <c r="B151" s="55">
        <f ca="1">IFERROR(__xludf.DUMMYFUNCTION("""COMPUTED_VALUE"""),30)</f>
        <v>30</v>
      </c>
      <c r="C151" s="55">
        <f ca="1">IFERROR(__xludf.DUMMYFUNCTION("""COMPUTED_VALUE"""),3619)</f>
        <v>3619</v>
      </c>
      <c r="D151" s="55">
        <f ca="1">IFERROR(__xludf.DUMMYFUNCTION("""COMPUTED_VALUE"""),144)</f>
        <v>144</v>
      </c>
      <c r="E151" s="55">
        <f ca="1">IFERROR(__xludf.DUMMYFUNCTION("""COMPUTED_VALUE"""),19518)</f>
        <v>19518</v>
      </c>
    </row>
    <row r="152" spans="1:5" ht="13.2" x14ac:dyDescent="0.25">
      <c r="A152" s="131">
        <f ca="1">IFERROR(__xludf.DUMMYFUNCTION("""COMPUTED_VALUE"""),44041)</f>
        <v>44041</v>
      </c>
      <c r="B152" s="55">
        <f ca="1">IFERROR(__xludf.DUMMYFUNCTION("""COMPUTED_VALUE"""),27)</f>
        <v>27</v>
      </c>
      <c r="C152" s="55">
        <f ca="1">IFERROR(__xludf.DUMMYFUNCTION("""COMPUTED_VALUE"""),3646)</f>
        <v>3646</v>
      </c>
      <c r="D152" s="55">
        <f ca="1">IFERROR(__xludf.DUMMYFUNCTION("""COMPUTED_VALUE"""),147)</f>
        <v>147</v>
      </c>
      <c r="E152" s="55">
        <f ca="1">IFERROR(__xludf.DUMMYFUNCTION("""COMPUTED_VALUE"""),19665)</f>
        <v>19665</v>
      </c>
    </row>
    <row r="153" spans="1:5" ht="13.2" x14ac:dyDescent="0.25">
      <c r="A153" s="131">
        <f ca="1">IFERROR(__xludf.DUMMYFUNCTION("""COMPUTED_VALUE"""),44042)</f>
        <v>44042</v>
      </c>
      <c r="B153" s="55">
        <f ca="1">IFERROR(__xludf.DUMMYFUNCTION("""COMPUTED_VALUE"""),20)</f>
        <v>20</v>
      </c>
      <c r="C153" s="55">
        <f ca="1">IFERROR(__xludf.DUMMYFUNCTION("""COMPUTED_VALUE"""),3666)</f>
        <v>3666</v>
      </c>
      <c r="D153" s="55">
        <f ca="1">IFERROR(__xludf.DUMMYFUNCTION("""COMPUTED_VALUE"""),141)</f>
        <v>141</v>
      </c>
      <c r="E153" s="55">
        <f ca="1">IFERROR(__xludf.DUMMYFUNCTION("""COMPUTED_VALUE"""),19806)</f>
        <v>19806</v>
      </c>
    </row>
    <row r="154" spans="1:5" ht="13.2" x14ac:dyDescent="0.25">
      <c r="A154" s="131">
        <f ca="1">IFERROR(__xludf.DUMMYFUNCTION("""COMPUTED_VALUE"""),44043)</f>
        <v>44043</v>
      </c>
      <c r="B154" s="55">
        <f ca="1">IFERROR(__xludf.DUMMYFUNCTION("""COMPUTED_VALUE"""),26)</f>
        <v>26</v>
      </c>
      <c r="C154" s="55">
        <f ca="1">IFERROR(__xludf.DUMMYFUNCTION("""COMPUTED_VALUE"""),3692)</f>
        <v>3692</v>
      </c>
      <c r="D154" s="55">
        <f ca="1">IFERROR(__xludf.DUMMYFUNCTION("""COMPUTED_VALUE"""),152)</f>
        <v>152</v>
      </c>
      <c r="E154" s="55">
        <f ca="1">IFERROR(__xludf.DUMMYFUNCTION("""COMPUTED_VALUE"""),19958)</f>
        <v>19958</v>
      </c>
    </row>
    <row r="155" spans="1:5" ht="13.2" x14ac:dyDescent="0.25">
      <c r="A155" s="131">
        <f ca="1">IFERROR(__xludf.DUMMYFUNCTION("""COMPUTED_VALUE"""),44044)</f>
        <v>44044</v>
      </c>
      <c r="B155" s="55">
        <f ca="1">IFERROR(__xludf.DUMMYFUNCTION("""COMPUTED_VALUE"""),31)</f>
        <v>31</v>
      </c>
      <c r="C155" s="55">
        <f ca="1">IFERROR(__xludf.DUMMYFUNCTION("""COMPUTED_VALUE"""),3723)</f>
        <v>3723</v>
      </c>
      <c r="D155" s="55">
        <f ca="1">IFERROR(__xludf.DUMMYFUNCTION("""COMPUTED_VALUE"""),151)</f>
        <v>151</v>
      </c>
      <c r="E155" s="55">
        <f ca="1">IFERROR(__xludf.DUMMYFUNCTION("""COMPUTED_VALUE"""),20109)</f>
        <v>20109</v>
      </c>
    </row>
    <row r="156" spans="1:5" ht="13.2" x14ac:dyDescent="0.25">
      <c r="A156" s="131">
        <f ca="1">IFERROR(__xludf.DUMMYFUNCTION("""COMPUTED_VALUE"""),44045)</f>
        <v>44045</v>
      </c>
      <c r="B156" s="55">
        <f ca="1">IFERROR(__xludf.DUMMYFUNCTION("""COMPUTED_VALUE"""),39)</f>
        <v>39</v>
      </c>
      <c r="C156" s="55">
        <f ca="1">IFERROR(__xludf.DUMMYFUNCTION("""COMPUTED_VALUE"""),3762)</f>
        <v>3762</v>
      </c>
      <c r="D156" s="55">
        <f ca="1">IFERROR(__xludf.DUMMYFUNCTION("""COMPUTED_VALUE"""),141)</f>
        <v>141</v>
      </c>
      <c r="E156" s="55">
        <f ca="1">IFERROR(__xludf.DUMMYFUNCTION("""COMPUTED_VALUE"""),20250)</f>
        <v>20250</v>
      </c>
    </row>
    <row r="157" spans="1:5" ht="13.2" x14ac:dyDescent="0.25">
      <c r="A157" s="131">
        <f ca="1">IFERROR(__xludf.DUMMYFUNCTION("""COMPUTED_VALUE"""),44046)</f>
        <v>44046</v>
      </c>
      <c r="B157" s="55">
        <f ca="1">IFERROR(__xludf.DUMMYFUNCTION("""COMPUTED_VALUE"""),25)</f>
        <v>25</v>
      </c>
      <c r="C157" s="55">
        <f ca="1">IFERROR(__xludf.DUMMYFUNCTION("""COMPUTED_VALUE"""),3787)</f>
        <v>3787</v>
      </c>
      <c r="D157" s="55">
        <f ca="1">IFERROR(__xludf.DUMMYFUNCTION("""COMPUTED_VALUE"""),129)</f>
        <v>129</v>
      </c>
      <c r="E157" s="55">
        <f ca="1">IFERROR(__xludf.DUMMYFUNCTION("""COMPUTED_VALUE"""),20379)</f>
        <v>20379</v>
      </c>
    </row>
    <row r="158" spans="1:5" ht="13.2" x14ac:dyDescent="0.25">
      <c r="A158" s="131">
        <f ca="1">IFERROR(__xludf.DUMMYFUNCTION("""COMPUTED_VALUE"""),44047)</f>
        <v>44047</v>
      </c>
      <c r="B158" s="55">
        <f ca="1">IFERROR(__xludf.DUMMYFUNCTION("""COMPUTED_VALUE"""),34)</f>
        <v>34</v>
      </c>
      <c r="C158" s="55">
        <f ca="1">IFERROR(__xludf.DUMMYFUNCTION("""COMPUTED_VALUE"""),3821)</f>
        <v>3821</v>
      </c>
      <c r="D158" s="55">
        <f ca="1">IFERROR(__xludf.DUMMYFUNCTION("""COMPUTED_VALUE"""),152)</f>
        <v>152</v>
      </c>
      <c r="E158" s="55">
        <f ca="1">IFERROR(__xludf.DUMMYFUNCTION("""COMPUTED_VALUE"""),20531)</f>
        <v>20531</v>
      </c>
    </row>
    <row r="159" spans="1:5" ht="13.2" x14ac:dyDescent="0.25">
      <c r="A159" s="131">
        <f ca="1">IFERROR(__xludf.DUMMYFUNCTION("""COMPUTED_VALUE"""),44048)</f>
        <v>44048</v>
      </c>
      <c r="B159" s="55">
        <f ca="1">IFERROR(__xludf.DUMMYFUNCTION("""COMPUTED_VALUE"""),36)</f>
        <v>36</v>
      </c>
      <c r="C159" s="55">
        <f ca="1">IFERROR(__xludf.DUMMYFUNCTION("""COMPUTED_VALUE"""),3857)</f>
        <v>3857</v>
      </c>
      <c r="D159" s="55">
        <f ca="1">IFERROR(__xludf.DUMMYFUNCTION("""COMPUTED_VALUE"""),138)</f>
        <v>138</v>
      </c>
      <c r="E159" s="55">
        <f ca="1">IFERROR(__xludf.DUMMYFUNCTION("""COMPUTED_VALUE"""),20669)</f>
        <v>20669</v>
      </c>
    </row>
    <row r="160" spans="1:5" ht="13.2" x14ac:dyDescent="0.25">
      <c r="A160" s="131">
        <f ca="1">IFERROR(__xludf.DUMMYFUNCTION("""COMPUTED_VALUE"""),44049)</f>
        <v>44049</v>
      </c>
      <c r="B160" s="55">
        <f ca="1">IFERROR(__xludf.DUMMYFUNCTION("""COMPUTED_VALUE"""),20)</f>
        <v>20</v>
      </c>
      <c r="C160" s="55">
        <f ca="1">IFERROR(__xludf.DUMMYFUNCTION("""COMPUTED_VALUE"""),3877)</f>
        <v>3877</v>
      </c>
      <c r="D160" s="55">
        <f ca="1">IFERROR(__xludf.DUMMYFUNCTION("""COMPUTED_VALUE"""),130)</f>
        <v>130</v>
      </c>
      <c r="E160" s="55">
        <f ca="1">IFERROR(__xludf.DUMMYFUNCTION("""COMPUTED_VALUE"""),20799)</f>
        <v>20799</v>
      </c>
    </row>
    <row r="161" spans="1:5" ht="13.2" x14ac:dyDescent="0.25">
      <c r="A161" s="131">
        <f ca="1">IFERROR(__xludf.DUMMYFUNCTION("""COMPUTED_VALUE"""),44050)</f>
        <v>44050</v>
      </c>
      <c r="B161" s="55">
        <f ca="1">IFERROR(__xludf.DUMMYFUNCTION("""COMPUTED_VALUE"""),36)</f>
        <v>36</v>
      </c>
      <c r="C161" s="55">
        <f ca="1">IFERROR(__xludf.DUMMYFUNCTION("""COMPUTED_VALUE"""),3913)</f>
        <v>3913</v>
      </c>
      <c r="D161" s="55">
        <f ca="1">IFERROR(__xludf.DUMMYFUNCTION("""COMPUTED_VALUE"""),159)</f>
        <v>159</v>
      </c>
      <c r="E161" s="55">
        <f ca="1">IFERROR(__xludf.DUMMYFUNCTION("""COMPUTED_VALUE"""),20958)</f>
        <v>20958</v>
      </c>
    </row>
    <row r="162" spans="1:5" ht="13.2" x14ac:dyDescent="0.25">
      <c r="A162" s="131">
        <f ca="1">IFERROR(__xludf.DUMMYFUNCTION("""COMPUTED_VALUE"""),44051)</f>
        <v>44051</v>
      </c>
      <c r="B162" s="55">
        <f ca="1">IFERROR(__xludf.DUMMYFUNCTION("""COMPUTED_VALUE"""),29)</f>
        <v>29</v>
      </c>
      <c r="C162" s="55">
        <f ca="1">IFERROR(__xludf.DUMMYFUNCTION("""COMPUTED_VALUE"""),3942)</f>
        <v>3942</v>
      </c>
      <c r="D162" s="55">
        <f ca="1">IFERROR(__xludf.DUMMYFUNCTION("""COMPUTED_VALUE"""),162)</f>
        <v>162</v>
      </c>
      <c r="E162" s="55">
        <f ca="1">IFERROR(__xludf.DUMMYFUNCTION("""COMPUTED_VALUE"""),21120)</f>
        <v>21120</v>
      </c>
    </row>
    <row r="163" spans="1:5" ht="13.2" x14ac:dyDescent="0.25">
      <c r="A163" s="131">
        <f ca="1">IFERROR(__xludf.DUMMYFUNCTION("""COMPUTED_VALUE"""),44052)</f>
        <v>44052</v>
      </c>
      <c r="B163" s="55">
        <f ca="1">IFERROR(__xludf.DUMMYFUNCTION("""COMPUTED_VALUE"""),35)</f>
        <v>35</v>
      </c>
      <c r="C163" s="55">
        <f ca="1">IFERROR(__xludf.DUMMYFUNCTION("""COMPUTED_VALUE"""),3977)</f>
        <v>3977</v>
      </c>
      <c r="D163" s="55">
        <f ca="1">IFERROR(__xludf.DUMMYFUNCTION("""COMPUTED_VALUE"""),145)</f>
        <v>145</v>
      </c>
      <c r="E163" s="55">
        <f ca="1">IFERROR(__xludf.DUMMYFUNCTION("""COMPUTED_VALUE"""),21265)</f>
        <v>21265</v>
      </c>
    </row>
    <row r="164" spans="1:5" ht="13.2" x14ac:dyDescent="0.25">
      <c r="A164" s="131">
        <f ca="1">IFERROR(__xludf.DUMMYFUNCTION("""COMPUTED_VALUE"""),44053)</f>
        <v>44053</v>
      </c>
      <c r="B164" s="55">
        <f ca="1">IFERROR(__xludf.DUMMYFUNCTION("""COMPUTED_VALUE"""),40)</f>
        <v>40</v>
      </c>
      <c r="C164" s="55">
        <f ca="1">IFERROR(__xludf.DUMMYFUNCTION("""COMPUTED_VALUE"""),4017)</f>
        <v>4017</v>
      </c>
      <c r="D164" s="55">
        <f ca="1">IFERROR(__xludf.DUMMYFUNCTION("""COMPUTED_VALUE"""),167)</f>
        <v>167</v>
      </c>
      <c r="E164" s="55">
        <f ca="1">IFERROR(__xludf.DUMMYFUNCTION("""COMPUTED_VALUE"""),21432)</f>
        <v>21432</v>
      </c>
    </row>
    <row r="165" spans="1:5" ht="13.2" x14ac:dyDescent="0.25">
      <c r="A165" s="131">
        <f ca="1">IFERROR(__xludf.DUMMYFUNCTION("""COMPUTED_VALUE"""),44054)</f>
        <v>44054</v>
      </c>
      <c r="B165" s="55">
        <f ca="1">IFERROR(__xludf.DUMMYFUNCTION("""COMPUTED_VALUE"""),36)</f>
        <v>36</v>
      </c>
      <c r="C165" s="55">
        <f ca="1">IFERROR(__xludf.DUMMYFUNCTION("""COMPUTED_VALUE"""),4053)</f>
        <v>4053</v>
      </c>
      <c r="D165" s="55">
        <f ca="1">IFERROR(__xludf.DUMMYFUNCTION("""COMPUTED_VALUE"""),136)</f>
        <v>136</v>
      </c>
      <c r="E165" s="55">
        <f ca="1">IFERROR(__xludf.DUMMYFUNCTION("""COMPUTED_VALUE"""),21568)</f>
        <v>21568</v>
      </c>
    </row>
    <row r="166" spans="1:5" ht="13.2" x14ac:dyDescent="0.25">
      <c r="A166" s="131">
        <f ca="1">IFERROR(__xludf.DUMMYFUNCTION("""COMPUTED_VALUE"""),44055)</f>
        <v>44055</v>
      </c>
      <c r="B166" s="55">
        <f ca="1">IFERROR(__xludf.DUMMYFUNCTION("""COMPUTED_VALUE"""),34)</f>
        <v>34</v>
      </c>
      <c r="C166" s="55">
        <f ca="1">IFERROR(__xludf.DUMMYFUNCTION("""COMPUTED_VALUE"""),4087)</f>
        <v>4087</v>
      </c>
      <c r="D166" s="55">
        <f ca="1">IFERROR(__xludf.DUMMYFUNCTION("""COMPUTED_VALUE"""),150)</f>
        <v>150</v>
      </c>
      <c r="E166" s="55">
        <f ca="1">IFERROR(__xludf.DUMMYFUNCTION("""COMPUTED_VALUE"""),21718)</f>
        <v>21718</v>
      </c>
    </row>
    <row r="167" spans="1:5" ht="13.2" x14ac:dyDescent="0.25">
      <c r="A167" s="131">
        <f ca="1">IFERROR(__xludf.DUMMYFUNCTION("""COMPUTED_VALUE"""),44056)</f>
        <v>44056</v>
      </c>
      <c r="B167" s="55">
        <f ca="1">IFERROR(__xludf.DUMMYFUNCTION("""COMPUTED_VALUE"""),34)</f>
        <v>34</v>
      </c>
      <c r="C167" s="55">
        <f ca="1">IFERROR(__xludf.DUMMYFUNCTION("""COMPUTED_VALUE"""),4121)</f>
        <v>4121</v>
      </c>
      <c r="D167" s="55">
        <f ca="1">IFERROR(__xludf.DUMMYFUNCTION("""COMPUTED_VALUE"""),149)</f>
        <v>149</v>
      </c>
      <c r="E167" s="55">
        <f ca="1">IFERROR(__xludf.DUMMYFUNCTION("""COMPUTED_VALUE"""),21867)</f>
        <v>21867</v>
      </c>
    </row>
    <row r="168" spans="1:5" ht="13.2" x14ac:dyDescent="0.25">
      <c r="A168" s="131">
        <f ca="1">IFERROR(__xludf.DUMMYFUNCTION("""COMPUTED_VALUE"""),44057)</f>
        <v>44057</v>
      </c>
      <c r="B168" s="55">
        <f ca="1">IFERROR(__xludf.DUMMYFUNCTION("""COMPUTED_VALUE"""),43)</f>
        <v>43</v>
      </c>
      <c r="C168" s="55">
        <f ca="1">IFERROR(__xludf.DUMMYFUNCTION("""COMPUTED_VALUE"""),4164)</f>
        <v>4164</v>
      </c>
      <c r="D168" s="55">
        <f ca="1">IFERROR(__xludf.DUMMYFUNCTION("""COMPUTED_VALUE"""),152)</f>
        <v>152</v>
      </c>
      <c r="E168" s="55">
        <f ca="1">IFERROR(__xludf.DUMMYFUNCTION("""COMPUTED_VALUE"""),22019)</f>
        <v>22019</v>
      </c>
    </row>
    <row r="169" spans="1:5" ht="13.2" x14ac:dyDescent="0.25">
      <c r="A169" s="131">
        <f ca="1">IFERROR(__xludf.DUMMYFUNCTION("""COMPUTED_VALUE"""),44058)</f>
        <v>44058</v>
      </c>
      <c r="B169" s="55">
        <f ca="1">IFERROR(__xludf.DUMMYFUNCTION("""COMPUTED_VALUE"""),30)</f>
        <v>30</v>
      </c>
      <c r="C169" s="55">
        <f ca="1">IFERROR(__xludf.DUMMYFUNCTION("""COMPUTED_VALUE"""),4194)</f>
        <v>4194</v>
      </c>
      <c r="D169" s="55">
        <f ca="1">IFERROR(__xludf.DUMMYFUNCTION("""COMPUTED_VALUE"""),150)</f>
        <v>150</v>
      </c>
      <c r="E169" s="55">
        <f ca="1">IFERROR(__xludf.DUMMYFUNCTION("""COMPUTED_VALUE"""),22169)</f>
        <v>22169</v>
      </c>
    </row>
    <row r="170" spans="1:5" ht="13.2" x14ac:dyDescent="0.25">
      <c r="A170" s="131">
        <f ca="1">IFERROR(__xludf.DUMMYFUNCTION("""COMPUTED_VALUE"""),44059)</f>
        <v>44059</v>
      </c>
      <c r="B170" s="55">
        <f ca="1">IFERROR(__xludf.DUMMYFUNCTION("""COMPUTED_VALUE"""),41)</f>
        <v>41</v>
      </c>
      <c r="C170" s="55">
        <f ca="1">IFERROR(__xludf.DUMMYFUNCTION("""COMPUTED_VALUE"""),4235)</f>
        <v>4235</v>
      </c>
      <c r="D170" s="55">
        <f ca="1">IFERROR(__xludf.DUMMYFUNCTION("""COMPUTED_VALUE"""),143)</f>
        <v>143</v>
      </c>
      <c r="E170" s="55">
        <f ca="1">IFERROR(__xludf.DUMMYFUNCTION("""COMPUTED_VALUE"""),22312)</f>
        <v>22312</v>
      </c>
    </row>
    <row r="171" spans="1:5" ht="13.2" x14ac:dyDescent="0.25">
      <c r="A171" s="131">
        <f ca="1">IFERROR(__xludf.DUMMYFUNCTION("""COMPUTED_VALUE"""),44060)</f>
        <v>44060</v>
      </c>
      <c r="B171" s="55">
        <f ca="1">IFERROR(__xludf.DUMMYFUNCTION("""COMPUTED_VALUE"""),39)</f>
        <v>39</v>
      </c>
      <c r="C171" s="55">
        <f ca="1">IFERROR(__xludf.DUMMYFUNCTION("""COMPUTED_VALUE"""),4274)</f>
        <v>4274</v>
      </c>
      <c r="D171" s="55">
        <f ca="1">IFERROR(__xludf.DUMMYFUNCTION("""COMPUTED_VALUE"""),157)</f>
        <v>157</v>
      </c>
      <c r="E171" s="55">
        <f ca="1">IFERROR(__xludf.DUMMYFUNCTION("""COMPUTED_VALUE"""),22469)</f>
        <v>22469</v>
      </c>
    </row>
    <row r="172" spans="1:5" ht="13.2" x14ac:dyDescent="0.25">
      <c r="A172" s="131">
        <f ca="1">IFERROR(__xludf.DUMMYFUNCTION("""COMPUTED_VALUE"""),44061)</f>
        <v>44061</v>
      </c>
      <c r="B172" s="55">
        <f ca="1">IFERROR(__xludf.DUMMYFUNCTION("""COMPUTED_VALUE"""),31)</f>
        <v>31</v>
      </c>
      <c r="C172" s="55">
        <f ca="1">IFERROR(__xludf.DUMMYFUNCTION("""COMPUTED_VALUE"""),4305)</f>
        <v>4305</v>
      </c>
      <c r="D172" s="55">
        <f ca="1">IFERROR(__xludf.DUMMYFUNCTION("""COMPUTED_VALUE"""),145)</f>
        <v>145</v>
      </c>
      <c r="E172" s="55">
        <f ca="1">IFERROR(__xludf.DUMMYFUNCTION("""COMPUTED_VALUE"""),22614)</f>
        <v>22614</v>
      </c>
    </row>
    <row r="173" spans="1:5" ht="13.2" x14ac:dyDescent="0.25">
      <c r="A173" s="131">
        <f ca="1">IFERROR(__xludf.DUMMYFUNCTION("""COMPUTED_VALUE"""),44062)</f>
        <v>44062</v>
      </c>
      <c r="B173" s="55">
        <f ca="1">IFERROR(__xludf.DUMMYFUNCTION("""COMPUTED_VALUE"""),35)</f>
        <v>35</v>
      </c>
      <c r="C173" s="55">
        <f ca="1">IFERROR(__xludf.DUMMYFUNCTION("""COMPUTED_VALUE"""),4340)</f>
        <v>4340</v>
      </c>
      <c r="D173" s="55">
        <f ca="1">IFERROR(__xludf.DUMMYFUNCTION("""COMPUTED_VALUE"""),147)</f>
        <v>147</v>
      </c>
      <c r="E173" s="55">
        <f ca="1">IFERROR(__xludf.DUMMYFUNCTION("""COMPUTED_VALUE"""),22761)</f>
        <v>22761</v>
      </c>
    </row>
    <row r="174" spans="1:5" ht="13.2" x14ac:dyDescent="0.25">
      <c r="A174" s="131">
        <f ca="1">IFERROR(__xludf.DUMMYFUNCTION("""COMPUTED_VALUE"""),44063)</f>
        <v>44063</v>
      </c>
      <c r="B174" s="55">
        <f ca="1">IFERROR(__xludf.DUMMYFUNCTION("""COMPUTED_VALUE"""),35)</f>
        <v>35</v>
      </c>
      <c r="C174" s="55">
        <f ca="1">IFERROR(__xludf.DUMMYFUNCTION("""COMPUTED_VALUE"""),4375)</f>
        <v>4375</v>
      </c>
      <c r="D174" s="55">
        <f ca="1">IFERROR(__xludf.DUMMYFUNCTION("""COMPUTED_VALUE"""),168)</f>
        <v>168</v>
      </c>
      <c r="E174" s="55">
        <f ca="1">IFERROR(__xludf.DUMMYFUNCTION("""COMPUTED_VALUE"""),22929)</f>
        <v>22929</v>
      </c>
    </row>
    <row r="175" spans="1:5" ht="13.2" x14ac:dyDescent="0.25">
      <c r="A175" s="131">
        <f ca="1">IFERROR(__xludf.DUMMYFUNCTION("""COMPUTED_VALUE"""),44064)</f>
        <v>44064</v>
      </c>
      <c r="B175" s="55">
        <f ca="1">IFERROR(__xludf.DUMMYFUNCTION("""COMPUTED_VALUE"""),37)</f>
        <v>37</v>
      </c>
      <c r="C175" s="55">
        <f ca="1">IFERROR(__xludf.DUMMYFUNCTION("""COMPUTED_VALUE"""),4412)</f>
        <v>4412</v>
      </c>
      <c r="D175" s="55">
        <f ca="1">IFERROR(__xludf.DUMMYFUNCTION("""COMPUTED_VALUE"""),160)</f>
        <v>160</v>
      </c>
      <c r="E175" s="55">
        <f ca="1">IFERROR(__xludf.DUMMYFUNCTION("""COMPUTED_VALUE"""),23089)</f>
        <v>23089</v>
      </c>
    </row>
    <row r="176" spans="1:5" ht="13.2" x14ac:dyDescent="0.25">
      <c r="A176" s="131">
        <f ca="1">IFERROR(__xludf.DUMMYFUNCTION("""COMPUTED_VALUE"""),44065)</f>
        <v>44065</v>
      </c>
      <c r="B176" s="55">
        <f ca="1">IFERROR(__xludf.DUMMYFUNCTION("""COMPUTED_VALUE"""),42)</f>
        <v>42</v>
      </c>
      <c r="C176" s="55">
        <f ca="1">IFERROR(__xludf.DUMMYFUNCTION("""COMPUTED_VALUE"""),4454)</f>
        <v>4454</v>
      </c>
      <c r="D176" s="55">
        <f ca="1">IFERROR(__xludf.DUMMYFUNCTION("""COMPUTED_VALUE"""),157)</f>
        <v>157</v>
      </c>
      <c r="E176" s="55">
        <f ca="1">IFERROR(__xludf.DUMMYFUNCTION("""COMPUTED_VALUE"""),23246)</f>
        <v>23246</v>
      </c>
    </row>
    <row r="177" spans="1:5" ht="13.2" x14ac:dyDescent="0.25">
      <c r="A177" s="131">
        <f ca="1">IFERROR(__xludf.DUMMYFUNCTION("""COMPUTED_VALUE"""),44066)</f>
        <v>44066</v>
      </c>
      <c r="B177" s="55">
        <f ca="1">IFERROR(__xludf.DUMMYFUNCTION("""COMPUTED_VALUE"""),37)</f>
        <v>37</v>
      </c>
      <c r="C177" s="55">
        <f ca="1">IFERROR(__xludf.DUMMYFUNCTION("""COMPUTED_VALUE"""),4491)</f>
        <v>4491</v>
      </c>
      <c r="D177" s="55">
        <f ca="1">IFERROR(__xludf.DUMMYFUNCTION("""COMPUTED_VALUE"""),139)</f>
        <v>139</v>
      </c>
      <c r="E177" s="55">
        <f ca="1">IFERROR(__xludf.DUMMYFUNCTION("""COMPUTED_VALUE"""),23385)</f>
        <v>23385</v>
      </c>
    </row>
    <row r="178" spans="1:5" ht="13.2" x14ac:dyDescent="0.25">
      <c r="A178" s="131">
        <f ca="1">IFERROR(__xludf.DUMMYFUNCTION("""COMPUTED_VALUE"""),44067)</f>
        <v>44067</v>
      </c>
      <c r="B178" s="55">
        <f ca="1">IFERROR(__xludf.DUMMYFUNCTION("""COMPUTED_VALUE"""),47)</f>
        <v>47</v>
      </c>
      <c r="C178" s="55">
        <f ca="1">IFERROR(__xludf.DUMMYFUNCTION("""COMPUTED_VALUE"""),4538)</f>
        <v>4538</v>
      </c>
      <c r="D178" s="55">
        <f ca="1">IFERROR(__xludf.DUMMYFUNCTION("""COMPUTED_VALUE"""),162)</f>
        <v>162</v>
      </c>
      <c r="E178" s="55">
        <f ca="1">IFERROR(__xludf.DUMMYFUNCTION("""COMPUTED_VALUE"""),23547)</f>
        <v>23547</v>
      </c>
    </row>
    <row r="179" spans="1:5" ht="13.2" x14ac:dyDescent="0.25">
      <c r="A179" s="131">
        <f ca="1">IFERROR(__xludf.DUMMYFUNCTION("""COMPUTED_VALUE"""),44068)</f>
        <v>44068</v>
      </c>
      <c r="B179" s="55">
        <f ca="1">IFERROR(__xludf.DUMMYFUNCTION("""COMPUTED_VALUE"""),38)</f>
        <v>38</v>
      </c>
      <c r="C179" s="55">
        <f ca="1">IFERROR(__xludf.DUMMYFUNCTION("""COMPUTED_VALUE"""),4576)</f>
        <v>4576</v>
      </c>
      <c r="D179" s="55">
        <f ca="1">IFERROR(__xludf.DUMMYFUNCTION("""COMPUTED_VALUE"""),161)</f>
        <v>161</v>
      </c>
      <c r="E179" s="55">
        <f ca="1">IFERROR(__xludf.DUMMYFUNCTION("""COMPUTED_VALUE"""),23708)</f>
        <v>23708</v>
      </c>
    </row>
    <row r="180" spans="1:5" ht="13.2" x14ac:dyDescent="0.25">
      <c r="A180" s="131">
        <f ca="1">IFERROR(__xludf.DUMMYFUNCTION("""COMPUTED_VALUE"""),44069)</f>
        <v>44069</v>
      </c>
      <c r="B180" s="55">
        <f ca="1">IFERROR(__xludf.DUMMYFUNCTION("""COMPUTED_VALUE"""),42)</f>
        <v>42</v>
      </c>
      <c r="C180" s="55">
        <f ca="1">IFERROR(__xludf.DUMMYFUNCTION("""COMPUTED_VALUE"""),4618)</f>
        <v>4618</v>
      </c>
      <c r="D180" s="55">
        <f ca="1">IFERROR(__xludf.DUMMYFUNCTION("""COMPUTED_VALUE"""),167)</f>
        <v>167</v>
      </c>
      <c r="E180" s="55">
        <f ca="1">IFERROR(__xludf.DUMMYFUNCTION("""COMPUTED_VALUE"""),23875)</f>
        <v>23875</v>
      </c>
    </row>
    <row r="181" spans="1:5" ht="13.2" x14ac:dyDescent="0.25">
      <c r="A181" s="131">
        <f ca="1">IFERROR(__xludf.DUMMYFUNCTION("""COMPUTED_VALUE"""),44070)</f>
        <v>44070</v>
      </c>
      <c r="B181" s="55">
        <f ca="1">IFERROR(__xludf.DUMMYFUNCTION("""COMPUTED_VALUE"""),50)</f>
        <v>50</v>
      </c>
      <c r="C181" s="55">
        <f ca="1">IFERROR(__xludf.DUMMYFUNCTION("""COMPUTED_VALUE"""),4668)</f>
        <v>4668</v>
      </c>
      <c r="D181" s="55">
        <f ca="1">IFERROR(__xludf.DUMMYFUNCTION("""COMPUTED_VALUE"""),165)</f>
        <v>165</v>
      </c>
      <c r="E181" s="55">
        <f ca="1">IFERROR(__xludf.DUMMYFUNCTION("""COMPUTED_VALUE"""),24040)</f>
        <v>24040</v>
      </c>
    </row>
    <row r="182" spans="1:5" ht="13.2" x14ac:dyDescent="0.25">
      <c r="A182" s="131">
        <f ca="1">IFERROR(__xludf.DUMMYFUNCTION("""COMPUTED_VALUE"""),44071)</f>
        <v>44071</v>
      </c>
      <c r="B182" s="55">
        <f ca="1">IFERROR(__xludf.DUMMYFUNCTION("""COMPUTED_VALUE"""),37)</f>
        <v>37</v>
      </c>
      <c r="C182" s="55">
        <f ca="1">IFERROR(__xludf.DUMMYFUNCTION("""COMPUTED_VALUE"""),4705)</f>
        <v>4705</v>
      </c>
      <c r="D182" s="55">
        <f ca="1">IFERROR(__xludf.DUMMYFUNCTION("""COMPUTED_VALUE"""),180)</f>
        <v>180</v>
      </c>
      <c r="E182" s="55">
        <f ca="1">IFERROR(__xludf.DUMMYFUNCTION("""COMPUTED_VALUE"""),24220)</f>
        <v>24220</v>
      </c>
    </row>
    <row r="183" spans="1:5" ht="13.2" x14ac:dyDescent="0.25">
      <c r="A183" s="131">
        <f ca="1">IFERROR(__xludf.DUMMYFUNCTION("""COMPUTED_VALUE"""),44072)</f>
        <v>44072</v>
      </c>
      <c r="B183" s="55">
        <f ca="1">IFERROR(__xludf.DUMMYFUNCTION("""COMPUTED_VALUE"""),54)</f>
        <v>54</v>
      </c>
      <c r="C183" s="55">
        <f ca="1">IFERROR(__xludf.DUMMYFUNCTION("""COMPUTED_VALUE"""),4759)</f>
        <v>4759</v>
      </c>
      <c r="D183" s="55">
        <f ca="1">IFERROR(__xludf.DUMMYFUNCTION("""COMPUTED_VALUE"""),152)</f>
        <v>152</v>
      </c>
      <c r="E183" s="55">
        <f ca="1">IFERROR(__xludf.DUMMYFUNCTION("""COMPUTED_VALUE"""),24372)</f>
        <v>24372</v>
      </c>
    </row>
    <row r="184" spans="1:5" ht="13.2" x14ac:dyDescent="0.25">
      <c r="A184" s="131">
        <f ca="1">IFERROR(__xludf.DUMMYFUNCTION("""COMPUTED_VALUE"""),44073)</f>
        <v>44073</v>
      </c>
      <c r="B184" s="55">
        <f ca="1">IFERROR(__xludf.DUMMYFUNCTION("""COMPUTED_VALUE"""),59)</f>
        <v>59</v>
      </c>
      <c r="C184" s="55">
        <f ca="1">IFERROR(__xludf.DUMMYFUNCTION("""COMPUTED_VALUE"""),4818)</f>
        <v>4818</v>
      </c>
      <c r="D184" s="55">
        <f ca="1">IFERROR(__xludf.DUMMYFUNCTION("""COMPUTED_VALUE"""),227)</f>
        <v>227</v>
      </c>
      <c r="E184" s="55">
        <f ca="1">IFERROR(__xludf.DUMMYFUNCTION("""COMPUTED_VALUE"""),24599)</f>
        <v>24599</v>
      </c>
    </row>
    <row r="185" spans="1:5" ht="13.2" x14ac:dyDescent="0.25">
      <c r="A185" s="131">
        <f ca="1">IFERROR(__xludf.DUMMYFUNCTION("""COMPUTED_VALUE"""),44074)</f>
        <v>44074</v>
      </c>
      <c r="B185" s="55">
        <f ca="1">IFERROR(__xludf.DUMMYFUNCTION("""COMPUTED_VALUE"""),57)</f>
        <v>57</v>
      </c>
      <c r="C185" s="55">
        <f ca="1">IFERROR(__xludf.DUMMYFUNCTION("""COMPUTED_VALUE"""),4875)</f>
        <v>4875</v>
      </c>
      <c r="D185" s="55">
        <f ca="1">IFERROR(__xludf.DUMMYFUNCTION("""COMPUTED_VALUE"""),166)</f>
        <v>166</v>
      </c>
      <c r="E185" s="55">
        <f ca="1">IFERROR(__xludf.DUMMYFUNCTION("""COMPUTED_VALUE"""),24765)</f>
        <v>24765</v>
      </c>
    </row>
    <row r="186" spans="1:5" ht="13.2" x14ac:dyDescent="0.25">
      <c r="A186" s="131">
        <f ca="1">IFERROR(__xludf.DUMMYFUNCTION("""COMPUTED_VALUE"""),44075)</f>
        <v>44075</v>
      </c>
      <c r="B186" s="55">
        <f ca="1">IFERROR(__xludf.DUMMYFUNCTION("""COMPUTED_VALUE"""),47)</f>
        <v>47</v>
      </c>
      <c r="C186" s="55">
        <f ca="1">IFERROR(__xludf.DUMMYFUNCTION("""COMPUTED_VALUE"""),4922)</f>
        <v>4922</v>
      </c>
      <c r="D186" s="55">
        <f ca="1">IFERROR(__xludf.DUMMYFUNCTION("""COMPUTED_VALUE"""),281)</f>
        <v>281</v>
      </c>
      <c r="E186" s="55">
        <f ca="1">IFERROR(__xludf.DUMMYFUNCTION("""COMPUTED_VALUE"""),25046)</f>
        <v>25046</v>
      </c>
    </row>
    <row r="187" spans="1:5" ht="13.2" x14ac:dyDescent="0.25">
      <c r="A187" s="131">
        <f ca="1">IFERROR(__xludf.DUMMYFUNCTION("""COMPUTED_VALUE"""),44076)</f>
        <v>44076</v>
      </c>
      <c r="B187" s="55">
        <f ca="1">IFERROR(__xludf.DUMMYFUNCTION("""COMPUTED_VALUE"""),60)</f>
        <v>60</v>
      </c>
      <c r="C187" s="55">
        <f ca="1">IFERROR(__xludf.DUMMYFUNCTION("""COMPUTED_VALUE"""),4982)</f>
        <v>4982</v>
      </c>
      <c r="D187" s="55">
        <f ca="1">IFERROR(__xludf.DUMMYFUNCTION("""COMPUTED_VALUE"""),181)</f>
        <v>181</v>
      </c>
      <c r="E187" s="55">
        <f ca="1">IFERROR(__xludf.DUMMYFUNCTION("""COMPUTED_VALUE"""),25227)</f>
        <v>25227</v>
      </c>
    </row>
    <row r="188" spans="1:5" ht="13.2" x14ac:dyDescent="0.25">
      <c r="A188" s="131">
        <f ca="1">IFERROR(__xludf.DUMMYFUNCTION("""COMPUTED_VALUE"""),44077)</f>
        <v>44077</v>
      </c>
      <c r="B188" s="55">
        <f ca="1">IFERROR(__xludf.DUMMYFUNCTION("""COMPUTED_VALUE"""),50)</f>
        <v>50</v>
      </c>
      <c r="C188" s="55">
        <f ca="1">IFERROR(__xludf.DUMMYFUNCTION("""COMPUTED_VALUE"""),5032)</f>
        <v>5032</v>
      </c>
      <c r="D188" s="55">
        <f ca="1">IFERROR(__xludf.DUMMYFUNCTION("""COMPUTED_VALUE"""),155)</f>
        <v>155</v>
      </c>
      <c r="E188" s="55">
        <f ca="1">IFERROR(__xludf.DUMMYFUNCTION("""COMPUTED_VALUE"""),25382)</f>
        <v>25382</v>
      </c>
    </row>
    <row r="189" spans="1:5" ht="13.2" x14ac:dyDescent="0.25">
      <c r="A189" s="131">
        <f ca="1">IFERROR(__xludf.DUMMYFUNCTION("""COMPUTED_VALUE"""),44078)</f>
        <v>44078</v>
      </c>
      <c r="B189" s="55">
        <f ca="1">IFERROR(__xludf.DUMMYFUNCTION("""COMPUTED_VALUE"""),52)</f>
        <v>52</v>
      </c>
      <c r="C189" s="55">
        <f ca="1">IFERROR(__xludf.DUMMYFUNCTION("""COMPUTED_VALUE"""),5084)</f>
        <v>5084</v>
      </c>
      <c r="D189" s="55">
        <f ca="1">IFERROR(__xludf.DUMMYFUNCTION("""COMPUTED_VALUE"""),176)</f>
        <v>176</v>
      </c>
      <c r="E189" s="55">
        <f ca="1">IFERROR(__xludf.DUMMYFUNCTION("""COMPUTED_VALUE"""),25558)</f>
        <v>25558</v>
      </c>
    </row>
    <row r="190" spans="1:5" ht="13.2" x14ac:dyDescent="0.25">
      <c r="A190" s="131">
        <f ca="1">IFERROR(__xludf.DUMMYFUNCTION("""COMPUTED_VALUE"""),44079)</f>
        <v>44079</v>
      </c>
      <c r="B190" s="55">
        <f ca="1">IFERROR(__xludf.DUMMYFUNCTION("""COMPUTED_VALUE"""),66)</f>
        <v>66</v>
      </c>
      <c r="C190" s="55">
        <f ca="1">IFERROR(__xludf.DUMMYFUNCTION("""COMPUTED_VALUE"""),5150)</f>
        <v>5150</v>
      </c>
      <c r="D190" s="55">
        <f ca="1">IFERROR(__xludf.DUMMYFUNCTION("""COMPUTED_VALUE"""),216)</f>
        <v>216</v>
      </c>
      <c r="E190" s="55">
        <f ca="1">IFERROR(__xludf.DUMMYFUNCTION("""COMPUTED_VALUE"""),25774)</f>
        <v>25774</v>
      </c>
    </row>
    <row r="191" spans="1:5" ht="13.2" x14ac:dyDescent="0.25">
      <c r="A191" s="131">
        <f ca="1">IFERROR(__xludf.DUMMYFUNCTION("""COMPUTED_VALUE"""),44080)</f>
        <v>44080</v>
      </c>
      <c r="B191" s="55">
        <f ca="1">IFERROR(__xludf.DUMMYFUNCTION("""COMPUTED_VALUE"""),50)</f>
        <v>50</v>
      </c>
      <c r="C191" s="55">
        <f ca="1">IFERROR(__xludf.DUMMYFUNCTION("""COMPUTED_VALUE"""),5200)</f>
        <v>5200</v>
      </c>
      <c r="D191" s="55">
        <f ca="1">IFERROR(__xludf.DUMMYFUNCTION("""COMPUTED_VALUE"""),183)</f>
        <v>183</v>
      </c>
      <c r="E191" s="55">
        <f ca="1">IFERROR(__xludf.DUMMYFUNCTION("""COMPUTED_VALUE"""),25957)</f>
        <v>25957</v>
      </c>
    </row>
    <row r="192" spans="1:5" ht="13.2" x14ac:dyDescent="0.25">
      <c r="A192" s="131">
        <f ca="1">IFERROR(__xludf.DUMMYFUNCTION("""COMPUTED_VALUE"""),44081)</f>
        <v>44081</v>
      </c>
      <c r="B192" s="55">
        <f ca="1">IFERROR(__xludf.DUMMYFUNCTION("""COMPUTED_VALUE"""),45)</f>
        <v>45</v>
      </c>
      <c r="C192" s="55">
        <f ca="1">IFERROR(__xludf.DUMMYFUNCTION("""COMPUTED_VALUE"""),5245)</f>
        <v>5245</v>
      </c>
      <c r="D192" s="55">
        <f ca="1">IFERROR(__xludf.DUMMYFUNCTION("""COMPUTED_VALUE"""),160)</f>
        <v>160</v>
      </c>
      <c r="E192" s="55">
        <f ca="1">IFERROR(__xludf.DUMMYFUNCTION("""COMPUTED_VALUE"""),26117)</f>
        <v>26117</v>
      </c>
    </row>
    <row r="193" spans="1:5" ht="13.2" x14ac:dyDescent="0.25">
      <c r="A193" s="131">
        <f ca="1">IFERROR(__xludf.DUMMYFUNCTION("""COMPUTED_VALUE"""),44082)</f>
        <v>44082</v>
      </c>
      <c r="B193" s="55">
        <f ca="1">IFERROR(__xludf.DUMMYFUNCTION("""COMPUTED_VALUE"""),46)</f>
        <v>46</v>
      </c>
      <c r="C193" s="55">
        <f ca="1">IFERROR(__xludf.DUMMYFUNCTION("""COMPUTED_VALUE"""),5291)</f>
        <v>5291</v>
      </c>
      <c r="D193" s="55">
        <f ca="1">IFERROR(__xludf.DUMMYFUNCTION("""COMPUTED_VALUE"""),189)</f>
        <v>189</v>
      </c>
      <c r="E193" s="55">
        <f ca="1">IFERROR(__xludf.DUMMYFUNCTION("""COMPUTED_VALUE"""),26306)</f>
        <v>26306</v>
      </c>
    </row>
    <row r="194" spans="1:5" ht="13.2" x14ac:dyDescent="0.25">
      <c r="A194" s="131">
        <f ca="1">IFERROR(__xludf.DUMMYFUNCTION("""COMPUTED_VALUE"""),44083)</f>
        <v>44083</v>
      </c>
      <c r="B194" s="55">
        <f ca="1">IFERROR(__xludf.DUMMYFUNCTION("""COMPUTED_VALUE"""),48)</f>
        <v>48</v>
      </c>
      <c r="C194" s="55">
        <f ca="1">IFERROR(__xludf.DUMMYFUNCTION("""COMPUTED_VALUE"""),5339)</f>
        <v>5339</v>
      </c>
      <c r="D194" s="55">
        <f ca="1">IFERROR(__xludf.DUMMYFUNCTION("""COMPUTED_VALUE"""),205)</f>
        <v>205</v>
      </c>
      <c r="E194" s="55">
        <f ca="1">IFERROR(__xludf.DUMMYFUNCTION("""COMPUTED_VALUE"""),26511)</f>
        <v>26511</v>
      </c>
    </row>
    <row r="195" spans="1:5" ht="13.2" x14ac:dyDescent="0.25">
      <c r="A195" s="131">
        <f ca="1">IFERROR(__xludf.DUMMYFUNCTION("""COMPUTED_VALUE"""),44084)</f>
        <v>44084</v>
      </c>
      <c r="B195" s="55">
        <f ca="1">IFERROR(__xludf.DUMMYFUNCTION("""COMPUTED_VALUE"""),60)</f>
        <v>60</v>
      </c>
      <c r="C195" s="55">
        <f ca="1">IFERROR(__xludf.DUMMYFUNCTION("""COMPUTED_VALUE"""),5399)</f>
        <v>5399</v>
      </c>
      <c r="D195" s="55">
        <f ca="1">IFERROR(__xludf.DUMMYFUNCTION("""COMPUTED_VALUE"""),214)</f>
        <v>214</v>
      </c>
      <c r="E195" s="55">
        <f ca="1">IFERROR(__xludf.DUMMYFUNCTION("""COMPUTED_VALUE"""),26725)</f>
        <v>26725</v>
      </c>
    </row>
    <row r="196" spans="1:5" ht="13.2" x14ac:dyDescent="0.25">
      <c r="A196" s="131">
        <f ca="1">IFERROR(__xludf.DUMMYFUNCTION("""COMPUTED_VALUE"""),44085)</f>
        <v>44085</v>
      </c>
      <c r="B196" s="55">
        <f ca="1">IFERROR(__xludf.DUMMYFUNCTION("""COMPUTED_VALUE"""),57)</f>
        <v>57</v>
      </c>
      <c r="C196" s="55">
        <f ca="1">IFERROR(__xludf.DUMMYFUNCTION("""COMPUTED_VALUE"""),5456)</f>
        <v>5456</v>
      </c>
      <c r="D196" s="55">
        <f ca="1">IFERROR(__xludf.DUMMYFUNCTION("""COMPUTED_VALUE"""),186)</f>
        <v>186</v>
      </c>
      <c r="E196" s="55">
        <f ca="1">IFERROR(__xludf.DUMMYFUNCTION("""COMPUTED_VALUE"""),26911)</f>
        <v>26911</v>
      </c>
    </row>
    <row r="197" spans="1:5" ht="13.2" x14ac:dyDescent="0.25">
      <c r="A197" s="131">
        <f ca="1">IFERROR(__xludf.DUMMYFUNCTION("""COMPUTED_VALUE"""),44086)</f>
        <v>44086</v>
      </c>
      <c r="B197" s="55">
        <f ca="1">IFERROR(__xludf.DUMMYFUNCTION("""COMPUTED_VALUE"""),47)</f>
        <v>47</v>
      </c>
      <c r="C197" s="55">
        <f ca="1">IFERROR(__xludf.DUMMYFUNCTION("""COMPUTED_VALUE"""),5503)</f>
        <v>5503</v>
      </c>
      <c r="D197" s="55">
        <f ca="1">IFERROR(__xludf.DUMMYFUNCTION("""COMPUTED_VALUE"""),189)</f>
        <v>189</v>
      </c>
      <c r="E197" s="55">
        <f ca="1">IFERROR(__xludf.DUMMYFUNCTION("""COMPUTED_VALUE"""),27100)</f>
        <v>27100</v>
      </c>
    </row>
    <row r="198" spans="1:5" ht="13.2" x14ac:dyDescent="0.25">
      <c r="A198" s="131">
        <f ca="1">IFERROR(__xludf.DUMMYFUNCTION("""COMPUTED_VALUE"""),44087)</f>
        <v>44087</v>
      </c>
      <c r="B198" s="55">
        <f ca="1">IFERROR(__xludf.DUMMYFUNCTION("""COMPUTED_VALUE"""),54)</f>
        <v>54</v>
      </c>
      <c r="C198" s="55">
        <f ca="1">IFERROR(__xludf.DUMMYFUNCTION("""COMPUTED_VALUE"""),5557)</f>
        <v>5557</v>
      </c>
      <c r="D198" s="55">
        <f ca="1">IFERROR(__xludf.DUMMYFUNCTION("""COMPUTED_VALUE"""),158)</f>
        <v>158</v>
      </c>
      <c r="E198" s="55">
        <f ca="1">IFERROR(__xludf.DUMMYFUNCTION("""COMPUTED_VALUE"""),27258)</f>
        <v>27258</v>
      </c>
    </row>
    <row r="199" spans="1:5" ht="13.2" x14ac:dyDescent="0.25">
      <c r="A199" s="131">
        <f ca="1">IFERROR(__xludf.DUMMYFUNCTION("""COMPUTED_VALUE"""),44088)</f>
        <v>44088</v>
      </c>
      <c r="B199" s="55">
        <f ca="1">IFERROR(__xludf.DUMMYFUNCTION("""COMPUTED_VALUE"""),52)</f>
        <v>52</v>
      </c>
      <c r="C199" s="55">
        <f ca="1">IFERROR(__xludf.DUMMYFUNCTION("""COMPUTED_VALUE"""),5609)</f>
        <v>5609</v>
      </c>
      <c r="D199" s="55">
        <f ca="1">IFERROR(__xludf.DUMMYFUNCTION("""COMPUTED_VALUE"""),198)</f>
        <v>198</v>
      </c>
      <c r="E199" s="55">
        <f ca="1">IFERROR(__xludf.DUMMYFUNCTION("""COMPUTED_VALUE"""),27456)</f>
        <v>27456</v>
      </c>
    </row>
    <row r="200" spans="1:5" ht="13.2" x14ac:dyDescent="0.25">
      <c r="A200" s="131">
        <f ca="1">IFERROR(__xludf.DUMMYFUNCTION("""COMPUTED_VALUE"""),44089)</f>
        <v>44089</v>
      </c>
      <c r="B200" s="55">
        <f ca="1">IFERROR(__xludf.DUMMYFUNCTION("""COMPUTED_VALUE"""),64)</f>
        <v>64</v>
      </c>
      <c r="C200" s="55">
        <f ca="1">IFERROR(__xludf.DUMMYFUNCTION("""COMPUTED_VALUE"""),5673)</f>
        <v>5673</v>
      </c>
      <c r="D200" s="55">
        <f ca="1">IFERROR(__xludf.DUMMYFUNCTION("""COMPUTED_VALUE"""),189)</f>
        <v>189</v>
      </c>
      <c r="E200" s="55">
        <f ca="1">IFERROR(__xludf.DUMMYFUNCTION("""COMPUTED_VALUE"""),27645)</f>
        <v>27645</v>
      </c>
    </row>
    <row r="201" spans="1:5" ht="13.2" x14ac:dyDescent="0.25">
      <c r="A201" s="131">
        <f ca="1">IFERROR(__xludf.DUMMYFUNCTION("""COMPUTED_VALUE"""),44090)</f>
        <v>44090</v>
      </c>
      <c r="B201" s="55">
        <f ca="1">IFERROR(__xludf.DUMMYFUNCTION("""COMPUTED_VALUE"""),67)</f>
        <v>67</v>
      </c>
      <c r="C201" s="55">
        <f ca="1">IFERROR(__xludf.DUMMYFUNCTION("""COMPUTED_VALUE"""),5740)</f>
        <v>5740</v>
      </c>
      <c r="D201" s="55">
        <f ca="1">IFERROR(__xludf.DUMMYFUNCTION("""COMPUTED_VALUE"""),161)</f>
        <v>161</v>
      </c>
      <c r="E201" s="55">
        <f ca="1">IFERROR(__xludf.DUMMYFUNCTION("""COMPUTED_VALUE"""),27806)</f>
        <v>27806</v>
      </c>
    </row>
    <row r="202" spans="1:5" ht="13.2" x14ac:dyDescent="0.25">
      <c r="A202" s="131">
        <f ca="1">IFERROR(__xludf.DUMMYFUNCTION("""COMPUTED_VALUE"""),44091)</f>
        <v>44091</v>
      </c>
      <c r="B202" s="55">
        <f ca="1">IFERROR(__xludf.DUMMYFUNCTION("""COMPUTED_VALUE"""),62)</f>
        <v>62</v>
      </c>
      <c r="C202" s="55">
        <f ca="1">IFERROR(__xludf.DUMMYFUNCTION("""COMPUTED_VALUE"""),5802)</f>
        <v>5802</v>
      </c>
      <c r="D202" s="55">
        <f ca="1">IFERROR(__xludf.DUMMYFUNCTION("""COMPUTED_VALUE"""),178)</f>
        <v>178</v>
      </c>
      <c r="E202" s="55">
        <f ca="1">IFERROR(__xludf.DUMMYFUNCTION("""COMPUTED_VALUE"""),27984)</f>
        <v>27984</v>
      </c>
    </row>
    <row r="203" spans="1:5" ht="13.2" x14ac:dyDescent="0.25">
      <c r="A203" s="131">
        <f ca="1">IFERROR(__xludf.DUMMYFUNCTION("""COMPUTED_VALUE"""),44092)</f>
        <v>44092</v>
      </c>
      <c r="B203" s="55">
        <f ca="1">IFERROR(__xludf.DUMMYFUNCTION("""COMPUTED_VALUE"""),65)</f>
        <v>65</v>
      </c>
      <c r="C203" s="55">
        <f ca="1">IFERROR(__xludf.DUMMYFUNCTION("""COMPUTED_VALUE"""),5867)</f>
        <v>5867</v>
      </c>
      <c r="D203" s="55">
        <f ca="1">IFERROR(__xludf.DUMMYFUNCTION("""COMPUTED_VALUE"""),172)</f>
        <v>172</v>
      </c>
      <c r="E203" s="55">
        <f ca="1">IFERROR(__xludf.DUMMYFUNCTION("""COMPUTED_VALUE"""),28156)</f>
        <v>28156</v>
      </c>
    </row>
    <row r="204" spans="1:5" ht="13.2" x14ac:dyDescent="0.25">
      <c r="A204" s="131">
        <f ca="1">IFERROR(__xludf.DUMMYFUNCTION("""COMPUTED_VALUE"""),44093)</f>
        <v>44093</v>
      </c>
      <c r="B204" s="55">
        <f ca="1">IFERROR(__xludf.DUMMYFUNCTION("""COMPUTED_VALUE"""),64)</f>
        <v>64</v>
      </c>
      <c r="C204" s="55">
        <f ca="1">IFERROR(__xludf.DUMMYFUNCTION("""COMPUTED_VALUE"""),5931)</f>
        <v>5931</v>
      </c>
      <c r="D204" s="55">
        <f ca="1">IFERROR(__xludf.DUMMYFUNCTION("""COMPUTED_VALUE"""),205)</f>
        <v>205</v>
      </c>
      <c r="E204" s="55">
        <f ca="1">IFERROR(__xludf.DUMMYFUNCTION("""COMPUTED_VALUE"""),28361)</f>
        <v>28361</v>
      </c>
    </row>
    <row r="205" spans="1:5" ht="13.2" x14ac:dyDescent="0.25">
      <c r="A205" s="131">
        <f ca="1">IFERROR(__xludf.DUMMYFUNCTION("""COMPUTED_VALUE"""),44094)</f>
        <v>44094</v>
      </c>
      <c r="B205" s="55">
        <f ca="1">IFERROR(__xludf.DUMMYFUNCTION("""COMPUTED_VALUE"""),52)</f>
        <v>52</v>
      </c>
      <c r="C205" s="55">
        <f ca="1">IFERROR(__xludf.DUMMYFUNCTION("""COMPUTED_VALUE"""),5983)</f>
        <v>5983</v>
      </c>
      <c r="D205" s="55">
        <f ca="1">IFERROR(__xludf.DUMMYFUNCTION("""COMPUTED_VALUE"""),175)</f>
        <v>175</v>
      </c>
      <c r="E205" s="55">
        <f ca="1">IFERROR(__xludf.DUMMYFUNCTION("""COMPUTED_VALUE"""),28536)</f>
        <v>28536</v>
      </c>
    </row>
    <row r="206" spans="1:5" ht="13.2" x14ac:dyDescent="0.25">
      <c r="A206" s="131">
        <f ca="1">IFERROR(__xludf.DUMMYFUNCTION("""COMPUTED_VALUE"""),44095)</f>
        <v>44095</v>
      </c>
      <c r="B206" s="55">
        <f ca="1">IFERROR(__xludf.DUMMYFUNCTION("""COMPUTED_VALUE"""),53)</f>
        <v>53</v>
      </c>
      <c r="C206" s="55">
        <f ca="1">IFERROR(__xludf.DUMMYFUNCTION("""COMPUTED_VALUE"""),6036)</f>
        <v>6036</v>
      </c>
      <c r="D206" s="55">
        <f ca="1">IFERROR(__xludf.DUMMYFUNCTION("""COMPUTED_VALUE"""),164)</f>
        <v>164</v>
      </c>
      <c r="E206" s="55">
        <f ca="1">IFERROR(__xludf.DUMMYFUNCTION("""COMPUTED_VALUE"""),28700)</f>
        <v>28700</v>
      </c>
    </row>
    <row r="207" spans="1:5" ht="13.2" x14ac:dyDescent="0.25">
      <c r="A207" s="131">
        <f ca="1">IFERROR(__xludf.DUMMYFUNCTION("""COMPUTED_VALUE"""),44096)</f>
        <v>44096</v>
      </c>
      <c r="B207" s="55">
        <f ca="1">IFERROR(__xludf.DUMMYFUNCTION("""COMPUTED_VALUE"""),55)</f>
        <v>55</v>
      </c>
      <c r="C207" s="55">
        <f ca="1">IFERROR(__xludf.DUMMYFUNCTION("""COMPUTED_VALUE"""),6091)</f>
        <v>6091</v>
      </c>
      <c r="D207" s="55">
        <f ca="1">IFERROR(__xludf.DUMMYFUNCTION("""COMPUTED_VALUE"""),133)</f>
        <v>133</v>
      </c>
      <c r="E207" s="55">
        <f ca="1">IFERROR(__xludf.DUMMYFUNCTION("""COMPUTED_VALUE"""),28833)</f>
        <v>28833</v>
      </c>
    </row>
    <row r="208" spans="1:5" ht="13.2" x14ac:dyDescent="0.25">
      <c r="A208" s="131">
        <f ca="1">IFERROR(__xludf.DUMMYFUNCTION("""COMPUTED_VALUE"""),44097)</f>
        <v>44097</v>
      </c>
      <c r="B208" s="55">
        <f ca="1">IFERROR(__xludf.DUMMYFUNCTION("""COMPUTED_VALUE"""),51)</f>
        <v>51</v>
      </c>
      <c r="C208" s="55">
        <f ca="1">IFERROR(__xludf.DUMMYFUNCTION("""COMPUTED_VALUE"""),6142)</f>
        <v>6142</v>
      </c>
      <c r="D208" s="55">
        <f ca="1">IFERROR(__xludf.DUMMYFUNCTION("""COMPUTED_VALUE"""),199)</f>
        <v>199</v>
      </c>
      <c r="E208" s="55">
        <f ca="1">IFERROR(__xludf.DUMMYFUNCTION("""COMPUTED_VALUE"""),29032)</f>
        <v>29032</v>
      </c>
    </row>
    <row r="209" spans="1:5" ht="13.2" x14ac:dyDescent="0.25">
      <c r="A209" s="131">
        <f ca="1">IFERROR(__xludf.DUMMYFUNCTION("""COMPUTED_VALUE"""),44098)</f>
        <v>44098</v>
      </c>
      <c r="B209" s="55">
        <f ca="1">IFERROR(__xludf.DUMMYFUNCTION("""COMPUTED_VALUE"""),66)</f>
        <v>66</v>
      </c>
      <c r="C209" s="55">
        <f ca="1">IFERROR(__xludf.DUMMYFUNCTION("""COMPUTED_VALUE"""),6208)</f>
        <v>6208</v>
      </c>
      <c r="D209" s="55">
        <f ca="1">IFERROR(__xludf.DUMMYFUNCTION("""COMPUTED_VALUE"""),163)</f>
        <v>163</v>
      </c>
      <c r="E209" s="55">
        <f ca="1">IFERROR(__xludf.DUMMYFUNCTION("""COMPUTED_VALUE"""),29195)</f>
        <v>29195</v>
      </c>
    </row>
    <row r="210" spans="1:5" ht="13.2" x14ac:dyDescent="0.25">
      <c r="A210" s="131">
        <f ca="1">IFERROR(__xludf.DUMMYFUNCTION("""COMPUTED_VALUE"""),44099)</f>
        <v>44099</v>
      </c>
      <c r="B210" s="55">
        <f ca="1">IFERROR(__xludf.DUMMYFUNCTION("""COMPUTED_VALUE"""),72)</f>
        <v>72</v>
      </c>
      <c r="C210" s="55">
        <f ca="1">IFERROR(__xludf.DUMMYFUNCTION("""COMPUTED_VALUE"""),6280)</f>
        <v>6280</v>
      </c>
      <c r="D210" s="55">
        <f ca="1">IFERROR(__xludf.DUMMYFUNCTION("""COMPUTED_VALUE"""),192)</f>
        <v>192</v>
      </c>
      <c r="E210" s="55">
        <f ca="1">IFERROR(__xludf.DUMMYFUNCTION("""COMPUTED_VALUE"""),29387)</f>
        <v>29387</v>
      </c>
    </row>
    <row r="211" spans="1:5" ht="13.2" x14ac:dyDescent="0.25">
      <c r="A211" s="131">
        <f ca="1">IFERROR(__xludf.DUMMYFUNCTION("""COMPUTED_VALUE"""),44100)</f>
        <v>44100</v>
      </c>
      <c r="B211" s="55">
        <f ca="1">IFERROR(__xludf.DUMMYFUNCTION("""COMPUTED_VALUE"""),50)</f>
        <v>50</v>
      </c>
      <c r="C211" s="55">
        <f ca="1">IFERROR(__xludf.DUMMYFUNCTION("""COMPUTED_VALUE"""),6330)</f>
        <v>6330</v>
      </c>
      <c r="D211" s="55">
        <f ca="1">IFERROR(__xludf.DUMMYFUNCTION("""COMPUTED_VALUE"""),194)</f>
        <v>194</v>
      </c>
      <c r="E211" s="55">
        <f ca="1">IFERROR(__xludf.DUMMYFUNCTION("""COMPUTED_VALUE"""),29581)</f>
        <v>29581</v>
      </c>
    </row>
    <row r="212" spans="1:5" ht="13.2" x14ac:dyDescent="0.25">
      <c r="A212" s="131">
        <f ca="1">IFERROR(__xludf.DUMMYFUNCTION("""COMPUTED_VALUE"""),44101)</f>
        <v>44101</v>
      </c>
      <c r="B212" s="55">
        <f ca="1">IFERROR(__xludf.DUMMYFUNCTION("""COMPUTED_VALUE"""),59)</f>
        <v>59</v>
      </c>
      <c r="C212" s="55">
        <f ca="1">IFERROR(__xludf.DUMMYFUNCTION("""COMPUTED_VALUE"""),6389)</f>
        <v>6389</v>
      </c>
      <c r="D212" s="55">
        <f ca="1">IFERROR(__xludf.DUMMYFUNCTION("""COMPUTED_VALUE"""),193)</f>
        <v>193</v>
      </c>
      <c r="E212" s="55">
        <f ca="1">IFERROR(__xludf.DUMMYFUNCTION("""COMPUTED_VALUE"""),29774)</f>
        <v>29774</v>
      </c>
    </row>
    <row r="213" spans="1:5" ht="13.2" x14ac:dyDescent="0.25">
      <c r="A213" s="131">
        <f ca="1">IFERROR(__xludf.DUMMYFUNCTION("""COMPUTED_VALUE"""),44102)</f>
        <v>44102</v>
      </c>
      <c r="B213" s="55">
        <f ca="1">IFERROR(__xludf.DUMMYFUNCTION("""COMPUTED_VALUE"""),52)</f>
        <v>52</v>
      </c>
      <c r="C213" s="55">
        <f ca="1">IFERROR(__xludf.DUMMYFUNCTION("""COMPUTED_VALUE"""),6441)</f>
        <v>6441</v>
      </c>
      <c r="D213" s="55">
        <f ca="1">IFERROR(__xludf.DUMMYFUNCTION("""COMPUTED_VALUE"""),143)</f>
        <v>143</v>
      </c>
      <c r="E213" s="55">
        <f ca="1">IFERROR(__xludf.DUMMYFUNCTION("""COMPUTED_VALUE"""),29917)</f>
        <v>29917</v>
      </c>
    </row>
    <row r="214" spans="1:5" ht="13.2" x14ac:dyDescent="0.25">
      <c r="A214" s="131">
        <f ca="1">IFERROR(__xludf.DUMMYFUNCTION("""COMPUTED_VALUE"""),44103)</f>
        <v>44103</v>
      </c>
      <c r="B214" s="55">
        <f ca="1">IFERROR(__xludf.DUMMYFUNCTION("""COMPUTED_VALUE"""),52)</f>
        <v>52</v>
      </c>
      <c r="C214" s="55">
        <f ca="1">IFERROR(__xludf.DUMMYFUNCTION("""COMPUTED_VALUE"""),6493)</f>
        <v>6493</v>
      </c>
      <c r="D214" s="55">
        <f ca="1">IFERROR(__xludf.DUMMYFUNCTION("""COMPUTED_VALUE"""),159)</f>
        <v>159</v>
      </c>
      <c r="E214" s="55">
        <f ca="1">IFERROR(__xludf.DUMMYFUNCTION("""COMPUTED_VALUE"""),30076)</f>
        <v>30076</v>
      </c>
    </row>
    <row r="215" spans="1:5" ht="13.2" x14ac:dyDescent="0.25">
      <c r="A215" s="131">
        <f ca="1">IFERROR(__xludf.DUMMYFUNCTION("""COMPUTED_VALUE"""),44104)</f>
        <v>44104</v>
      </c>
      <c r="B215" s="55">
        <f ca="1">IFERROR(__xludf.DUMMYFUNCTION("""COMPUTED_VALUE"""),41)</f>
        <v>41</v>
      </c>
      <c r="C215" s="55">
        <f ca="1">IFERROR(__xludf.DUMMYFUNCTION("""COMPUTED_VALUE"""),6534)</f>
        <v>6534</v>
      </c>
      <c r="D215" s="55">
        <f ca="1">IFERROR(__xludf.DUMMYFUNCTION("""COMPUTED_VALUE"""),181)</f>
        <v>181</v>
      </c>
      <c r="E215" s="55">
        <f ca="1">IFERROR(__xludf.DUMMYFUNCTION("""COMPUTED_VALUE"""),30257)</f>
        <v>30257</v>
      </c>
    </row>
    <row r="216" spans="1:5" ht="13.2" x14ac:dyDescent="0.25">
      <c r="A216" s="131">
        <f ca="1">IFERROR(__xludf.DUMMYFUNCTION("""COMPUTED_VALUE"""),44105)</f>
        <v>44105</v>
      </c>
      <c r="B216" s="55">
        <f ca="1">IFERROR(__xludf.DUMMYFUNCTION("""COMPUTED_VALUE"""),48)</f>
        <v>48</v>
      </c>
      <c r="C216" s="55">
        <f ca="1">IFERROR(__xludf.DUMMYFUNCTION("""COMPUTED_VALUE"""),6582)</f>
        <v>6582</v>
      </c>
      <c r="D216" s="55">
        <f ca="1">IFERROR(__xludf.DUMMYFUNCTION("""COMPUTED_VALUE"""),180)</f>
        <v>180</v>
      </c>
      <c r="E216" s="55">
        <f ca="1">IFERROR(__xludf.DUMMYFUNCTION("""COMPUTED_VALUE"""),30437)</f>
        <v>30437</v>
      </c>
    </row>
    <row r="217" spans="1:5" ht="13.2" x14ac:dyDescent="0.25">
      <c r="A217" s="131">
        <f ca="1">IFERROR(__xludf.DUMMYFUNCTION("""COMPUTED_VALUE"""),44106)</f>
        <v>44106</v>
      </c>
      <c r="B217" s="55">
        <f ca="1">IFERROR(__xludf.DUMMYFUNCTION("""COMPUTED_VALUE"""),61)</f>
        <v>61</v>
      </c>
      <c r="C217" s="55">
        <f ca="1">IFERROR(__xludf.DUMMYFUNCTION("""COMPUTED_VALUE"""),6643)</f>
        <v>6643</v>
      </c>
      <c r="D217" s="55">
        <f ca="1">IFERROR(__xludf.DUMMYFUNCTION("""COMPUTED_VALUE"""),190)</f>
        <v>190</v>
      </c>
      <c r="E217" s="55">
        <f ca="1">IFERROR(__xludf.DUMMYFUNCTION("""COMPUTED_VALUE"""),30627)</f>
        <v>30627</v>
      </c>
    </row>
    <row r="218" spans="1:5" ht="13.2" x14ac:dyDescent="0.25">
      <c r="A218" s="131">
        <f ca="1">IFERROR(__xludf.DUMMYFUNCTION("""COMPUTED_VALUE"""),44107)</f>
        <v>44107</v>
      </c>
      <c r="B218" s="55">
        <f ca="1">IFERROR(__xludf.DUMMYFUNCTION("""COMPUTED_VALUE"""),41)</f>
        <v>41</v>
      </c>
      <c r="C218" s="55">
        <f ca="1">IFERROR(__xludf.DUMMYFUNCTION("""COMPUTED_VALUE"""),6684)</f>
        <v>6684</v>
      </c>
      <c r="D218" s="55">
        <f ca="1">IFERROR(__xludf.DUMMYFUNCTION("""COMPUTED_VALUE"""),163)</f>
        <v>163</v>
      </c>
      <c r="E218" s="55">
        <f ca="1">IFERROR(__xludf.DUMMYFUNCTION("""COMPUTED_VALUE"""),30790)</f>
        <v>30790</v>
      </c>
    </row>
    <row r="219" spans="1:5" ht="13.2" x14ac:dyDescent="0.25">
      <c r="A219" s="131">
        <f ca="1">IFERROR(__xludf.DUMMYFUNCTION("""COMPUTED_VALUE"""),44108)</f>
        <v>44108</v>
      </c>
      <c r="B219" s="55">
        <f ca="1">IFERROR(__xludf.DUMMYFUNCTION("""COMPUTED_VALUE"""),54)</f>
        <v>54</v>
      </c>
      <c r="C219" s="55">
        <f ca="1">IFERROR(__xludf.DUMMYFUNCTION("""COMPUTED_VALUE"""),6738)</f>
        <v>6738</v>
      </c>
      <c r="D219" s="55">
        <f ca="1">IFERROR(__xludf.DUMMYFUNCTION("""COMPUTED_VALUE"""),178)</f>
        <v>178</v>
      </c>
      <c r="E219" s="55">
        <f ca="1">IFERROR(__xludf.DUMMYFUNCTION("""COMPUTED_VALUE"""),30968)</f>
        <v>30968</v>
      </c>
    </row>
    <row r="220" spans="1:5" ht="13.2" x14ac:dyDescent="0.25">
      <c r="A220" s="131">
        <f ca="1">IFERROR(__xludf.DUMMYFUNCTION("""COMPUTED_VALUE"""),44109)</f>
        <v>44109</v>
      </c>
      <c r="B220" s="55">
        <f ca="1">IFERROR(__xludf.DUMMYFUNCTION("""COMPUTED_VALUE"""),43)</f>
        <v>43</v>
      </c>
      <c r="C220" s="55">
        <f ca="1">IFERROR(__xludf.DUMMYFUNCTION("""COMPUTED_VALUE"""),6781)</f>
        <v>6781</v>
      </c>
      <c r="D220" s="55">
        <f ca="1">IFERROR(__xludf.DUMMYFUNCTION("""COMPUTED_VALUE"""),150)</f>
        <v>150</v>
      </c>
      <c r="E220" s="55">
        <f ca="1">IFERROR(__xludf.DUMMYFUNCTION("""COMPUTED_VALUE"""),31118)</f>
        <v>31118</v>
      </c>
    </row>
    <row r="221" spans="1:5" ht="13.2" x14ac:dyDescent="0.25">
      <c r="A221" s="131">
        <f ca="1">IFERROR(__xludf.DUMMYFUNCTION("""COMPUTED_VALUE"""),44110)</f>
        <v>44110</v>
      </c>
      <c r="B221" s="55">
        <f ca="1">IFERROR(__xludf.DUMMYFUNCTION("""COMPUTED_VALUE"""),41)</f>
        <v>41</v>
      </c>
      <c r="C221" s="55">
        <f ca="1">IFERROR(__xludf.DUMMYFUNCTION("""COMPUTED_VALUE"""),6822)</f>
        <v>6822</v>
      </c>
      <c r="D221" s="55">
        <f ca="1">IFERROR(__xludf.DUMMYFUNCTION("""COMPUTED_VALUE"""),139)</f>
        <v>139</v>
      </c>
      <c r="E221" s="55">
        <f ca="1">IFERROR(__xludf.DUMMYFUNCTION("""COMPUTED_VALUE"""),31257)</f>
        <v>31257</v>
      </c>
    </row>
    <row r="222" spans="1:5" ht="13.2" x14ac:dyDescent="0.25">
      <c r="A222" s="131">
        <f ca="1">IFERROR(__xludf.DUMMYFUNCTION("""COMPUTED_VALUE"""),44111)</f>
        <v>44111</v>
      </c>
      <c r="B222" s="55">
        <f ca="1">IFERROR(__xludf.DUMMYFUNCTION("""COMPUTED_VALUE"""),48)</f>
        <v>48</v>
      </c>
      <c r="C222" s="55">
        <f ca="1">IFERROR(__xludf.DUMMYFUNCTION("""COMPUTED_VALUE"""),6870)</f>
        <v>6870</v>
      </c>
      <c r="D222" s="55">
        <f ca="1">IFERROR(__xludf.DUMMYFUNCTION("""COMPUTED_VALUE"""),152)</f>
        <v>152</v>
      </c>
      <c r="E222" s="55">
        <f ca="1">IFERROR(__xludf.DUMMYFUNCTION("""COMPUTED_VALUE"""),31409)</f>
        <v>31409</v>
      </c>
    </row>
    <row r="223" spans="1:5" ht="13.2" x14ac:dyDescent="0.25">
      <c r="A223" s="131">
        <f ca="1">IFERROR(__xludf.DUMMYFUNCTION("""COMPUTED_VALUE"""),44112)</f>
        <v>44112</v>
      </c>
      <c r="B223" s="55">
        <f ca="1">IFERROR(__xludf.DUMMYFUNCTION("""COMPUTED_VALUE"""),39)</f>
        <v>39</v>
      </c>
      <c r="C223" s="55">
        <f ca="1">IFERROR(__xludf.DUMMYFUNCTION("""COMPUTED_VALUE"""),6909)</f>
        <v>6909</v>
      </c>
      <c r="D223" s="55">
        <f ca="1">IFERROR(__xludf.DUMMYFUNCTION("""COMPUTED_VALUE"""),160)</f>
        <v>160</v>
      </c>
      <c r="E223" s="55">
        <f ca="1">IFERROR(__xludf.DUMMYFUNCTION("""COMPUTED_VALUE"""),31569)</f>
        <v>31569</v>
      </c>
    </row>
    <row r="224" spans="1:5" ht="13.2" x14ac:dyDescent="0.25">
      <c r="A224" s="131">
        <f ca="1">IFERROR(__xludf.DUMMYFUNCTION("""COMPUTED_VALUE"""),44113)</f>
        <v>44113</v>
      </c>
      <c r="B224" s="55">
        <f ca="1">IFERROR(__xludf.DUMMYFUNCTION("""COMPUTED_VALUE"""),42)</f>
        <v>42</v>
      </c>
      <c r="C224" s="55">
        <f ca="1">IFERROR(__xludf.DUMMYFUNCTION("""COMPUTED_VALUE"""),6951)</f>
        <v>6951</v>
      </c>
      <c r="D224" s="55">
        <f ca="1">IFERROR(__xludf.DUMMYFUNCTION("""COMPUTED_VALUE"""),152)</f>
        <v>152</v>
      </c>
      <c r="E224" s="55">
        <f ca="1">IFERROR(__xludf.DUMMYFUNCTION("""COMPUTED_VALUE"""),31721)</f>
        <v>31721</v>
      </c>
    </row>
    <row r="225" spans="1:5" ht="13.2" x14ac:dyDescent="0.25">
      <c r="A225" s="131">
        <f ca="1">IFERROR(__xludf.DUMMYFUNCTION("""COMPUTED_VALUE"""),44114)</f>
        <v>44114</v>
      </c>
      <c r="B225" s="55">
        <f ca="1">IFERROR(__xludf.DUMMYFUNCTION("""COMPUTED_VALUE"""),44)</f>
        <v>44</v>
      </c>
      <c r="C225" s="55">
        <f ca="1">IFERROR(__xludf.DUMMYFUNCTION("""COMPUTED_VALUE"""),6995)</f>
        <v>6995</v>
      </c>
      <c r="D225" s="55">
        <f ca="1">IFERROR(__xludf.DUMMYFUNCTION("""COMPUTED_VALUE"""),154)</f>
        <v>154</v>
      </c>
      <c r="E225" s="55">
        <f ca="1">IFERROR(__xludf.DUMMYFUNCTION("""COMPUTED_VALUE"""),31875)</f>
        <v>31875</v>
      </c>
    </row>
    <row r="226" spans="1:5" ht="13.2" x14ac:dyDescent="0.25">
      <c r="A226" s="131">
        <f ca="1">IFERROR(__xludf.DUMMYFUNCTION("""COMPUTED_VALUE"""),44115)</f>
        <v>44115</v>
      </c>
      <c r="B226" s="55">
        <f ca="1">IFERROR(__xludf.DUMMYFUNCTION("""COMPUTED_VALUE"""),30)</f>
        <v>30</v>
      </c>
      <c r="C226" s="55">
        <f ca="1">IFERROR(__xludf.DUMMYFUNCTION("""COMPUTED_VALUE"""),7025)</f>
        <v>7025</v>
      </c>
      <c r="D226" s="55">
        <f ca="1">IFERROR(__xludf.DUMMYFUNCTION("""COMPUTED_VALUE"""),155)</f>
        <v>155</v>
      </c>
      <c r="E226" s="55">
        <f ca="1">IFERROR(__xludf.DUMMYFUNCTION("""COMPUTED_VALUE"""),32030)</f>
        <v>32030</v>
      </c>
    </row>
    <row r="227" spans="1:5" ht="13.2" x14ac:dyDescent="0.25">
      <c r="A227" s="131">
        <f ca="1">IFERROR(__xludf.DUMMYFUNCTION("""COMPUTED_VALUE"""),44116)</f>
        <v>44116</v>
      </c>
      <c r="B227" s="55">
        <f ca="1">IFERROR(__xludf.DUMMYFUNCTION("""COMPUTED_VALUE"""),50)</f>
        <v>50</v>
      </c>
      <c r="C227" s="55">
        <f ca="1">IFERROR(__xludf.DUMMYFUNCTION("""COMPUTED_VALUE"""),7075)</f>
        <v>7075</v>
      </c>
      <c r="D227" s="55">
        <f ca="1">IFERROR(__xludf.DUMMYFUNCTION("""COMPUTED_VALUE"""),153)</f>
        <v>153</v>
      </c>
      <c r="E227" s="55">
        <f ca="1">IFERROR(__xludf.DUMMYFUNCTION("""COMPUTED_VALUE"""),32183)</f>
        <v>32183</v>
      </c>
    </row>
    <row r="228" spans="1:5" ht="13.2" x14ac:dyDescent="0.25">
      <c r="A228" s="131">
        <f ca="1">IFERROR(__xludf.DUMMYFUNCTION("""COMPUTED_VALUE"""),44117)</f>
        <v>44117</v>
      </c>
      <c r="B228" s="55">
        <f ca="1">IFERROR(__xludf.DUMMYFUNCTION("""COMPUTED_VALUE"""),47)</f>
        <v>47</v>
      </c>
      <c r="C228" s="55">
        <f ca="1">IFERROR(__xludf.DUMMYFUNCTION("""COMPUTED_VALUE"""),7122)</f>
        <v>7122</v>
      </c>
      <c r="D228" s="55">
        <f ca="1">IFERROR(__xludf.DUMMYFUNCTION("""COMPUTED_VALUE"""),143)</f>
        <v>143</v>
      </c>
      <c r="E228" s="55">
        <f ca="1">IFERROR(__xludf.DUMMYFUNCTION("""COMPUTED_VALUE"""),32326)</f>
        <v>32326</v>
      </c>
    </row>
    <row r="229" spans="1:5" ht="13.2" x14ac:dyDescent="0.25">
      <c r="A229" s="131">
        <f ca="1">IFERROR(__xludf.DUMMYFUNCTION("""COMPUTED_VALUE"""),44118)</f>
        <v>44118</v>
      </c>
      <c r="B229" s="55">
        <f ca="1">IFERROR(__xludf.DUMMYFUNCTION("""COMPUTED_VALUE"""),34)</f>
        <v>34</v>
      </c>
      <c r="C229" s="55">
        <f ca="1">IFERROR(__xludf.DUMMYFUNCTION("""COMPUTED_VALUE"""),7156)</f>
        <v>7156</v>
      </c>
      <c r="D229" s="55">
        <f ca="1">IFERROR(__xludf.DUMMYFUNCTION("""COMPUTED_VALUE"""),158)</f>
        <v>158</v>
      </c>
      <c r="E229" s="55">
        <f ca="1">IFERROR(__xludf.DUMMYFUNCTION("""COMPUTED_VALUE"""),32484)</f>
        <v>32484</v>
      </c>
    </row>
    <row r="230" spans="1:5" ht="13.2" x14ac:dyDescent="0.25">
      <c r="A230" s="131">
        <f ca="1">IFERROR(__xludf.DUMMYFUNCTION("""COMPUTED_VALUE"""),44119)</f>
        <v>44119</v>
      </c>
      <c r="B230" s="55">
        <f ca="1">IFERROR(__xludf.DUMMYFUNCTION("""COMPUTED_VALUE"""),46)</f>
        <v>46</v>
      </c>
      <c r="C230" s="55">
        <f ca="1">IFERROR(__xludf.DUMMYFUNCTION("""COMPUTED_VALUE"""),7202)</f>
        <v>7202</v>
      </c>
      <c r="D230" s="55">
        <f ca="1">IFERROR(__xludf.DUMMYFUNCTION("""COMPUTED_VALUE"""),155)</f>
        <v>155</v>
      </c>
      <c r="E230" s="55">
        <f ca="1">IFERROR(__xludf.DUMMYFUNCTION("""COMPUTED_VALUE"""),32639)</f>
        <v>32639</v>
      </c>
    </row>
    <row r="231" spans="1:5" ht="13.2" x14ac:dyDescent="0.25">
      <c r="A231" s="131">
        <f ca="1">IFERROR(__xludf.DUMMYFUNCTION("""COMPUTED_VALUE"""),44120)</f>
        <v>44120</v>
      </c>
      <c r="B231" s="55">
        <f ca="1">IFERROR(__xludf.DUMMYFUNCTION("""COMPUTED_VALUE"""),30)</f>
        <v>30</v>
      </c>
      <c r="C231" s="55">
        <f ca="1">IFERROR(__xludf.DUMMYFUNCTION("""COMPUTED_VALUE"""),7232)</f>
        <v>7232</v>
      </c>
      <c r="D231" s="55">
        <f ca="1">IFERROR(__xludf.DUMMYFUNCTION("""COMPUTED_VALUE"""),147)</f>
        <v>147</v>
      </c>
      <c r="E231" s="55">
        <f ca="1">IFERROR(__xludf.DUMMYFUNCTION("""COMPUTED_VALUE"""),32786)</f>
        <v>32786</v>
      </c>
    </row>
    <row r="232" spans="1:5" ht="13.2" x14ac:dyDescent="0.25">
      <c r="A232" s="131">
        <f ca="1">IFERROR(__xludf.DUMMYFUNCTION("""COMPUTED_VALUE"""),44121)</f>
        <v>44121</v>
      </c>
      <c r="B232" s="55">
        <f ca="1">IFERROR(__xludf.DUMMYFUNCTION("""COMPUTED_VALUE"""),46)</f>
        <v>46</v>
      </c>
      <c r="C232" s="55">
        <f ca="1">IFERROR(__xludf.DUMMYFUNCTION("""COMPUTED_VALUE"""),7278)</f>
        <v>7278</v>
      </c>
      <c r="D232" s="55">
        <f ca="1">IFERROR(__xludf.DUMMYFUNCTION("""COMPUTED_VALUE"""),153)</f>
        <v>153</v>
      </c>
      <c r="E232" s="55">
        <f ca="1">IFERROR(__xludf.DUMMYFUNCTION("""COMPUTED_VALUE"""),32939)</f>
        <v>32939</v>
      </c>
    </row>
    <row r="233" spans="1:5" ht="13.2" x14ac:dyDescent="0.25">
      <c r="A233" s="131">
        <f ca="1">IFERROR(__xludf.DUMMYFUNCTION("""COMPUTED_VALUE"""),44122)</f>
        <v>44122</v>
      </c>
      <c r="B233" s="55">
        <f ca="1">IFERROR(__xludf.DUMMYFUNCTION("""COMPUTED_VALUE"""),35)</f>
        <v>35</v>
      </c>
      <c r="C233" s="55">
        <f ca="1">IFERROR(__xludf.DUMMYFUNCTION("""COMPUTED_VALUE"""),7313)</f>
        <v>7313</v>
      </c>
      <c r="D233" s="55">
        <f ca="1">IFERROR(__xludf.DUMMYFUNCTION("""COMPUTED_VALUE"""),138)</f>
        <v>138</v>
      </c>
      <c r="E233" s="55">
        <f ca="1">IFERROR(__xludf.DUMMYFUNCTION("""COMPUTED_VALUE"""),33077)</f>
        <v>33077</v>
      </c>
    </row>
    <row r="234" spans="1:5" ht="13.2" x14ac:dyDescent="0.25">
      <c r="A234" s="131">
        <f ca="1">IFERROR(__xludf.DUMMYFUNCTION("""COMPUTED_VALUE"""),44123)</f>
        <v>44123</v>
      </c>
      <c r="B234" s="55">
        <f ca="1">IFERROR(__xludf.DUMMYFUNCTION("""COMPUTED_VALUE"""),44)</f>
        <v>44</v>
      </c>
      <c r="C234" s="55">
        <f ca="1">IFERROR(__xludf.DUMMYFUNCTION("""COMPUTED_VALUE"""),7357)</f>
        <v>7357</v>
      </c>
      <c r="D234" s="55">
        <f ca="1">IFERROR(__xludf.DUMMYFUNCTION("""COMPUTED_VALUE"""),163)</f>
        <v>163</v>
      </c>
      <c r="E234" s="55">
        <f ca="1">IFERROR(__xludf.DUMMYFUNCTION("""COMPUTED_VALUE"""),33240)</f>
        <v>33240</v>
      </c>
    </row>
    <row r="235" spans="1:5" ht="13.2" x14ac:dyDescent="0.25">
      <c r="A235" s="131">
        <f ca="1">IFERROR(__xludf.DUMMYFUNCTION("""COMPUTED_VALUE"""),44124)</f>
        <v>44124</v>
      </c>
      <c r="B235" s="55">
        <f ca="1">IFERROR(__xludf.DUMMYFUNCTION("""COMPUTED_VALUE"""),40)</f>
        <v>40</v>
      </c>
      <c r="C235" s="55">
        <f ca="1">IFERROR(__xludf.DUMMYFUNCTION("""COMPUTED_VALUE"""),7397)</f>
        <v>7397</v>
      </c>
      <c r="D235" s="55">
        <f ca="1">IFERROR(__xludf.DUMMYFUNCTION("""COMPUTED_VALUE"""),136)</f>
        <v>136</v>
      </c>
      <c r="E235" s="55">
        <f ca="1">IFERROR(__xludf.DUMMYFUNCTION("""COMPUTED_VALUE"""),33376)</f>
        <v>33376</v>
      </c>
    </row>
    <row r="236" spans="1:5" ht="13.2" x14ac:dyDescent="0.25">
      <c r="A236" s="131">
        <f ca="1">IFERROR(__xludf.DUMMYFUNCTION("""COMPUTED_VALUE"""),44125)</f>
        <v>44125</v>
      </c>
      <c r="B236" s="55">
        <f ca="1">IFERROR(__xludf.DUMMYFUNCTION("""COMPUTED_VALUE"""),42)</f>
        <v>42</v>
      </c>
      <c r="C236" s="55">
        <f ca="1">IFERROR(__xludf.DUMMYFUNCTION("""COMPUTED_VALUE"""),7439)</f>
        <v>7439</v>
      </c>
      <c r="D236" s="55">
        <f ca="1">IFERROR(__xludf.DUMMYFUNCTION("""COMPUTED_VALUE"""),148)</f>
        <v>148</v>
      </c>
      <c r="E236" s="55">
        <f ca="1">IFERROR(__xludf.DUMMYFUNCTION("""COMPUTED_VALUE"""),33524)</f>
        <v>33524</v>
      </c>
    </row>
    <row r="237" spans="1:5" ht="13.2" x14ac:dyDescent="0.25">
      <c r="A237" s="131">
        <f ca="1">IFERROR(__xludf.DUMMYFUNCTION("""COMPUTED_VALUE"""),44126)</f>
        <v>44126</v>
      </c>
      <c r="B237" s="55">
        <f ca="1">IFERROR(__xludf.DUMMYFUNCTION("""COMPUTED_VALUE"""),34)</f>
        <v>34</v>
      </c>
      <c r="C237" s="55">
        <f ca="1">IFERROR(__xludf.DUMMYFUNCTION("""COMPUTED_VALUE"""),7473)</f>
        <v>7473</v>
      </c>
      <c r="D237" s="55">
        <f ca="1">IFERROR(__xludf.DUMMYFUNCTION("""COMPUTED_VALUE"""),118)</f>
        <v>118</v>
      </c>
      <c r="E237" s="55">
        <f ca="1">IFERROR(__xludf.DUMMYFUNCTION("""COMPUTED_VALUE"""),33642)</f>
        <v>33642</v>
      </c>
    </row>
    <row r="238" spans="1:5" ht="13.2" x14ac:dyDescent="0.25">
      <c r="A238" s="131">
        <f ca="1">IFERROR(__xludf.DUMMYFUNCTION("""COMPUTED_VALUE"""),44127)</f>
        <v>44127</v>
      </c>
      <c r="B238" s="55">
        <f ca="1">IFERROR(__xludf.DUMMYFUNCTION("""COMPUTED_VALUE"""),44)</f>
        <v>44</v>
      </c>
      <c r="C238" s="55">
        <f ca="1">IFERROR(__xludf.DUMMYFUNCTION("""COMPUTED_VALUE"""),7517)</f>
        <v>7517</v>
      </c>
      <c r="D238" s="55">
        <f ca="1">IFERROR(__xludf.DUMMYFUNCTION("""COMPUTED_VALUE"""),170)</f>
        <v>170</v>
      </c>
      <c r="E238" s="55">
        <f ca="1">IFERROR(__xludf.DUMMYFUNCTION("""COMPUTED_VALUE"""),33812)</f>
        <v>33812</v>
      </c>
    </row>
    <row r="239" spans="1:5" ht="13.2" x14ac:dyDescent="0.25">
      <c r="A239" s="131">
        <f ca="1">IFERROR(__xludf.DUMMYFUNCTION("""COMPUTED_VALUE"""),44128)</f>
        <v>44128</v>
      </c>
      <c r="B239" s="55">
        <f ca="1">IFERROR(__xludf.DUMMYFUNCTION("""COMPUTED_VALUE"""),28)</f>
        <v>28</v>
      </c>
      <c r="C239" s="55">
        <f ca="1">IFERROR(__xludf.DUMMYFUNCTION("""COMPUTED_VALUE"""),7545)</f>
        <v>7545</v>
      </c>
      <c r="D239" s="55">
        <f ca="1">IFERROR(__xludf.DUMMYFUNCTION("""COMPUTED_VALUE"""),158)</f>
        <v>158</v>
      </c>
      <c r="E239" s="55">
        <f ca="1">IFERROR(__xludf.DUMMYFUNCTION("""COMPUTED_VALUE"""),33970)</f>
        <v>33970</v>
      </c>
    </row>
    <row r="240" spans="1:5" ht="13.2" x14ac:dyDescent="0.25">
      <c r="A240" s="131">
        <f ca="1">IFERROR(__xludf.DUMMYFUNCTION("""COMPUTED_VALUE"""),44129)</f>
        <v>44129</v>
      </c>
      <c r="B240" s="55">
        <f ca="1">IFERROR(__xludf.DUMMYFUNCTION("""COMPUTED_VALUE"""),32)</f>
        <v>32</v>
      </c>
      <c r="C240" s="55">
        <f ca="1">IFERROR(__xludf.DUMMYFUNCTION("""COMPUTED_VALUE"""),7577)</f>
        <v>7577</v>
      </c>
      <c r="D240" s="55">
        <f ca="1">IFERROR(__xludf.DUMMYFUNCTION("""COMPUTED_VALUE"""),153)</f>
        <v>153</v>
      </c>
      <c r="E240" s="55">
        <f ca="1">IFERROR(__xludf.DUMMYFUNCTION("""COMPUTED_VALUE"""),34123)</f>
        <v>34123</v>
      </c>
    </row>
    <row r="241" spans="1:5" ht="13.2" x14ac:dyDescent="0.25">
      <c r="A241" s="131">
        <f ca="1">IFERROR(__xludf.DUMMYFUNCTION("""COMPUTED_VALUE"""),44130)</f>
        <v>44130</v>
      </c>
      <c r="B241" s="55">
        <f ca="1">IFERROR(__xludf.DUMMYFUNCTION("""COMPUTED_VALUE"""),37)</f>
        <v>37</v>
      </c>
      <c r="C241" s="55">
        <f ca="1">IFERROR(__xludf.DUMMYFUNCTION("""COMPUTED_VALUE"""),7614)</f>
        <v>7614</v>
      </c>
      <c r="D241" s="55">
        <f ca="1">IFERROR(__xludf.DUMMYFUNCTION("""COMPUTED_VALUE"""),146)</f>
        <v>146</v>
      </c>
      <c r="E241" s="55">
        <f ca="1">IFERROR(__xludf.DUMMYFUNCTION("""COMPUTED_VALUE"""),34269)</f>
        <v>34269</v>
      </c>
    </row>
    <row r="242" spans="1:5" ht="13.2" x14ac:dyDescent="0.25">
      <c r="A242" s="131">
        <f ca="1">IFERROR(__xludf.DUMMYFUNCTION("""COMPUTED_VALUE"""),44131)</f>
        <v>44131</v>
      </c>
      <c r="B242" s="55">
        <f ca="1">IFERROR(__xludf.DUMMYFUNCTION("""COMPUTED_VALUE"""),39)</f>
        <v>39</v>
      </c>
      <c r="C242" s="55">
        <f ca="1">IFERROR(__xludf.DUMMYFUNCTION("""COMPUTED_VALUE"""),7653)</f>
        <v>7653</v>
      </c>
      <c r="D242" s="55">
        <f ca="1">IFERROR(__xludf.DUMMYFUNCTION("""COMPUTED_VALUE"""),145)</f>
        <v>145</v>
      </c>
      <c r="E242" s="55">
        <f ca="1">IFERROR(__xludf.DUMMYFUNCTION("""COMPUTED_VALUE"""),34414)</f>
        <v>34414</v>
      </c>
    </row>
    <row r="243" spans="1:5" ht="13.2" x14ac:dyDescent="0.25">
      <c r="A243" s="131">
        <f ca="1">IFERROR(__xludf.DUMMYFUNCTION("""COMPUTED_VALUE"""),44132)</f>
        <v>44132</v>
      </c>
      <c r="B243" s="55">
        <f ca="1">IFERROR(__xludf.DUMMYFUNCTION("""COMPUTED_VALUE"""),40)</f>
        <v>40</v>
      </c>
      <c r="C243" s="55">
        <f ca="1">IFERROR(__xludf.DUMMYFUNCTION("""COMPUTED_VALUE"""),7693)</f>
        <v>7693</v>
      </c>
      <c r="D243" s="55">
        <f ca="1">IFERROR(__xludf.DUMMYFUNCTION("""COMPUTED_VALUE"""),124)</f>
        <v>124</v>
      </c>
      <c r="E243" s="55">
        <f ca="1">IFERROR(__xludf.DUMMYFUNCTION("""COMPUTED_VALUE"""),34538)</f>
        <v>34538</v>
      </c>
    </row>
    <row r="244" spans="1:5" ht="13.2" x14ac:dyDescent="0.25">
      <c r="A244" s="131">
        <f ca="1">IFERROR(__xludf.DUMMYFUNCTION("""COMPUTED_VALUE"""),44133)</f>
        <v>44133</v>
      </c>
      <c r="B244" s="55">
        <f ca="1">IFERROR(__xludf.DUMMYFUNCTION("""COMPUTED_VALUE"""),31)</f>
        <v>31</v>
      </c>
      <c r="C244" s="55">
        <f ca="1">IFERROR(__xludf.DUMMYFUNCTION("""COMPUTED_VALUE"""),7724)</f>
        <v>7724</v>
      </c>
      <c r="D244" s="55">
        <f ca="1">IFERROR(__xludf.DUMMYFUNCTION("""COMPUTED_VALUE"""),140)</f>
        <v>140</v>
      </c>
      <c r="E244" s="55">
        <f ca="1">IFERROR(__xludf.DUMMYFUNCTION("""COMPUTED_VALUE"""),34678)</f>
        <v>34678</v>
      </c>
    </row>
    <row r="245" spans="1:5" ht="13.2" x14ac:dyDescent="0.25">
      <c r="A245" s="131">
        <f ca="1">IFERROR(__xludf.DUMMYFUNCTION("""COMPUTED_VALUE"""),44134)</f>
        <v>44134</v>
      </c>
      <c r="B245" s="55">
        <f ca="1">IFERROR(__xludf.DUMMYFUNCTION("""COMPUTED_VALUE"""),33)</f>
        <v>33</v>
      </c>
      <c r="C245" s="55">
        <f ca="1">IFERROR(__xludf.DUMMYFUNCTION("""COMPUTED_VALUE"""),7757)</f>
        <v>7757</v>
      </c>
      <c r="D245" s="55">
        <f ca="1">IFERROR(__xludf.DUMMYFUNCTION("""COMPUTED_VALUE"""),150)</f>
        <v>150</v>
      </c>
      <c r="E245" s="55">
        <f ca="1">IFERROR(__xludf.DUMMYFUNCTION("""COMPUTED_VALUE"""),34828)</f>
        <v>34828</v>
      </c>
    </row>
    <row r="246" spans="1:5" ht="13.2" x14ac:dyDescent="0.25">
      <c r="A246" s="131">
        <f ca="1">IFERROR(__xludf.DUMMYFUNCTION("""COMPUTED_VALUE"""),44135)</f>
        <v>44135</v>
      </c>
      <c r="B246" s="55">
        <f ca="1">IFERROR(__xludf.DUMMYFUNCTION("""COMPUTED_VALUE"""),38)</f>
        <v>38</v>
      </c>
      <c r="C246" s="55">
        <f ca="1">IFERROR(__xludf.DUMMYFUNCTION("""COMPUTED_VALUE"""),7795)</f>
        <v>7795</v>
      </c>
      <c r="D246" s="55">
        <f ca="1">IFERROR(__xludf.DUMMYFUNCTION("""COMPUTED_VALUE"""),141)</f>
        <v>141</v>
      </c>
      <c r="E246" s="55">
        <f ca="1">IFERROR(__xludf.DUMMYFUNCTION("""COMPUTED_VALUE"""),34969)</f>
        <v>34969</v>
      </c>
    </row>
    <row r="247" spans="1:5" ht="13.2" x14ac:dyDescent="0.25">
      <c r="A247" s="131">
        <f ca="1">IFERROR(__xludf.DUMMYFUNCTION("""COMPUTED_VALUE"""),44136)</f>
        <v>44136</v>
      </c>
      <c r="B247" s="55">
        <f ca="1">IFERROR(__xludf.DUMMYFUNCTION("""COMPUTED_VALUE"""),28)</f>
        <v>28</v>
      </c>
      <c r="C247" s="55">
        <f ca="1">IFERROR(__xludf.DUMMYFUNCTION("""COMPUTED_VALUE"""),7823)</f>
        <v>7823</v>
      </c>
      <c r="D247" s="55">
        <f ca="1">IFERROR(__xludf.DUMMYFUNCTION("""COMPUTED_VALUE"""),130)</f>
        <v>130</v>
      </c>
      <c r="E247" s="55">
        <f ca="1">IFERROR(__xludf.DUMMYFUNCTION("""COMPUTED_VALUE"""),35099)</f>
        <v>35099</v>
      </c>
    </row>
    <row r="248" spans="1:5" ht="13.2" x14ac:dyDescent="0.25">
      <c r="A248" s="131">
        <f ca="1">IFERROR(__xludf.DUMMYFUNCTION("""COMPUTED_VALUE"""),44137)</f>
        <v>44137</v>
      </c>
      <c r="B248" s="55">
        <f ca="1">IFERROR(__xludf.DUMMYFUNCTION("""COMPUTED_VALUE"""),29)</f>
        <v>29</v>
      </c>
      <c r="C248" s="55">
        <f ca="1">IFERROR(__xludf.DUMMYFUNCTION("""COMPUTED_VALUE"""),7852)</f>
        <v>7852</v>
      </c>
      <c r="D248" s="55">
        <f ca="1">IFERROR(__xludf.DUMMYFUNCTION("""COMPUTED_VALUE"""),127)</f>
        <v>127</v>
      </c>
      <c r="E248" s="55">
        <f ca="1">IFERROR(__xludf.DUMMYFUNCTION("""COMPUTED_VALUE"""),35226)</f>
        <v>35226</v>
      </c>
    </row>
    <row r="249" spans="1:5" ht="13.2" x14ac:dyDescent="0.25">
      <c r="A249" s="131">
        <f ca="1">IFERROR(__xludf.DUMMYFUNCTION("""COMPUTED_VALUE"""),44138)</f>
        <v>44138</v>
      </c>
      <c r="B249" s="55">
        <f ca="1">IFERROR(__xludf.DUMMYFUNCTION("""COMPUTED_VALUE"""),40)</f>
        <v>40</v>
      </c>
      <c r="C249" s="55">
        <f ca="1">IFERROR(__xludf.DUMMYFUNCTION("""COMPUTED_VALUE"""),7892)</f>
        <v>7892</v>
      </c>
      <c r="D249" s="55">
        <f ca="1">IFERROR(__xludf.DUMMYFUNCTION("""COMPUTED_VALUE"""),158)</f>
        <v>158</v>
      </c>
      <c r="E249" s="55">
        <f ca="1">IFERROR(__xludf.DUMMYFUNCTION("""COMPUTED_VALUE"""),35384)</f>
        <v>35384</v>
      </c>
    </row>
    <row r="250" spans="1:5" ht="13.2" x14ac:dyDescent="0.25">
      <c r="A250" s="131">
        <f ca="1">IFERROR(__xludf.DUMMYFUNCTION("""COMPUTED_VALUE"""),44139)</f>
        <v>44139</v>
      </c>
      <c r="B250" s="55">
        <f ca="1">IFERROR(__xludf.DUMMYFUNCTION("""COMPUTED_VALUE"""),23)</f>
        <v>23</v>
      </c>
      <c r="C250" s="55">
        <f ca="1">IFERROR(__xludf.DUMMYFUNCTION("""COMPUTED_VALUE"""),7915)</f>
        <v>7915</v>
      </c>
      <c r="D250" s="55">
        <f ca="1">IFERROR(__xludf.DUMMYFUNCTION("""COMPUTED_VALUE"""),153)</f>
        <v>153</v>
      </c>
      <c r="E250" s="55">
        <f ca="1">IFERROR(__xludf.DUMMYFUNCTION("""COMPUTED_VALUE"""),35537)</f>
        <v>35537</v>
      </c>
    </row>
    <row r="251" spans="1:5" ht="13.2" x14ac:dyDescent="0.25">
      <c r="A251" s="131">
        <f ca="1">IFERROR(__xludf.DUMMYFUNCTION("""COMPUTED_VALUE"""),44140)</f>
        <v>44140</v>
      </c>
      <c r="B251" s="55">
        <f ca="1">IFERROR(__xludf.DUMMYFUNCTION("""COMPUTED_VALUE"""),36)</f>
        <v>36</v>
      </c>
      <c r="C251" s="55">
        <f ca="1">IFERROR(__xludf.DUMMYFUNCTION("""COMPUTED_VALUE"""),7951)</f>
        <v>7951</v>
      </c>
      <c r="D251" s="55">
        <f ca="1">IFERROR(__xludf.DUMMYFUNCTION("""COMPUTED_VALUE"""),135)</f>
        <v>135</v>
      </c>
      <c r="E251" s="55">
        <f ca="1">IFERROR(__xludf.DUMMYFUNCTION("""COMPUTED_VALUE"""),35672)</f>
        <v>35672</v>
      </c>
    </row>
    <row r="252" spans="1:5" ht="13.2" x14ac:dyDescent="0.25">
      <c r="A252" s="131">
        <f ca="1">IFERROR(__xludf.DUMMYFUNCTION("""COMPUTED_VALUE"""),44141)</f>
        <v>44141</v>
      </c>
      <c r="B252" s="55">
        <f ca="1">IFERROR(__xludf.DUMMYFUNCTION("""COMPUTED_VALUE"""),36)</f>
        <v>36</v>
      </c>
      <c r="C252" s="55">
        <f ca="1">IFERROR(__xludf.DUMMYFUNCTION("""COMPUTED_VALUE"""),7987)</f>
        <v>7987</v>
      </c>
      <c r="D252" s="55">
        <f ca="1">IFERROR(__xludf.DUMMYFUNCTION("""COMPUTED_VALUE"""),173)</f>
        <v>173</v>
      </c>
      <c r="E252" s="55">
        <f ca="1">IFERROR(__xludf.DUMMYFUNCTION("""COMPUTED_VALUE"""),35845)</f>
        <v>35845</v>
      </c>
    </row>
    <row r="253" spans="1:5" ht="13.2" x14ac:dyDescent="0.25">
      <c r="A253" s="131">
        <f ca="1">IFERROR(__xludf.DUMMYFUNCTION("""COMPUTED_VALUE"""),44142)</f>
        <v>44142</v>
      </c>
      <c r="B253" s="55">
        <f ca="1">IFERROR(__xludf.DUMMYFUNCTION("""COMPUTED_VALUE"""),32)</f>
        <v>32</v>
      </c>
      <c r="C253" s="55">
        <f ca="1">IFERROR(__xludf.DUMMYFUNCTION("""COMPUTED_VALUE"""),8019)</f>
        <v>8019</v>
      </c>
      <c r="D253" s="55">
        <f ca="1">IFERROR(__xludf.DUMMYFUNCTION("""COMPUTED_VALUE"""),132)</f>
        <v>132</v>
      </c>
      <c r="E253" s="55">
        <f ca="1">IFERROR(__xludf.DUMMYFUNCTION("""COMPUTED_VALUE"""),35977)</f>
        <v>35977</v>
      </c>
    </row>
    <row r="254" spans="1:5" ht="13.2" x14ac:dyDescent="0.25">
      <c r="A254" s="131">
        <f ca="1">IFERROR(__xludf.DUMMYFUNCTION("""COMPUTED_VALUE"""),44143)</f>
        <v>44143</v>
      </c>
      <c r="B254" s="55">
        <f ca="1">IFERROR(__xludf.DUMMYFUNCTION("""COMPUTED_VALUE"""),33)</f>
        <v>33</v>
      </c>
      <c r="C254" s="55">
        <f ca="1">IFERROR(__xludf.DUMMYFUNCTION("""COMPUTED_VALUE"""),8052)</f>
        <v>8052</v>
      </c>
      <c r="D254" s="55">
        <f ca="1">IFERROR(__xludf.DUMMYFUNCTION("""COMPUTED_VALUE"""),131)</f>
        <v>131</v>
      </c>
      <c r="E254" s="55">
        <f ca="1">IFERROR(__xludf.DUMMYFUNCTION("""COMPUTED_VALUE"""),36108)</f>
        <v>36108</v>
      </c>
    </row>
    <row r="255" spans="1:5" ht="13.2" x14ac:dyDescent="0.25">
      <c r="A255" s="131">
        <f ca="1">IFERROR(__xludf.DUMMYFUNCTION("""COMPUTED_VALUE"""),44144)</f>
        <v>44144</v>
      </c>
      <c r="B255" s="55">
        <f ca="1">IFERROR(__xludf.DUMMYFUNCTION("""COMPUTED_VALUE"""),32)</f>
        <v>32</v>
      </c>
      <c r="C255" s="55">
        <f ca="1">IFERROR(__xludf.DUMMYFUNCTION("""COMPUTED_VALUE"""),8084)</f>
        <v>8084</v>
      </c>
      <c r="D255" s="55">
        <f ca="1">IFERROR(__xludf.DUMMYFUNCTION("""COMPUTED_VALUE"""),143)</f>
        <v>143</v>
      </c>
      <c r="E255" s="55">
        <f ca="1">IFERROR(__xludf.DUMMYFUNCTION("""COMPUTED_VALUE"""),36251)</f>
        <v>36251</v>
      </c>
    </row>
    <row r="256" spans="1:5" ht="13.2" x14ac:dyDescent="0.25">
      <c r="A256" s="131">
        <f ca="1">IFERROR(__xludf.DUMMYFUNCTION("""COMPUTED_VALUE"""),44145)</f>
        <v>44145</v>
      </c>
      <c r="B256" s="55">
        <f ca="1">IFERROR(__xludf.DUMMYFUNCTION("""COMPUTED_VALUE"""),37)</f>
        <v>37</v>
      </c>
      <c r="C256" s="55">
        <f ca="1">IFERROR(__xludf.DUMMYFUNCTION("""COMPUTED_VALUE"""),8121)</f>
        <v>8121</v>
      </c>
      <c r="D256" s="55">
        <f ca="1">IFERROR(__xludf.DUMMYFUNCTION("""COMPUTED_VALUE"""),182)</f>
        <v>182</v>
      </c>
      <c r="E256" s="55">
        <f ca="1">IFERROR(__xludf.DUMMYFUNCTION("""COMPUTED_VALUE"""),36433)</f>
        <v>36433</v>
      </c>
    </row>
    <row r="257" spans="1:5" ht="13.2" x14ac:dyDescent="0.25">
      <c r="A257" s="131">
        <f ca="1">IFERROR(__xludf.DUMMYFUNCTION("""COMPUTED_VALUE"""),44146)</f>
        <v>44146</v>
      </c>
      <c r="B257" s="55">
        <f ca="1">IFERROR(__xludf.DUMMYFUNCTION("""COMPUTED_VALUE"""),41)</f>
        <v>41</v>
      </c>
      <c r="C257" s="55">
        <f ca="1">IFERROR(__xludf.DUMMYFUNCTION("""COMPUTED_VALUE"""),8162)</f>
        <v>8162</v>
      </c>
      <c r="D257" s="55">
        <f ca="1">IFERROR(__xludf.DUMMYFUNCTION("""COMPUTED_VALUE"""),166)</f>
        <v>166</v>
      </c>
      <c r="E257" s="55">
        <f ca="1">IFERROR(__xludf.DUMMYFUNCTION("""COMPUTED_VALUE"""),36599)</f>
        <v>36599</v>
      </c>
    </row>
    <row r="258" spans="1:5" ht="13.2" x14ac:dyDescent="0.25">
      <c r="A258" s="131">
        <f ca="1">IFERROR(__xludf.DUMMYFUNCTION("""COMPUTED_VALUE"""),44147)</f>
        <v>44147</v>
      </c>
      <c r="B258" s="55">
        <f ca="1">IFERROR(__xludf.DUMMYFUNCTION("""COMPUTED_VALUE"""),53)</f>
        <v>53</v>
      </c>
      <c r="C258" s="55">
        <f ca="1">IFERROR(__xludf.DUMMYFUNCTION("""COMPUTED_VALUE"""),8215)</f>
        <v>8215</v>
      </c>
      <c r="D258" s="55">
        <f ca="1">IFERROR(__xludf.DUMMYFUNCTION("""COMPUTED_VALUE"""),157)</f>
        <v>157</v>
      </c>
      <c r="E258" s="55">
        <f ca="1">IFERROR(__xludf.DUMMYFUNCTION("""COMPUTED_VALUE"""),36756)</f>
        <v>36756</v>
      </c>
    </row>
    <row r="259" spans="1:5" ht="13.2" x14ac:dyDescent="0.25">
      <c r="A259" s="131">
        <f ca="1">IFERROR(__xludf.DUMMYFUNCTION("""COMPUTED_VALUE"""),44148)</f>
        <v>44148</v>
      </c>
      <c r="B259" s="55">
        <f ca="1">IFERROR(__xludf.DUMMYFUNCTION("""COMPUTED_VALUE"""),36)</f>
        <v>36</v>
      </c>
      <c r="C259" s="55">
        <f ca="1">IFERROR(__xludf.DUMMYFUNCTION("""COMPUTED_VALUE"""),8251)</f>
        <v>8251</v>
      </c>
      <c r="D259" s="55">
        <f ca="1">IFERROR(__xludf.DUMMYFUNCTION("""COMPUTED_VALUE"""),177)</f>
        <v>177</v>
      </c>
      <c r="E259" s="55">
        <f ca="1">IFERROR(__xludf.DUMMYFUNCTION("""COMPUTED_VALUE"""),36933)</f>
        <v>36933</v>
      </c>
    </row>
    <row r="260" spans="1:5" ht="13.2" x14ac:dyDescent="0.25">
      <c r="A260" s="131">
        <f ca="1">IFERROR(__xludf.DUMMYFUNCTION("""COMPUTED_VALUE"""),44149)</f>
        <v>44149</v>
      </c>
      <c r="B260" s="55">
        <f ca="1">IFERROR(__xludf.DUMMYFUNCTION("""COMPUTED_VALUE"""),37)</f>
        <v>37</v>
      </c>
      <c r="C260" s="55">
        <f ca="1">IFERROR(__xludf.DUMMYFUNCTION("""COMPUTED_VALUE"""),8288)</f>
        <v>8288</v>
      </c>
      <c r="D260" s="55">
        <f ca="1">IFERROR(__xludf.DUMMYFUNCTION("""COMPUTED_VALUE"""),170)</f>
        <v>170</v>
      </c>
      <c r="E260" s="55">
        <f ca="1">IFERROR(__xludf.DUMMYFUNCTION("""COMPUTED_VALUE"""),37103)</f>
        <v>37103</v>
      </c>
    </row>
    <row r="261" spans="1:5" ht="13.2" x14ac:dyDescent="0.25">
      <c r="A261" s="131">
        <f ca="1">IFERROR(__xludf.DUMMYFUNCTION("""COMPUTED_VALUE"""),44150)</f>
        <v>44150</v>
      </c>
      <c r="B261" s="55">
        <f ca="1">IFERROR(__xludf.DUMMYFUNCTION("""COMPUTED_VALUE"""),34)</f>
        <v>34</v>
      </c>
      <c r="C261" s="55">
        <f ca="1">IFERROR(__xludf.DUMMYFUNCTION("""COMPUTED_VALUE"""),8322)</f>
        <v>8322</v>
      </c>
      <c r="D261" s="55">
        <f ca="1">IFERROR(__xludf.DUMMYFUNCTION("""COMPUTED_VALUE"""),168)</f>
        <v>168</v>
      </c>
      <c r="E261" s="55">
        <f ca="1">IFERROR(__xludf.DUMMYFUNCTION("""COMPUTED_VALUE"""),37271)</f>
        <v>37271</v>
      </c>
    </row>
    <row r="262" spans="1:5" ht="13.2" x14ac:dyDescent="0.25">
      <c r="A262" s="131">
        <f ca="1">IFERROR(__xludf.DUMMYFUNCTION("""COMPUTED_VALUE"""),44151)</f>
        <v>44151</v>
      </c>
      <c r="B262" s="55">
        <f ca="1">IFERROR(__xludf.DUMMYFUNCTION("""COMPUTED_VALUE"""),37)</f>
        <v>37</v>
      </c>
      <c r="C262" s="55">
        <f ca="1">IFERROR(__xludf.DUMMYFUNCTION("""COMPUTED_VALUE"""),8359)</f>
        <v>8359</v>
      </c>
      <c r="D262" s="55">
        <f ca="1">IFERROR(__xludf.DUMMYFUNCTION("""COMPUTED_VALUE"""),156)</f>
        <v>156</v>
      </c>
      <c r="E262" s="55">
        <f ca="1">IFERROR(__xludf.DUMMYFUNCTION("""COMPUTED_VALUE"""),37427)</f>
        <v>37427</v>
      </c>
    </row>
    <row r="263" spans="1:5" ht="13.2" x14ac:dyDescent="0.25">
      <c r="A263" s="131">
        <f ca="1">IFERROR(__xludf.DUMMYFUNCTION("""COMPUTED_VALUE"""),44152)</f>
        <v>44152</v>
      </c>
      <c r="B263" s="55">
        <f ca="1">IFERROR(__xludf.DUMMYFUNCTION("""COMPUTED_VALUE"""),44)</f>
        <v>44</v>
      </c>
      <c r="C263" s="55">
        <f ca="1">IFERROR(__xludf.DUMMYFUNCTION("""COMPUTED_VALUE"""),8403)</f>
        <v>8403</v>
      </c>
      <c r="D263" s="55">
        <f ca="1">IFERROR(__xludf.DUMMYFUNCTION("""COMPUTED_VALUE"""),176)</f>
        <v>176</v>
      </c>
      <c r="E263" s="55">
        <f ca="1">IFERROR(__xludf.DUMMYFUNCTION("""COMPUTED_VALUE"""),37603)</f>
        <v>37603</v>
      </c>
    </row>
    <row r="264" spans="1:5" ht="13.2" x14ac:dyDescent="0.25">
      <c r="A264" s="131">
        <f ca="1">IFERROR(__xludf.DUMMYFUNCTION("""COMPUTED_VALUE"""),44153)</f>
        <v>44153</v>
      </c>
      <c r="B264" s="55">
        <f ca="1">IFERROR(__xludf.DUMMYFUNCTION("""COMPUTED_VALUE"""),52)</f>
        <v>52</v>
      </c>
      <c r="C264" s="55">
        <f ca="1">IFERROR(__xludf.DUMMYFUNCTION("""COMPUTED_VALUE"""),8455)</f>
        <v>8455</v>
      </c>
      <c r="D264" s="55">
        <f ca="1">IFERROR(__xludf.DUMMYFUNCTION("""COMPUTED_VALUE"""),172)</f>
        <v>172</v>
      </c>
      <c r="E264" s="55">
        <f ca="1">IFERROR(__xludf.DUMMYFUNCTION("""COMPUTED_VALUE"""),37775)</f>
        <v>37775</v>
      </c>
    </row>
    <row r="265" spans="1:5" ht="13.2" x14ac:dyDescent="0.25">
      <c r="A265" s="131">
        <f ca="1">IFERROR(__xludf.DUMMYFUNCTION("""COMPUTED_VALUE"""),44154)</f>
        <v>44154</v>
      </c>
      <c r="B265" s="55">
        <f ca="1">IFERROR(__xludf.DUMMYFUNCTION("""COMPUTED_VALUE"""),43)</f>
        <v>43</v>
      </c>
      <c r="C265" s="55">
        <f ca="1">IFERROR(__xludf.DUMMYFUNCTION("""COMPUTED_VALUE"""),8498)</f>
        <v>8498</v>
      </c>
      <c r="D265" s="55">
        <f ca="1">IFERROR(__xludf.DUMMYFUNCTION("""COMPUTED_VALUE"""),169)</f>
        <v>169</v>
      </c>
      <c r="E265" s="55">
        <f ca="1">IFERROR(__xludf.DUMMYFUNCTION("""COMPUTED_VALUE"""),37944)</f>
        <v>37944</v>
      </c>
    </row>
    <row r="266" spans="1:5" ht="13.2" x14ac:dyDescent="0.25">
      <c r="A266" s="131">
        <f ca="1">IFERROR(__xludf.DUMMYFUNCTION("""COMPUTED_VALUE"""),44155)</f>
        <v>44155</v>
      </c>
      <c r="B266" s="55">
        <f ca="1">IFERROR(__xludf.DUMMYFUNCTION("""COMPUTED_VALUE"""),44)</f>
        <v>44</v>
      </c>
      <c r="C266" s="55">
        <f ca="1">IFERROR(__xludf.DUMMYFUNCTION("""COMPUTED_VALUE"""),8542)</f>
        <v>8542</v>
      </c>
      <c r="D266" s="55">
        <f ca="1">IFERROR(__xludf.DUMMYFUNCTION("""COMPUTED_VALUE"""),167)</f>
        <v>167</v>
      </c>
      <c r="E266" s="55">
        <f ca="1">IFERROR(__xludf.DUMMYFUNCTION("""COMPUTED_VALUE"""),38111)</f>
        <v>38111</v>
      </c>
    </row>
    <row r="267" spans="1:5" ht="13.2" x14ac:dyDescent="0.25">
      <c r="A267" s="131">
        <f ca="1">IFERROR(__xludf.DUMMYFUNCTION("""COMPUTED_VALUE"""),44156)</f>
        <v>44156</v>
      </c>
      <c r="B267" s="55">
        <f ca="1">IFERROR(__xludf.DUMMYFUNCTION("""COMPUTED_VALUE"""),42)</f>
        <v>42</v>
      </c>
      <c r="C267" s="55">
        <f ca="1">IFERROR(__xludf.DUMMYFUNCTION("""COMPUTED_VALUE"""),8584)</f>
        <v>8584</v>
      </c>
      <c r="D267" s="55">
        <f ca="1">IFERROR(__xludf.DUMMYFUNCTION("""COMPUTED_VALUE"""),165)</f>
        <v>165</v>
      </c>
      <c r="E267" s="55">
        <f ca="1">IFERROR(__xludf.DUMMYFUNCTION("""COMPUTED_VALUE"""),38276)</f>
        <v>38276</v>
      </c>
    </row>
    <row r="268" spans="1:5" ht="13.2" x14ac:dyDescent="0.25">
      <c r="A268" s="131">
        <f ca="1">IFERROR(__xludf.DUMMYFUNCTION("""COMPUTED_VALUE"""),44157)</f>
        <v>44157</v>
      </c>
      <c r="B268" s="55">
        <f ca="1">IFERROR(__xludf.DUMMYFUNCTION("""COMPUTED_VALUE"""),30)</f>
        <v>30</v>
      </c>
      <c r="C268" s="55">
        <f ca="1">IFERROR(__xludf.DUMMYFUNCTION("""COMPUTED_VALUE"""),8614)</f>
        <v>8614</v>
      </c>
      <c r="D268" s="55">
        <f ca="1">IFERROR(__xludf.DUMMYFUNCTION("""COMPUTED_VALUE"""),148)</f>
        <v>148</v>
      </c>
      <c r="E268" s="55">
        <f ca="1">IFERROR(__xludf.DUMMYFUNCTION("""COMPUTED_VALUE"""),38424)</f>
        <v>38424</v>
      </c>
    </row>
    <row r="269" spans="1:5" ht="13.2" x14ac:dyDescent="0.25">
      <c r="A269" s="131">
        <f ca="1">IFERROR(__xludf.DUMMYFUNCTION("""COMPUTED_VALUE"""),44158)</f>
        <v>44158</v>
      </c>
      <c r="B269" s="55">
        <f ca="1">IFERROR(__xludf.DUMMYFUNCTION("""COMPUTED_VALUE"""),38)</f>
        <v>38</v>
      </c>
      <c r="C269" s="55">
        <f ca="1">IFERROR(__xludf.DUMMYFUNCTION("""COMPUTED_VALUE"""),8652)</f>
        <v>8652</v>
      </c>
      <c r="D269" s="55">
        <f ca="1">IFERROR(__xludf.DUMMYFUNCTION("""COMPUTED_VALUE"""),142)</f>
        <v>142</v>
      </c>
      <c r="E269" s="55">
        <f ca="1">IFERROR(__xludf.DUMMYFUNCTION("""COMPUTED_VALUE"""),38566)</f>
        <v>38566</v>
      </c>
    </row>
    <row r="270" spans="1:5" ht="13.2" x14ac:dyDescent="0.25">
      <c r="A270" s="131">
        <f ca="1">IFERROR(__xludf.DUMMYFUNCTION("""COMPUTED_VALUE"""),44159)</f>
        <v>44159</v>
      </c>
      <c r="B270" s="55">
        <f ca="1">IFERROR(__xludf.DUMMYFUNCTION("""COMPUTED_VALUE"""),46)</f>
        <v>46</v>
      </c>
      <c r="C270" s="55">
        <f ca="1">IFERROR(__xludf.DUMMYFUNCTION("""COMPUTED_VALUE"""),8698)</f>
        <v>8698</v>
      </c>
      <c r="D270" s="55">
        <f ca="1">IFERROR(__xludf.DUMMYFUNCTION("""COMPUTED_VALUE"""),149)</f>
        <v>149</v>
      </c>
      <c r="E270" s="55">
        <f ca="1">IFERROR(__xludf.DUMMYFUNCTION("""COMPUTED_VALUE"""),38715)</f>
        <v>38715</v>
      </c>
    </row>
    <row r="271" spans="1:5" ht="13.2" x14ac:dyDescent="0.25">
      <c r="A271" s="131">
        <f ca="1">IFERROR(__xludf.DUMMYFUNCTION("""COMPUTED_VALUE"""),44160)</f>
        <v>44160</v>
      </c>
      <c r="B271" s="55">
        <f ca="1">IFERROR(__xludf.DUMMYFUNCTION("""COMPUTED_VALUE"""),40)</f>
        <v>40</v>
      </c>
      <c r="C271" s="55">
        <f ca="1">IFERROR(__xludf.DUMMYFUNCTION("""COMPUTED_VALUE"""),8738)</f>
        <v>8738</v>
      </c>
      <c r="D271" s="55">
        <f ca="1">IFERROR(__xludf.DUMMYFUNCTION("""COMPUTED_VALUE"""),143)</f>
        <v>143</v>
      </c>
      <c r="E271" s="55">
        <f ca="1">IFERROR(__xludf.DUMMYFUNCTION("""COMPUTED_VALUE"""),38858)</f>
        <v>38858</v>
      </c>
    </row>
    <row r="272" spans="1:5" ht="13.2" x14ac:dyDescent="0.25">
      <c r="A272" s="131">
        <f ca="1">IFERROR(__xludf.DUMMYFUNCTION("""COMPUTED_VALUE"""),44161)</f>
        <v>44161</v>
      </c>
      <c r="B272" s="55">
        <f ca="1">IFERROR(__xludf.DUMMYFUNCTION("""COMPUTED_VALUE"""),54)</f>
        <v>54</v>
      </c>
      <c r="C272" s="55">
        <f ca="1">IFERROR(__xludf.DUMMYFUNCTION("""COMPUTED_VALUE"""),8792)</f>
        <v>8792</v>
      </c>
      <c r="D272" s="55">
        <f ca="1">IFERROR(__xludf.DUMMYFUNCTION("""COMPUTED_VALUE"""),160)</f>
        <v>160</v>
      </c>
      <c r="E272" s="55">
        <f ca="1">IFERROR(__xludf.DUMMYFUNCTION("""COMPUTED_VALUE"""),39018)</f>
        <v>39018</v>
      </c>
    </row>
    <row r="273" spans="1:5" ht="13.2" x14ac:dyDescent="0.25">
      <c r="A273" s="131">
        <f ca="1">IFERROR(__xludf.DUMMYFUNCTION("""COMPUTED_VALUE"""),44162)</f>
        <v>44162</v>
      </c>
      <c r="B273" s="55">
        <f ca="1">IFERROR(__xludf.DUMMYFUNCTION("""COMPUTED_VALUE"""),46)</f>
        <v>46</v>
      </c>
      <c r="C273" s="55">
        <f ca="1">IFERROR(__xludf.DUMMYFUNCTION("""COMPUTED_VALUE"""),8838)</f>
        <v>8838</v>
      </c>
      <c r="D273" s="55">
        <f ca="1">IFERROR(__xludf.DUMMYFUNCTION("""COMPUTED_VALUE"""),172)</f>
        <v>172</v>
      </c>
      <c r="E273" s="55">
        <f ca="1">IFERROR(__xludf.DUMMYFUNCTION("""COMPUTED_VALUE"""),39190)</f>
        <v>39190</v>
      </c>
    </row>
    <row r="274" spans="1:5" ht="13.2" x14ac:dyDescent="0.25">
      <c r="A274" s="131">
        <f ca="1">IFERROR(__xludf.DUMMYFUNCTION("""COMPUTED_VALUE"""),44163)</f>
        <v>44163</v>
      </c>
      <c r="B274" s="55">
        <f ca="1">IFERROR(__xludf.DUMMYFUNCTION("""COMPUTED_VALUE"""),53)</f>
        <v>53</v>
      </c>
      <c r="C274" s="55">
        <f ca="1">IFERROR(__xludf.DUMMYFUNCTION("""COMPUTED_VALUE"""),8891)</f>
        <v>8891</v>
      </c>
      <c r="D274" s="55">
        <f ca="1">IFERROR(__xludf.DUMMYFUNCTION("""COMPUTED_VALUE"""),149)</f>
        <v>149</v>
      </c>
      <c r="E274" s="55">
        <f ca="1">IFERROR(__xludf.DUMMYFUNCTION("""COMPUTED_VALUE"""),39339)</f>
        <v>39339</v>
      </c>
    </row>
    <row r="275" spans="1:5" ht="13.2" x14ac:dyDescent="0.25">
      <c r="A275" s="131">
        <f ca="1">IFERROR(__xludf.DUMMYFUNCTION("""COMPUTED_VALUE"""),44164)</f>
        <v>44164</v>
      </c>
      <c r="B275" s="55">
        <f ca="1">IFERROR(__xludf.DUMMYFUNCTION("""COMPUTED_VALUE"""),45)</f>
        <v>45</v>
      </c>
      <c r="C275" s="55">
        <f ca="1">IFERROR(__xludf.DUMMYFUNCTION("""COMPUTED_VALUE"""),8936)</f>
        <v>8936</v>
      </c>
      <c r="D275" s="55">
        <f ca="1">IFERROR(__xludf.DUMMYFUNCTION("""COMPUTED_VALUE"""),161)</f>
        <v>161</v>
      </c>
      <c r="E275" s="55">
        <f ca="1">IFERROR(__xludf.DUMMYFUNCTION("""COMPUTED_VALUE"""),39500)</f>
        <v>39500</v>
      </c>
    </row>
    <row r="276" spans="1:5" ht="13.2" x14ac:dyDescent="0.25">
      <c r="A276" s="131">
        <f ca="1">IFERROR(__xludf.DUMMYFUNCTION("""COMPUTED_VALUE"""),44165)</f>
        <v>44165</v>
      </c>
      <c r="B276" s="55">
        <f ca="1">IFERROR(__xludf.DUMMYFUNCTION("""COMPUTED_VALUE"""),62)</f>
        <v>62</v>
      </c>
      <c r="C276" s="55">
        <f ca="1">IFERROR(__xludf.DUMMYFUNCTION("""COMPUTED_VALUE"""),8998)</f>
        <v>8998</v>
      </c>
      <c r="D276" s="55">
        <f ca="1">IFERROR(__xludf.DUMMYFUNCTION("""COMPUTED_VALUE"""),167)</f>
        <v>167</v>
      </c>
      <c r="E276" s="55">
        <f ca="1">IFERROR(__xludf.DUMMYFUNCTION("""COMPUTED_VALUE"""),39667)</f>
        <v>39667</v>
      </c>
    </row>
    <row r="277" spans="1:5" ht="13.2" x14ac:dyDescent="0.25">
      <c r="A277" s="131">
        <f ca="1">IFERROR(__xludf.DUMMYFUNCTION("""COMPUTED_VALUE"""),44166)</f>
        <v>44166</v>
      </c>
      <c r="B277" s="55">
        <f ca="1">IFERROR(__xludf.DUMMYFUNCTION("""COMPUTED_VALUE"""),47)</f>
        <v>47</v>
      </c>
      <c r="C277" s="55">
        <f ca="1">IFERROR(__xludf.DUMMYFUNCTION("""COMPUTED_VALUE"""),9045)</f>
        <v>9045</v>
      </c>
      <c r="D277" s="55">
        <f ca="1">IFERROR(__xludf.DUMMYFUNCTION("""COMPUTED_VALUE"""),178)</f>
        <v>178</v>
      </c>
      <c r="E277" s="55">
        <f ca="1">IFERROR(__xludf.DUMMYFUNCTION("""COMPUTED_VALUE"""),39845)</f>
        <v>39845</v>
      </c>
    </row>
    <row r="278" spans="1:5" ht="13.2" x14ac:dyDescent="0.25">
      <c r="A278" s="131">
        <f ca="1">IFERROR(__xludf.DUMMYFUNCTION("""COMPUTED_VALUE"""),44167)</f>
        <v>44167</v>
      </c>
      <c r="B278" s="55">
        <f ca="1">IFERROR(__xludf.DUMMYFUNCTION("""COMPUTED_VALUE"""),56)</f>
        <v>56</v>
      </c>
      <c r="C278" s="55">
        <f ca="1">IFERROR(__xludf.DUMMYFUNCTION("""COMPUTED_VALUE"""),9101)</f>
        <v>9101</v>
      </c>
      <c r="D278" s="55">
        <f ca="1">IFERROR(__xludf.DUMMYFUNCTION("""COMPUTED_VALUE"""),177)</f>
        <v>177</v>
      </c>
      <c r="E278" s="55">
        <f ca="1">IFERROR(__xludf.DUMMYFUNCTION("""COMPUTED_VALUE"""),40022)</f>
        <v>40022</v>
      </c>
    </row>
    <row r="279" spans="1:5" ht="13.2" x14ac:dyDescent="0.25">
      <c r="A279" s="131">
        <f ca="1">IFERROR(__xludf.DUMMYFUNCTION("""COMPUTED_VALUE"""),44168)</f>
        <v>44168</v>
      </c>
      <c r="B279" s="55">
        <f ca="1">IFERROR(__xludf.DUMMYFUNCTION("""COMPUTED_VALUE"""),50)</f>
        <v>50</v>
      </c>
      <c r="C279" s="55">
        <f ca="1">IFERROR(__xludf.DUMMYFUNCTION("""COMPUTED_VALUE"""),9151)</f>
        <v>9151</v>
      </c>
      <c r="D279" s="55">
        <f ca="1">IFERROR(__xludf.DUMMYFUNCTION("""COMPUTED_VALUE"""),149)</f>
        <v>149</v>
      </c>
      <c r="E279" s="55">
        <f ca="1">IFERROR(__xludf.DUMMYFUNCTION("""COMPUTED_VALUE"""),40171)</f>
        <v>40171</v>
      </c>
    </row>
    <row r="280" spans="1:5" ht="13.2" x14ac:dyDescent="0.25">
      <c r="A280" s="131">
        <f ca="1">IFERROR(__xludf.DUMMYFUNCTION("""COMPUTED_VALUE"""),44169)</f>
        <v>44169</v>
      </c>
      <c r="B280" s="55">
        <f ca="1">IFERROR(__xludf.DUMMYFUNCTION("""COMPUTED_VALUE"""),49)</f>
        <v>49</v>
      </c>
      <c r="C280" s="55">
        <f ca="1">IFERROR(__xludf.DUMMYFUNCTION("""COMPUTED_VALUE"""),9200)</f>
        <v>9200</v>
      </c>
      <c r="D280" s="55">
        <f ca="1">IFERROR(__xludf.DUMMYFUNCTION("""COMPUTED_VALUE"""),139)</f>
        <v>139</v>
      </c>
      <c r="E280" s="55">
        <f ca="1">IFERROR(__xludf.DUMMYFUNCTION("""COMPUTED_VALUE"""),40310)</f>
        <v>40310</v>
      </c>
    </row>
    <row r="281" spans="1:5" ht="13.2" x14ac:dyDescent="0.25">
      <c r="A281" s="131">
        <f ca="1">IFERROR(__xludf.DUMMYFUNCTION("""COMPUTED_VALUE"""),44170)</f>
        <v>44170</v>
      </c>
      <c r="B281" s="55">
        <f ca="1">IFERROR(__xludf.DUMMYFUNCTION("""COMPUTED_VALUE"""),52)</f>
        <v>52</v>
      </c>
      <c r="C281" s="55">
        <f ca="1">IFERROR(__xludf.DUMMYFUNCTION("""COMPUTED_VALUE"""),9252)</f>
        <v>9252</v>
      </c>
      <c r="D281" s="55">
        <f ca="1">IFERROR(__xludf.DUMMYFUNCTION("""COMPUTED_VALUE"""),148)</f>
        <v>148</v>
      </c>
      <c r="E281" s="55">
        <f ca="1">IFERROR(__xludf.DUMMYFUNCTION("""COMPUTED_VALUE"""),40458)</f>
        <v>40458</v>
      </c>
    </row>
    <row r="282" spans="1:5" ht="13.2" x14ac:dyDescent="0.25">
      <c r="A282" s="131">
        <f ca="1">IFERROR(__xludf.DUMMYFUNCTION("""COMPUTED_VALUE"""),44171)</f>
        <v>44171</v>
      </c>
      <c r="B282" s="55">
        <f ca="1">IFERROR(__xludf.DUMMYFUNCTION("""COMPUTED_VALUE"""),50)</f>
        <v>50</v>
      </c>
      <c r="C282" s="55">
        <f ca="1">IFERROR(__xludf.DUMMYFUNCTION("""COMPUTED_VALUE"""),9302)</f>
        <v>9302</v>
      </c>
      <c r="D282" s="55">
        <f ca="1">IFERROR(__xludf.DUMMYFUNCTION("""COMPUTED_VALUE"""),164)</f>
        <v>164</v>
      </c>
      <c r="E282" s="55">
        <f ca="1">IFERROR(__xludf.DUMMYFUNCTION("""COMPUTED_VALUE"""),40622)</f>
        <v>40622</v>
      </c>
    </row>
    <row r="283" spans="1:5" ht="13.2" x14ac:dyDescent="0.25">
      <c r="A283" s="131">
        <f ca="1">IFERROR(__xludf.DUMMYFUNCTION("""COMPUTED_VALUE"""),44172)</f>
        <v>44172</v>
      </c>
      <c r="B283" s="55">
        <f ca="1">IFERROR(__xludf.DUMMYFUNCTION("""COMPUTED_VALUE"""),55)</f>
        <v>55</v>
      </c>
      <c r="C283" s="55">
        <f ca="1">IFERROR(__xludf.DUMMYFUNCTION("""COMPUTED_VALUE"""),9357)</f>
        <v>9357</v>
      </c>
      <c r="D283" s="55">
        <f ca="1">IFERROR(__xludf.DUMMYFUNCTION("""COMPUTED_VALUE"""),165)</f>
        <v>165</v>
      </c>
      <c r="E283" s="55">
        <f ca="1">IFERROR(__xludf.DUMMYFUNCTION("""COMPUTED_VALUE"""),40787)</f>
        <v>40787</v>
      </c>
    </row>
    <row r="284" spans="1:5" ht="13.2" x14ac:dyDescent="0.25">
      <c r="A284" s="131">
        <f ca="1">IFERROR(__xludf.DUMMYFUNCTION("""COMPUTED_VALUE"""),44173)</f>
        <v>44173</v>
      </c>
      <c r="B284" s="55">
        <f ca="1">IFERROR(__xludf.DUMMYFUNCTION("""COMPUTED_VALUE"""),50)</f>
        <v>50</v>
      </c>
      <c r="C284" s="55">
        <f ca="1">IFERROR(__xludf.DUMMYFUNCTION("""COMPUTED_VALUE"""),9407)</f>
        <v>9407</v>
      </c>
      <c r="D284" s="55">
        <f ca="1">IFERROR(__xludf.DUMMYFUNCTION("""COMPUTED_VALUE"""),155)</f>
        <v>155</v>
      </c>
      <c r="E284" s="55">
        <f ca="1">IFERROR(__xludf.DUMMYFUNCTION("""COMPUTED_VALUE"""),40942)</f>
        <v>40942</v>
      </c>
    </row>
    <row r="285" spans="1:5" ht="13.2" x14ac:dyDescent="0.25">
      <c r="A285" s="131">
        <f ca="1">IFERROR(__xludf.DUMMYFUNCTION("""COMPUTED_VALUE"""),44174)</f>
        <v>44174</v>
      </c>
      <c r="B285" s="55">
        <f ca="1">IFERROR(__xludf.DUMMYFUNCTION("""COMPUTED_VALUE"""),55)</f>
        <v>55</v>
      </c>
      <c r="C285" s="55">
        <f ca="1">IFERROR(__xludf.DUMMYFUNCTION("""COMPUTED_VALUE"""),9462)</f>
        <v>9462</v>
      </c>
      <c r="D285" s="55">
        <f ca="1">IFERROR(__xludf.DUMMYFUNCTION("""COMPUTED_VALUE"""),164)</f>
        <v>164</v>
      </c>
      <c r="E285" s="55">
        <f ca="1">IFERROR(__xludf.DUMMYFUNCTION("""COMPUTED_VALUE"""),41106)</f>
        <v>41106</v>
      </c>
    </row>
    <row r="286" spans="1:5" ht="13.2" x14ac:dyDescent="0.25">
      <c r="A286" s="131">
        <f ca="1">IFERROR(__xludf.DUMMYFUNCTION("""COMPUTED_VALUE"""),44175)</f>
        <v>44175</v>
      </c>
      <c r="B286" s="55">
        <f ca="1">IFERROR(__xludf.DUMMYFUNCTION("""COMPUTED_VALUE"""),55)</f>
        <v>55</v>
      </c>
      <c r="C286" s="55">
        <f ca="1">IFERROR(__xludf.DUMMYFUNCTION("""COMPUTED_VALUE"""),9517)</f>
        <v>9517</v>
      </c>
      <c r="D286" s="55">
        <f ca="1">IFERROR(__xludf.DUMMYFUNCTION("""COMPUTED_VALUE"""),159)</f>
        <v>159</v>
      </c>
      <c r="E286" s="55">
        <f ca="1">IFERROR(__xludf.DUMMYFUNCTION("""COMPUTED_VALUE"""),41265)</f>
        <v>41265</v>
      </c>
    </row>
    <row r="287" spans="1:5" ht="13.2" x14ac:dyDescent="0.25">
      <c r="A287" s="131">
        <f ca="1">IFERROR(__xludf.DUMMYFUNCTION("""COMPUTED_VALUE"""),44176)</f>
        <v>44176</v>
      </c>
      <c r="B287" s="55">
        <f ca="1">IFERROR(__xludf.DUMMYFUNCTION("""COMPUTED_VALUE"""),61)</f>
        <v>61</v>
      </c>
      <c r="C287" s="55">
        <f ca="1">IFERROR(__xludf.DUMMYFUNCTION("""COMPUTED_VALUE"""),9578)</f>
        <v>9578</v>
      </c>
      <c r="D287" s="55">
        <f ca="1">IFERROR(__xludf.DUMMYFUNCTION("""COMPUTED_VALUE"""),165)</f>
        <v>165</v>
      </c>
      <c r="E287" s="55">
        <f ca="1">IFERROR(__xludf.DUMMYFUNCTION("""COMPUTED_VALUE"""),41430)</f>
        <v>41430</v>
      </c>
    </row>
    <row r="288" spans="1:5" ht="13.2" x14ac:dyDescent="0.25">
      <c r="A288" s="131">
        <f ca="1">IFERROR(__xludf.DUMMYFUNCTION("""COMPUTED_VALUE"""),44177)</f>
        <v>44177</v>
      </c>
      <c r="B288" s="55">
        <f ca="1">IFERROR(__xludf.DUMMYFUNCTION("""COMPUTED_VALUE"""),52)</f>
        <v>52</v>
      </c>
      <c r="C288" s="55">
        <f ca="1">IFERROR(__xludf.DUMMYFUNCTION("""COMPUTED_VALUE"""),9630)</f>
        <v>9630</v>
      </c>
      <c r="D288" s="55">
        <f ca="1">IFERROR(__xludf.DUMMYFUNCTION("""COMPUTED_VALUE"""),158)</f>
        <v>158</v>
      </c>
      <c r="E288" s="55">
        <f ca="1">IFERROR(__xludf.DUMMYFUNCTION("""COMPUTED_VALUE"""),41588)</f>
        <v>41588</v>
      </c>
    </row>
    <row r="289" spans="1:5" ht="13.2" x14ac:dyDescent="0.25">
      <c r="A289" s="131">
        <f ca="1">IFERROR(__xludf.DUMMYFUNCTION("""COMPUTED_VALUE"""),44178)</f>
        <v>44178</v>
      </c>
      <c r="B289" s="55">
        <f ca="1">IFERROR(__xludf.DUMMYFUNCTION("""COMPUTED_VALUE"""),56)</f>
        <v>56</v>
      </c>
      <c r="C289" s="55">
        <f ca="1">IFERROR(__xludf.DUMMYFUNCTION("""COMPUTED_VALUE"""),9686)</f>
        <v>9686</v>
      </c>
      <c r="D289" s="55">
        <f ca="1">IFERROR(__xludf.DUMMYFUNCTION("""COMPUTED_VALUE"""),147)</f>
        <v>147</v>
      </c>
      <c r="E289" s="55">
        <f ca="1">IFERROR(__xludf.DUMMYFUNCTION("""COMPUTED_VALUE"""),41735)</f>
        <v>41735</v>
      </c>
    </row>
    <row r="290" spans="1:5" ht="13.2" x14ac:dyDescent="0.25">
      <c r="A290" s="131">
        <f ca="1">IFERROR(__xludf.DUMMYFUNCTION("""COMPUTED_VALUE"""),44179)</f>
        <v>44179</v>
      </c>
      <c r="B290" s="55">
        <f ca="1">IFERROR(__xludf.DUMMYFUNCTION("""COMPUTED_VALUE"""),48)</f>
        <v>48</v>
      </c>
      <c r="C290" s="55">
        <f ca="1">IFERROR(__xludf.DUMMYFUNCTION("""COMPUTED_VALUE"""),9734)</f>
        <v>9734</v>
      </c>
      <c r="D290" s="55">
        <f ca="1">IFERROR(__xludf.DUMMYFUNCTION("""COMPUTED_VALUE"""),181)</f>
        <v>181</v>
      </c>
      <c r="E290" s="55">
        <f ca="1">IFERROR(__xludf.DUMMYFUNCTION("""COMPUTED_VALUE"""),41916)</f>
        <v>41916</v>
      </c>
    </row>
    <row r="291" spans="1:5" ht="13.2" x14ac:dyDescent="0.25">
      <c r="A291" s="131">
        <f ca="1">IFERROR(__xludf.DUMMYFUNCTION("""COMPUTED_VALUE"""),44180)</f>
        <v>44180</v>
      </c>
      <c r="B291" s="55">
        <f ca="1">IFERROR(__xludf.DUMMYFUNCTION("""COMPUTED_VALUE"""),62)</f>
        <v>62</v>
      </c>
      <c r="C291" s="55">
        <f ca="1">IFERROR(__xludf.DUMMYFUNCTION("""COMPUTED_VALUE"""),9796)</f>
        <v>9796</v>
      </c>
      <c r="D291" s="55">
        <f ca="1">IFERROR(__xludf.DUMMYFUNCTION("""COMPUTED_VALUE"""),179)</f>
        <v>179</v>
      </c>
      <c r="E291" s="55">
        <f ca="1">IFERROR(__xludf.DUMMYFUNCTION("""COMPUTED_VALUE"""),42095)</f>
        <v>42095</v>
      </c>
    </row>
    <row r="292" spans="1:5" ht="13.2" x14ac:dyDescent="0.25">
      <c r="A292" s="131">
        <f ca="1">IFERROR(__xludf.DUMMYFUNCTION("""COMPUTED_VALUE"""),44181)</f>
        <v>44181</v>
      </c>
      <c r="B292" s="55">
        <f ca="1">IFERROR(__xludf.DUMMYFUNCTION("""COMPUTED_VALUE"""),53)</f>
        <v>53</v>
      </c>
      <c r="C292" s="55">
        <f ca="1">IFERROR(__xludf.DUMMYFUNCTION("""COMPUTED_VALUE"""),9849)</f>
        <v>9849</v>
      </c>
      <c r="D292" s="55">
        <f ca="1">IFERROR(__xludf.DUMMYFUNCTION("""COMPUTED_VALUE"""),175)</f>
        <v>175</v>
      </c>
      <c r="E292" s="55">
        <f ca="1">IFERROR(__xludf.DUMMYFUNCTION("""COMPUTED_VALUE"""),42270)</f>
        <v>42270</v>
      </c>
    </row>
    <row r="293" spans="1:5" ht="13.2" x14ac:dyDescent="0.25">
      <c r="A293" s="131">
        <f ca="1">IFERROR(__xludf.DUMMYFUNCTION("""COMPUTED_VALUE"""),44182)</f>
        <v>44182</v>
      </c>
      <c r="B293" s="55">
        <f ca="1">IFERROR(__xludf.DUMMYFUNCTION("""COMPUTED_VALUE"""),59)</f>
        <v>59</v>
      </c>
      <c r="C293" s="55">
        <f ca="1">IFERROR(__xludf.DUMMYFUNCTION("""COMPUTED_VALUE"""),9908)</f>
        <v>9908</v>
      </c>
      <c r="D293" s="55">
        <f ca="1">IFERROR(__xludf.DUMMYFUNCTION("""COMPUTED_VALUE"""),176)</f>
        <v>176</v>
      </c>
      <c r="E293" s="55">
        <f ca="1">IFERROR(__xludf.DUMMYFUNCTION("""COMPUTED_VALUE"""),42446)</f>
        <v>42446</v>
      </c>
    </row>
    <row r="294" spans="1:5" ht="13.2" x14ac:dyDescent="0.25">
      <c r="A294" s="131">
        <f ca="1">IFERROR(__xludf.DUMMYFUNCTION("""COMPUTED_VALUE"""),44183)</f>
        <v>44183</v>
      </c>
      <c r="B294" s="55">
        <f ca="1">IFERROR(__xludf.DUMMYFUNCTION("""COMPUTED_VALUE"""),62)</f>
        <v>62</v>
      </c>
      <c r="C294" s="55">
        <f ca="1">IFERROR(__xludf.DUMMYFUNCTION("""COMPUTED_VALUE"""),9970)</f>
        <v>9970</v>
      </c>
      <c r="D294" s="55">
        <f ca="1">IFERROR(__xludf.DUMMYFUNCTION("""COMPUTED_VALUE"""),163)</f>
        <v>163</v>
      </c>
      <c r="E294" s="55">
        <f ca="1">IFERROR(__xludf.DUMMYFUNCTION("""COMPUTED_VALUE"""),42609)</f>
        <v>42609</v>
      </c>
    </row>
    <row r="295" spans="1:5" ht="13.2" x14ac:dyDescent="0.25">
      <c r="A295" s="131">
        <f ca="1">IFERROR(__xludf.DUMMYFUNCTION("""COMPUTED_VALUE"""),44184)</f>
        <v>44184</v>
      </c>
      <c r="B295" s="55">
        <f ca="1">IFERROR(__xludf.DUMMYFUNCTION("""COMPUTED_VALUE"""),58)</f>
        <v>58</v>
      </c>
      <c r="C295" s="55">
        <f ca="1">IFERROR(__xludf.DUMMYFUNCTION("""COMPUTED_VALUE"""),10028)</f>
        <v>10028</v>
      </c>
      <c r="D295" s="55">
        <f ca="1">IFERROR(__xludf.DUMMYFUNCTION("""COMPUTED_VALUE"""),152)</f>
        <v>152</v>
      </c>
      <c r="E295" s="55">
        <f ca="1">IFERROR(__xludf.DUMMYFUNCTION("""COMPUTED_VALUE"""),42761)</f>
        <v>42761</v>
      </c>
    </row>
    <row r="296" spans="1:5" ht="13.2" x14ac:dyDescent="0.25">
      <c r="A296" s="131">
        <f ca="1">IFERROR(__xludf.DUMMYFUNCTION("""COMPUTED_VALUE"""),44185)</f>
        <v>44185</v>
      </c>
      <c r="B296" s="55">
        <f ca="1">IFERROR(__xludf.DUMMYFUNCTION("""COMPUTED_VALUE"""),60)</f>
        <v>60</v>
      </c>
      <c r="C296" s="55">
        <f ca="1">IFERROR(__xludf.DUMMYFUNCTION("""COMPUTED_VALUE"""),10088)</f>
        <v>10088</v>
      </c>
      <c r="D296" s="55">
        <f ca="1">IFERROR(__xludf.DUMMYFUNCTION("""COMPUTED_VALUE"""),169)</f>
        <v>169</v>
      </c>
      <c r="E296" s="55">
        <f ca="1">IFERROR(__xludf.DUMMYFUNCTION("""COMPUTED_VALUE"""),42930)</f>
        <v>42930</v>
      </c>
    </row>
    <row r="297" spans="1:5" ht="13.2" x14ac:dyDescent="0.25">
      <c r="A297" s="131">
        <f ca="1">IFERROR(__xludf.DUMMYFUNCTION("""COMPUTED_VALUE"""),44186)</f>
        <v>44186</v>
      </c>
      <c r="B297" s="55">
        <f ca="1">IFERROR(__xludf.DUMMYFUNCTION("""COMPUTED_VALUE"""),52)</f>
        <v>52</v>
      </c>
      <c r="C297" s="55">
        <f ca="1">IFERROR(__xludf.DUMMYFUNCTION("""COMPUTED_VALUE"""),10140)</f>
        <v>10140</v>
      </c>
      <c r="D297" s="55">
        <f ca="1">IFERROR(__xludf.DUMMYFUNCTION("""COMPUTED_VALUE"""),188)</f>
        <v>188</v>
      </c>
      <c r="E297" s="55">
        <f ca="1">IFERROR(__xludf.DUMMYFUNCTION("""COMPUTED_VALUE"""),43118)</f>
        <v>43118</v>
      </c>
    </row>
    <row r="298" spans="1:5" ht="13.2" x14ac:dyDescent="0.25">
      <c r="A298" s="131">
        <f ca="1">IFERROR(__xludf.DUMMYFUNCTION("""COMPUTED_VALUE"""),44187)</f>
        <v>44187</v>
      </c>
      <c r="B298" s="55">
        <f ca="1">IFERROR(__xludf.DUMMYFUNCTION("""COMPUTED_VALUE"""),66)</f>
        <v>66</v>
      </c>
      <c r="C298" s="55">
        <f ca="1">IFERROR(__xludf.DUMMYFUNCTION("""COMPUTED_VALUE"""),10206)</f>
        <v>10206</v>
      </c>
      <c r="D298" s="55">
        <f ca="1">IFERROR(__xludf.DUMMYFUNCTION("""COMPUTED_VALUE"""),199)</f>
        <v>199</v>
      </c>
      <c r="E298" s="55">
        <f ca="1">IFERROR(__xludf.DUMMYFUNCTION("""COMPUTED_VALUE"""),43317)</f>
        <v>43317</v>
      </c>
    </row>
    <row r="299" spans="1:5" ht="13.2" x14ac:dyDescent="0.25">
      <c r="A299" s="131">
        <f ca="1">IFERROR(__xludf.DUMMYFUNCTION("""COMPUTED_VALUE"""),44188)</f>
        <v>44188</v>
      </c>
      <c r="B299" s="55">
        <f ca="1">IFERROR(__xludf.DUMMYFUNCTION("""COMPUTED_VALUE"""),71)</f>
        <v>71</v>
      </c>
      <c r="C299" s="55">
        <f ca="1">IFERROR(__xludf.DUMMYFUNCTION("""COMPUTED_VALUE"""),10277)</f>
        <v>10277</v>
      </c>
      <c r="D299" s="55">
        <f ca="1">IFERROR(__xludf.DUMMYFUNCTION("""COMPUTED_VALUE"""),185)</f>
        <v>185</v>
      </c>
      <c r="E299" s="55">
        <f ca="1">IFERROR(__xludf.DUMMYFUNCTION("""COMPUTED_VALUE"""),43502)</f>
        <v>43502</v>
      </c>
    </row>
    <row r="300" spans="1:5" ht="13.2" x14ac:dyDescent="0.25">
      <c r="A300" s="131">
        <f ca="1">IFERROR(__xludf.DUMMYFUNCTION("""COMPUTED_VALUE"""),44189)</f>
        <v>44189</v>
      </c>
      <c r="B300" s="55">
        <f ca="1">IFERROR(__xludf.DUMMYFUNCTION("""COMPUTED_VALUE"""),70)</f>
        <v>70</v>
      </c>
      <c r="C300" s="55">
        <f ca="1">IFERROR(__xludf.DUMMYFUNCTION("""COMPUTED_VALUE"""),10347)</f>
        <v>10347</v>
      </c>
      <c r="D300" s="55">
        <f ca="1">IFERROR(__xludf.DUMMYFUNCTION("""COMPUTED_VALUE"""),204)</f>
        <v>204</v>
      </c>
      <c r="E300" s="55">
        <f ca="1">IFERROR(__xludf.DUMMYFUNCTION("""COMPUTED_VALUE"""),43706)</f>
        <v>43706</v>
      </c>
    </row>
    <row r="301" spans="1:5" ht="13.2" x14ac:dyDescent="0.25">
      <c r="A301" s="131">
        <f ca="1">IFERROR(__xludf.DUMMYFUNCTION("""COMPUTED_VALUE"""),44190)</f>
        <v>44190</v>
      </c>
      <c r="B301" s="55">
        <f ca="1">IFERROR(__xludf.DUMMYFUNCTION("""COMPUTED_VALUE"""),77)</f>
        <v>77</v>
      </c>
      <c r="C301" s="55">
        <f ca="1">IFERROR(__xludf.DUMMYFUNCTION("""COMPUTED_VALUE"""),10424)</f>
        <v>10424</v>
      </c>
      <c r="D301" s="55">
        <f ca="1">IFERROR(__xludf.DUMMYFUNCTION("""COMPUTED_VALUE"""),206)</f>
        <v>206</v>
      </c>
      <c r="E301" s="55">
        <f ca="1">IFERROR(__xludf.DUMMYFUNCTION("""COMPUTED_VALUE"""),43912)</f>
        <v>43912</v>
      </c>
    </row>
    <row r="302" spans="1:5" ht="13.2" x14ac:dyDescent="0.25">
      <c r="A302" s="131">
        <f ca="1">IFERROR(__xludf.DUMMYFUNCTION("""COMPUTED_VALUE"""),44191)</f>
        <v>44191</v>
      </c>
      <c r="B302" s="55">
        <f ca="1">IFERROR(__xludf.DUMMYFUNCTION("""COMPUTED_VALUE"""),77)</f>
        <v>77</v>
      </c>
      <c r="C302" s="55">
        <f ca="1">IFERROR(__xludf.DUMMYFUNCTION("""COMPUTED_VALUE"""),10501)</f>
        <v>10501</v>
      </c>
      <c r="D302" s="55">
        <f ca="1">IFERROR(__xludf.DUMMYFUNCTION("""COMPUTED_VALUE"""),213)</f>
        <v>213</v>
      </c>
      <c r="E302" s="55">
        <f ca="1">IFERROR(__xludf.DUMMYFUNCTION("""COMPUTED_VALUE"""),44125)</f>
        <v>44125</v>
      </c>
    </row>
    <row r="303" spans="1:5" ht="13.2" x14ac:dyDescent="0.25">
      <c r="A303" s="131">
        <f ca="1">IFERROR(__xludf.DUMMYFUNCTION("""COMPUTED_VALUE"""),44192)</f>
        <v>44192</v>
      </c>
      <c r="B303" s="55">
        <f ca="1">IFERROR(__xludf.DUMMYFUNCTION("""COMPUTED_VALUE"""),69)</f>
        <v>69</v>
      </c>
      <c r="C303" s="55">
        <f ca="1">IFERROR(__xludf.DUMMYFUNCTION("""COMPUTED_VALUE"""),10570)</f>
        <v>10570</v>
      </c>
      <c r="D303" s="55">
        <f ca="1">IFERROR(__xludf.DUMMYFUNCTION("""COMPUTED_VALUE"""),217)</f>
        <v>217</v>
      </c>
      <c r="E303" s="55">
        <f ca="1">IFERROR(__xludf.DUMMYFUNCTION("""COMPUTED_VALUE"""),44342)</f>
        <v>44342</v>
      </c>
    </row>
    <row r="304" spans="1:5" ht="13.2" x14ac:dyDescent="0.25">
      <c r="A304" s="131">
        <f ca="1">IFERROR(__xludf.DUMMYFUNCTION("""COMPUTED_VALUE"""),44193)</f>
        <v>44193</v>
      </c>
      <c r="B304" s="55">
        <f ca="1">IFERROR(__xludf.DUMMYFUNCTION("""COMPUTED_VALUE"""),101)</f>
        <v>101</v>
      </c>
      <c r="C304" s="55">
        <f ca="1">IFERROR(__xludf.DUMMYFUNCTION("""COMPUTED_VALUE"""),10671)</f>
        <v>10671</v>
      </c>
      <c r="D304" s="55">
        <f ca="1">IFERROR(__xludf.DUMMYFUNCTION("""COMPUTED_VALUE"""),223)</f>
        <v>223</v>
      </c>
      <c r="E304" s="55">
        <f ca="1">IFERROR(__xludf.DUMMYFUNCTION("""COMPUTED_VALUE"""),44565)</f>
        <v>44565</v>
      </c>
    </row>
    <row r="305" spans="1:5" ht="13.2" x14ac:dyDescent="0.25">
      <c r="A305" s="131">
        <f ca="1">IFERROR(__xludf.DUMMYFUNCTION("""COMPUTED_VALUE"""),44194)</f>
        <v>44194</v>
      </c>
      <c r="B305" s="55">
        <f ca="1">IFERROR(__xludf.DUMMYFUNCTION("""COMPUTED_VALUE"""),68)</f>
        <v>68</v>
      </c>
      <c r="C305" s="55">
        <f ca="1">IFERROR(__xludf.DUMMYFUNCTION("""COMPUTED_VALUE"""),10739)</f>
        <v>10739</v>
      </c>
      <c r="D305" s="55">
        <f ca="1">IFERROR(__xludf.DUMMYFUNCTION("""COMPUTED_VALUE"""),196)</f>
        <v>196</v>
      </c>
      <c r="E305" s="55">
        <f ca="1">IFERROR(__xludf.DUMMYFUNCTION("""COMPUTED_VALUE"""),44761)</f>
        <v>44761</v>
      </c>
    </row>
    <row r="306" spans="1:5" ht="13.2" x14ac:dyDescent="0.25">
      <c r="A306" s="131">
        <f ca="1">IFERROR(__xludf.DUMMYFUNCTION("""COMPUTED_VALUE"""),44195)</f>
        <v>44195</v>
      </c>
      <c r="B306" s="55">
        <f ca="1">IFERROR(__xludf.DUMMYFUNCTION("""COMPUTED_VALUE"""),75)</f>
        <v>75</v>
      </c>
      <c r="C306" s="55">
        <f ca="1">IFERROR(__xludf.DUMMYFUNCTION("""COMPUTED_VALUE"""),10814)</f>
        <v>10814</v>
      </c>
      <c r="D306" s="55">
        <f ca="1">IFERROR(__xludf.DUMMYFUNCTION("""COMPUTED_VALUE"""),196)</f>
        <v>196</v>
      </c>
      <c r="E306" s="55">
        <f ca="1">IFERROR(__xludf.DUMMYFUNCTION("""COMPUTED_VALUE"""),44957)</f>
        <v>44957</v>
      </c>
    </row>
    <row r="307" spans="1:5" ht="13.2" x14ac:dyDescent="0.25">
      <c r="A307" s="131">
        <f ca="1">IFERROR(__xludf.DUMMYFUNCTION("""COMPUTED_VALUE"""),44196)</f>
        <v>44196</v>
      </c>
      <c r="B307" s="55">
        <f ca="1">IFERROR(__xludf.DUMMYFUNCTION("""COMPUTED_VALUE"""),80)</f>
        <v>80</v>
      </c>
      <c r="C307" s="55">
        <f ca="1">IFERROR(__xludf.DUMMYFUNCTION("""COMPUTED_VALUE"""),10894)</f>
        <v>10894</v>
      </c>
      <c r="D307" s="55">
        <f ca="1">IFERROR(__xludf.DUMMYFUNCTION("""COMPUTED_VALUE"""),185)</f>
        <v>185</v>
      </c>
      <c r="E307" s="55">
        <f ca="1">IFERROR(__xludf.DUMMYFUNCTION("""COMPUTED_VALUE"""),45142)</f>
        <v>45142</v>
      </c>
    </row>
    <row r="308" spans="1:5" ht="13.2" x14ac:dyDescent="0.25">
      <c r="A308" s="131">
        <f ca="1">IFERROR(__xludf.DUMMYFUNCTION("""COMPUTED_VALUE"""),44197)</f>
        <v>44197</v>
      </c>
      <c r="B308" s="55">
        <f ca="1">IFERROR(__xludf.DUMMYFUNCTION("""COMPUTED_VALUE"""),82)</f>
        <v>82</v>
      </c>
      <c r="C308" s="55">
        <f ca="1">IFERROR(__xludf.DUMMYFUNCTION("""COMPUTED_VALUE"""),10976)</f>
        <v>10976</v>
      </c>
      <c r="D308" s="55">
        <f ca="1">IFERROR(__xludf.DUMMYFUNCTION("""COMPUTED_VALUE"""),190)</f>
        <v>190</v>
      </c>
      <c r="E308" s="55">
        <f ca="1">IFERROR(__xludf.DUMMYFUNCTION("""COMPUTED_VALUE"""),45332)</f>
        <v>45332</v>
      </c>
    </row>
    <row r="309" spans="1:5" ht="13.2" x14ac:dyDescent="0.25">
      <c r="A309" s="131">
        <f ca="1">IFERROR(__xludf.DUMMYFUNCTION("""COMPUTED_VALUE"""),44198)</f>
        <v>44198</v>
      </c>
      <c r="B309" s="55">
        <f ca="1">IFERROR(__xludf.DUMMYFUNCTION("""COMPUTED_VALUE"""),88)</f>
        <v>88</v>
      </c>
      <c r="C309" s="55">
        <f ca="1">IFERROR(__xludf.DUMMYFUNCTION("""COMPUTED_VALUE"""),11064)</f>
        <v>11064</v>
      </c>
      <c r="D309" s="55">
        <f ca="1">IFERROR(__xludf.DUMMYFUNCTION("""COMPUTED_VALUE"""),191)</f>
        <v>191</v>
      </c>
      <c r="E309" s="55">
        <f ca="1">IFERROR(__xludf.DUMMYFUNCTION("""COMPUTED_VALUE"""),45523)</f>
        <v>45523</v>
      </c>
    </row>
    <row r="310" spans="1:5" ht="13.2" x14ac:dyDescent="0.25">
      <c r="A310" s="131">
        <f ca="1">IFERROR(__xludf.DUMMYFUNCTION("""COMPUTED_VALUE"""),44199)</f>
        <v>44199</v>
      </c>
      <c r="B310" s="55">
        <f ca="1">IFERROR(__xludf.DUMMYFUNCTION("""COMPUTED_VALUE"""),106)</f>
        <v>106</v>
      </c>
      <c r="C310" s="55">
        <f ca="1">IFERROR(__xludf.DUMMYFUNCTION("""COMPUTED_VALUE"""),11170)</f>
        <v>11170</v>
      </c>
      <c r="D310" s="55">
        <f ca="1">IFERROR(__xludf.DUMMYFUNCTION("""COMPUTED_VALUE"""),212)</f>
        <v>212</v>
      </c>
      <c r="E310" s="55">
        <f ca="1">IFERROR(__xludf.DUMMYFUNCTION("""COMPUTED_VALUE"""),45735)</f>
        <v>45735</v>
      </c>
    </row>
    <row r="311" spans="1:5" ht="13.2" x14ac:dyDescent="0.25">
      <c r="A311" s="131">
        <f ca="1">IFERROR(__xludf.DUMMYFUNCTION("""COMPUTED_VALUE"""),44200)</f>
        <v>44200</v>
      </c>
      <c r="B311" s="55">
        <f ca="1">IFERROR(__xludf.DUMMYFUNCTION("""COMPUTED_VALUE"""),94)</f>
        <v>94</v>
      </c>
      <c r="C311" s="55">
        <f ca="1">IFERROR(__xludf.DUMMYFUNCTION("""COMPUTED_VALUE"""),11264)</f>
        <v>11264</v>
      </c>
      <c r="D311" s="55">
        <f ca="1">IFERROR(__xludf.DUMMYFUNCTION("""COMPUTED_VALUE"""),202)</f>
        <v>202</v>
      </c>
      <c r="E311" s="55">
        <f ca="1">IFERROR(__xludf.DUMMYFUNCTION("""COMPUTED_VALUE"""),45937)</f>
        <v>45937</v>
      </c>
    </row>
    <row r="312" spans="1:5" ht="13.2" x14ac:dyDescent="0.25">
      <c r="A312" s="131">
        <f ca="1">IFERROR(__xludf.DUMMYFUNCTION("""COMPUTED_VALUE"""),44201)</f>
        <v>44201</v>
      </c>
      <c r="B312" s="55">
        <f ca="1">IFERROR(__xludf.DUMMYFUNCTION("""COMPUTED_VALUE"""),88)</f>
        <v>88</v>
      </c>
      <c r="C312" s="55">
        <f ca="1">IFERROR(__xludf.DUMMYFUNCTION("""COMPUTED_VALUE"""),11352)</f>
        <v>11352</v>
      </c>
      <c r="D312" s="55">
        <f ca="1">IFERROR(__xludf.DUMMYFUNCTION("""COMPUTED_VALUE"""),198)</f>
        <v>198</v>
      </c>
      <c r="E312" s="55">
        <f ca="1">IFERROR(__xludf.DUMMYFUNCTION("""COMPUTED_VALUE"""),46135)</f>
        <v>46135</v>
      </c>
    </row>
    <row r="313" spans="1:5" ht="13.2" x14ac:dyDescent="0.25">
      <c r="A313" s="131">
        <f ca="1">IFERROR(__xludf.DUMMYFUNCTION("""COMPUTED_VALUE"""),44202)</f>
        <v>44202</v>
      </c>
      <c r="B313" s="55">
        <f ca="1">IFERROR(__xludf.DUMMYFUNCTION("""COMPUTED_VALUE"""),94)</f>
        <v>94</v>
      </c>
      <c r="C313" s="55">
        <f ca="1">IFERROR(__xludf.DUMMYFUNCTION("""COMPUTED_VALUE"""),11446)</f>
        <v>11446</v>
      </c>
      <c r="D313" s="55">
        <f ca="1">IFERROR(__xludf.DUMMYFUNCTION("""COMPUTED_VALUE"""),238)</f>
        <v>238</v>
      </c>
      <c r="E313" s="55">
        <f ca="1">IFERROR(__xludf.DUMMYFUNCTION("""COMPUTED_VALUE"""),46373)</f>
        <v>46373</v>
      </c>
    </row>
    <row r="314" spans="1:5" ht="13.2" x14ac:dyDescent="0.25">
      <c r="A314" s="131">
        <f ca="1">IFERROR(__xludf.DUMMYFUNCTION("""COMPUTED_VALUE"""),44203)</f>
        <v>44203</v>
      </c>
      <c r="B314" s="55">
        <f ca="1">IFERROR(__xludf.DUMMYFUNCTION("""COMPUTED_VALUE"""),84)</f>
        <v>84</v>
      </c>
      <c r="C314" s="55">
        <f ca="1">IFERROR(__xludf.DUMMYFUNCTION("""COMPUTED_VALUE"""),11530)</f>
        <v>11530</v>
      </c>
      <c r="D314" s="55">
        <f ca="1">IFERROR(__xludf.DUMMYFUNCTION("""COMPUTED_VALUE"""),211)</f>
        <v>211</v>
      </c>
      <c r="E314" s="55">
        <f ca="1">IFERROR(__xludf.DUMMYFUNCTION("""COMPUTED_VALUE"""),46584)</f>
        <v>46584</v>
      </c>
    </row>
    <row r="315" spans="1:5" ht="13.2" x14ac:dyDescent="0.25">
      <c r="A315" s="131">
        <f ca="1">IFERROR(__xludf.DUMMYFUNCTION("""COMPUTED_VALUE"""),44204)</f>
        <v>44204</v>
      </c>
      <c r="B315" s="55">
        <f ca="1">IFERROR(__xludf.DUMMYFUNCTION("""COMPUTED_VALUE"""),92)</f>
        <v>92</v>
      </c>
      <c r="C315" s="55">
        <f ca="1">IFERROR(__xludf.DUMMYFUNCTION("""COMPUTED_VALUE"""),11622)</f>
        <v>11622</v>
      </c>
      <c r="D315" s="55">
        <f ca="1">IFERROR(__xludf.DUMMYFUNCTION("""COMPUTED_VALUE"""),234)</f>
        <v>234</v>
      </c>
      <c r="E315" s="55">
        <f ca="1">IFERROR(__xludf.DUMMYFUNCTION("""COMPUTED_VALUE"""),46818)</f>
        <v>46818</v>
      </c>
    </row>
    <row r="316" spans="1:5" ht="13.2" x14ac:dyDescent="0.25">
      <c r="A316" s="131">
        <f ca="1">IFERROR(__xludf.DUMMYFUNCTION("""COMPUTED_VALUE"""),44205)</f>
        <v>44205</v>
      </c>
      <c r="B316" s="55">
        <f ca="1">IFERROR(__xludf.DUMMYFUNCTION("""COMPUTED_VALUE"""),107)</f>
        <v>107</v>
      </c>
      <c r="C316" s="55">
        <f ca="1">IFERROR(__xludf.DUMMYFUNCTION("""COMPUTED_VALUE"""),11729)</f>
        <v>11729</v>
      </c>
      <c r="D316" s="55">
        <f ca="1">IFERROR(__xludf.DUMMYFUNCTION("""COMPUTED_VALUE"""),243)</f>
        <v>243</v>
      </c>
      <c r="E316" s="55">
        <f ca="1">IFERROR(__xludf.DUMMYFUNCTION("""COMPUTED_VALUE"""),47061)</f>
        <v>47061</v>
      </c>
    </row>
    <row r="317" spans="1:5" ht="13.2" x14ac:dyDescent="0.25">
      <c r="A317" s="131">
        <f ca="1">IFERROR(__xludf.DUMMYFUNCTION("""COMPUTED_VALUE"""),44206)</f>
        <v>44206</v>
      </c>
      <c r="B317" s="55">
        <f ca="1">IFERROR(__xludf.DUMMYFUNCTION("""COMPUTED_VALUE"""),78)</f>
        <v>78</v>
      </c>
      <c r="C317" s="55">
        <f ca="1">IFERROR(__xludf.DUMMYFUNCTION("""COMPUTED_VALUE"""),11807)</f>
        <v>11807</v>
      </c>
      <c r="D317" s="55">
        <f ca="1">IFERROR(__xludf.DUMMYFUNCTION("""COMPUTED_VALUE"""),194)</f>
        <v>194</v>
      </c>
      <c r="E317" s="55">
        <f ca="1">IFERROR(__xludf.DUMMYFUNCTION("""COMPUTED_VALUE"""),47255)</f>
        <v>47255</v>
      </c>
    </row>
    <row r="318" spans="1:5" ht="13.2" x14ac:dyDescent="0.25">
      <c r="A318" s="131">
        <f ca="1">IFERROR(__xludf.DUMMYFUNCTION("""COMPUTED_VALUE"""),44207)</f>
        <v>44207</v>
      </c>
      <c r="B318" s="55">
        <f ca="1">IFERROR(__xludf.DUMMYFUNCTION("""COMPUTED_VALUE"""),106)</f>
        <v>106</v>
      </c>
      <c r="C318" s="55">
        <f ca="1">IFERROR(__xludf.DUMMYFUNCTION("""COMPUTED_VALUE"""),11913)</f>
        <v>11913</v>
      </c>
      <c r="D318" s="55">
        <f ca="1">IFERROR(__xludf.DUMMYFUNCTION("""COMPUTED_VALUE"""),229)</f>
        <v>229</v>
      </c>
      <c r="E318" s="55">
        <f ca="1">IFERROR(__xludf.DUMMYFUNCTION("""COMPUTED_VALUE"""),47484)</f>
        <v>47484</v>
      </c>
    </row>
    <row r="319" spans="1:5" ht="13.2" x14ac:dyDescent="0.25">
      <c r="A319" s="131">
        <f ca="1">IFERROR(__xludf.DUMMYFUNCTION("""COMPUTED_VALUE"""),44208)</f>
        <v>44208</v>
      </c>
      <c r="B319" s="55">
        <f ca="1">IFERROR(__xludf.DUMMYFUNCTION("""COMPUTED_VALUE"""),107)</f>
        <v>107</v>
      </c>
      <c r="C319" s="55">
        <f ca="1">IFERROR(__xludf.DUMMYFUNCTION("""COMPUTED_VALUE"""),12020)</f>
        <v>12020</v>
      </c>
      <c r="D319" s="55">
        <f ca="1">IFERROR(__xludf.DUMMYFUNCTION("""COMPUTED_VALUE"""),223)</f>
        <v>223</v>
      </c>
      <c r="E319" s="55">
        <f ca="1">IFERROR(__xludf.DUMMYFUNCTION("""COMPUTED_VALUE"""),47707)</f>
        <v>47707</v>
      </c>
    </row>
    <row r="320" spans="1:5" ht="13.2" x14ac:dyDescent="0.25">
      <c r="A320" s="131">
        <f ca="1">IFERROR(__xludf.DUMMYFUNCTION("""COMPUTED_VALUE"""),44209)</f>
        <v>44209</v>
      </c>
      <c r="B320" s="55">
        <f ca="1">IFERROR(__xludf.DUMMYFUNCTION("""COMPUTED_VALUE"""),98)</f>
        <v>98</v>
      </c>
      <c r="C320" s="55">
        <f ca="1">IFERROR(__xludf.DUMMYFUNCTION("""COMPUTED_VALUE"""),12118)</f>
        <v>12118</v>
      </c>
      <c r="D320" s="55">
        <f ca="1">IFERROR(__xludf.DUMMYFUNCTION("""COMPUTED_VALUE"""),231)</f>
        <v>231</v>
      </c>
      <c r="E320" s="55">
        <f ca="1">IFERROR(__xludf.DUMMYFUNCTION("""COMPUTED_VALUE"""),47938)</f>
        <v>47938</v>
      </c>
    </row>
    <row r="321" spans="1:5" ht="13.2" x14ac:dyDescent="0.25">
      <c r="A321" s="131">
        <f ca="1">IFERROR(__xludf.DUMMYFUNCTION("""COMPUTED_VALUE"""),44210)</f>
        <v>44210</v>
      </c>
      <c r="B321" s="55">
        <f ca="1">IFERROR(__xludf.DUMMYFUNCTION("""COMPUTED_VALUE"""),113)</f>
        <v>113</v>
      </c>
      <c r="C321" s="55">
        <f ca="1">IFERROR(__xludf.DUMMYFUNCTION("""COMPUTED_VALUE"""),12231)</f>
        <v>12231</v>
      </c>
      <c r="D321" s="55">
        <f ca="1">IFERROR(__xludf.DUMMYFUNCTION("""COMPUTED_VALUE"""),206)</f>
        <v>206</v>
      </c>
      <c r="E321" s="55">
        <f ca="1">IFERROR(__xludf.DUMMYFUNCTION("""COMPUTED_VALUE"""),48144)</f>
        <v>48144</v>
      </c>
    </row>
    <row r="322" spans="1:5" ht="13.2" x14ac:dyDescent="0.25">
      <c r="A322" s="131">
        <f ca="1">IFERROR(__xludf.DUMMYFUNCTION("""COMPUTED_VALUE"""),44211)</f>
        <v>44211</v>
      </c>
      <c r="B322" s="55">
        <f ca="1">IFERROR(__xludf.DUMMYFUNCTION("""COMPUTED_VALUE"""),88)</f>
        <v>88</v>
      </c>
      <c r="C322" s="55">
        <f ca="1">IFERROR(__xludf.DUMMYFUNCTION("""COMPUTED_VALUE"""),12319)</f>
        <v>12319</v>
      </c>
      <c r="D322" s="55">
        <f ca="1">IFERROR(__xludf.DUMMYFUNCTION("""COMPUTED_VALUE"""),210)</f>
        <v>210</v>
      </c>
      <c r="E322" s="55">
        <f ca="1">IFERROR(__xludf.DUMMYFUNCTION("""COMPUTED_VALUE"""),48354)</f>
        <v>48354</v>
      </c>
    </row>
    <row r="323" spans="1:5" ht="13.2" x14ac:dyDescent="0.25">
      <c r="A323" s="131">
        <f ca="1">IFERROR(__xludf.DUMMYFUNCTION("""COMPUTED_VALUE"""),44212)</f>
        <v>44212</v>
      </c>
      <c r="B323" s="55">
        <f ca="1">IFERROR(__xludf.DUMMYFUNCTION("""COMPUTED_VALUE"""),103)</f>
        <v>103</v>
      </c>
      <c r="C323" s="55">
        <f ca="1">IFERROR(__xludf.DUMMYFUNCTION("""COMPUTED_VALUE"""),12422)</f>
        <v>12422</v>
      </c>
      <c r="D323" s="55">
        <f ca="1">IFERROR(__xludf.DUMMYFUNCTION("""COMPUTED_VALUE"""),225)</f>
        <v>225</v>
      </c>
      <c r="E323" s="55">
        <f ca="1">IFERROR(__xludf.DUMMYFUNCTION("""COMPUTED_VALUE"""),48579)</f>
        <v>48579</v>
      </c>
    </row>
    <row r="324" spans="1:5" ht="13.2" x14ac:dyDescent="0.25">
      <c r="A324" s="131">
        <f ca="1">IFERROR(__xludf.DUMMYFUNCTION("""COMPUTED_VALUE"""),44213)</f>
        <v>44213</v>
      </c>
      <c r="B324" s="55">
        <f ca="1">IFERROR(__xludf.DUMMYFUNCTION("""COMPUTED_VALUE"""),99)</f>
        <v>99</v>
      </c>
      <c r="C324" s="55">
        <f ca="1">IFERROR(__xludf.DUMMYFUNCTION("""COMPUTED_VALUE"""),12521)</f>
        <v>12521</v>
      </c>
      <c r="D324" s="55">
        <f ca="1">IFERROR(__xludf.DUMMYFUNCTION("""COMPUTED_VALUE"""),225)</f>
        <v>225</v>
      </c>
      <c r="E324" s="55">
        <f ca="1">IFERROR(__xludf.DUMMYFUNCTION("""COMPUTED_VALUE"""),48804)</f>
        <v>48804</v>
      </c>
    </row>
    <row r="325" spans="1:5" ht="13.2" x14ac:dyDescent="0.25">
      <c r="A325" s="131">
        <f ca="1">IFERROR(__xludf.DUMMYFUNCTION("""COMPUTED_VALUE"""),44214)</f>
        <v>44214</v>
      </c>
      <c r="B325" s="55">
        <f ca="1">IFERROR(__xludf.DUMMYFUNCTION("""COMPUTED_VALUE"""),111)</f>
        <v>111</v>
      </c>
      <c r="C325" s="55">
        <f ca="1">IFERROR(__xludf.DUMMYFUNCTION("""COMPUTED_VALUE"""),12632)</f>
        <v>12632</v>
      </c>
      <c r="D325" s="55">
        <f ca="1">IFERROR(__xludf.DUMMYFUNCTION("""COMPUTED_VALUE"""),214)</f>
        <v>214</v>
      </c>
      <c r="E325" s="55">
        <f ca="1">IFERROR(__xludf.DUMMYFUNCTION("""COMPUTED_VALUE"""),49018)</f>
        <v>49018</v>
      </c>
    </row>
    <row r="326" spans="1:5" ht="13.2" x14ac:dyDescent="0.25">
      <c r="A326" s="131">
        <f ca="1">IFERROR(__xludf.DUMMYFUNCTION("""COMPUTED_VALUE"""),44215)</f>
        <v>44215</v>
      </c>
      <c r="B326" s="55">
        <f ca="1">IFERROR(__xludf.DUMMYFUNCTION("""COMPUTED_VALUE"""),100)</f>
        <v>100</v>
      </c>
      <c r="C326" s="55">
        <f ca="1">IFERROR(__xludf.DUMMYFUNCTION("""COMPUTED_VALUE"""),12732)</f>
        <v>12732</v>
      </c>
      <c r="D326" s="55">
        <f ca="1">IFERROR(__xludf.DUMMYFUNCTION("""COMPUTED_VALUE"""),222)</f>
        <v>222</v>
      </c>
      <c r="E326" s="55">
        <f ca="1">IFERROR(__xludf.DUMMYFUNCTION("""COMPUTED_VALUE"""),49240)</f>
        <v>49240</v>
      </c>
    </row>
    <row r="327" spans="1:5" ht="13.2" x14ac:dyDescent="0.25">
      <c r="A327" s="131">
        <f ca="1">IFERROR(__xludf.DUMMYFUNCTION("""COMPUTED_VALUE"""),44216)</f>
        <v>44216</v>
      </c>
      <c r="B327" s="55">
        <f ca="1">IFERROR(__xludf.DUMMYFUNCTION("""COMPUTED_VALUE"""),95)</f>
        <v>95</v>
      </c>
      <c r="C327" s="55">
        <f ca="1">IFERROR(__xludf.DUMMYFUNCTION("""COMPUTED_VALUE"""),12827)</f>
        <v>12827</v>
      </c>
      <c r="D327" s="55">
        <f ca="1">IFERROR(__xludf.DUMMYFUNCTION("""COMPUTED_VALUE"""),217)</f>
        <v>217</v>
      </c>
      <c r="E327" s="55">
        <f ca="1">IFERROR(__xludf.DUMMYFUNCTION("""COMPUTED_VALUE"""),49457)</f>
        <v>49457</v>
      </c>
    </row>
    <row r="328" spans="1:5" ht="13.2" x14ac:dyDescent="0.25">
      <c r="A328" s="131">
        <f ca="1">IFERROR(__xludf.DUMMYFUNCTION("""COMPUTED_VALUE"""),44217)</f>
        <v>44217</v>
      </c>
      <c r="B328" s="55">
        <f ca="1">IFERROR(__xludf.DUMMYFUNCTION("""COMPUTED_VALUE"""),92)</f>
        <v>92</v>
      </c>
      <c r="C328" s="55">
        <f ca="1">IFERROR(__xludf.DUMMYFUNCTION("""COMPUTED_VALUE"""),12919)</f>
        <v>12919</v>
      </c>
      <c r="D328" s="55">
        <f ca="1">IFERROR(__xludf.DUMMYFUNCTION("""COMPUTED_VALUE"""),214)</f>
        <v>214</v>
      </c>
      <c r="E328" s="55">
        <f ca="1">IFERROR(__xludf.DUMMYFUNCTION("""COMPUTED_VALUE"""),49671)</f>
        <v>49671</v>
      </c>
    </row>
    <row r="329" spans="1:5" ht="13.2" x14ac:dyDescent="0.25">
      <c r="A329" s="131">
        <f ca="1">IFERROR(__xludf.DUMMYFUNCTION("""COMPUTED_VALUE"""),44218)</f>
        <v>44218</v>
      </c>
      <c r="B329" s="55">
        <f ca="1">IFERROR(__xludf.DUMMYFUNCTION("""COMPUTED_VALUE"""),87)</f>
        <v>87</v>
      </c>
      <c r="C329" s="55">
        <f ca="1">IFERROR(__xludf.DUMMYFUNCTION("""COMPUTED_VALUE"""),13006)</f>
        <v>13006</v>
      </c>
      <c r="D329" s="55">
        <f ca="1">IFERROR(__xludf.DUMMYFUNCTION("""COMPUTED_VALUE"""),177)</f>
        <v>177</v>
      </c>
      <c r="E329" s="55">
        <f ca="1">IFERROR(__xludf.DUMMYFUNCTION("""COMPUTED_VALUE"""),49848)</f>
        <v>49848</v>
      </c>
    </row>
    <row r="330" spans="1:5" ht="13.2" x14ac:dyDescent="0.25">
      <c r="A330" s="131">
        <f ca="1">IFERROR(__xludf.DUMMYFUNCTION("""COMPUTED_VALUE"""),44219)</f>
        <v>44219</v>
      </c>
      <c r="B330" s="55">
        <f ca="1">IFERROR(__xludf.DUMMYFUNCTION("""COMPUTED_VALUE"""),95)</f>
        <v>95</v>
      </c>
      <c r="C330" s="55">
        <f ca="1">IFERROR(__xludf.DUMMYFUNCTION("""COMPUTED_VALUE"""),13101)</f>
        <v>13101</v>
      </c>
      <c r="D330" s="55">
        <f ca="1">IFERROR(__xludf.DUMMYFUNCTION("""COMPUTED_VALUE"""),208)</f>
        <v>208</v>
      </c>
      <c r="E330" s="55">
        <f ca="1">IFERROR(__xludf.DUMMYFUNCTION("""COMPUTED_VALUE"""),50056)</f>
        <v>50056</v>
      </c>
    </row>
    <row r="331" spans="1:5" ht="13.2" x14ac:dyDescent="0.25">
      <c r="A331" s="131">
        <f ca="1">IFERROR(__xludf.DUMMYFUNCTION("""COMPUTED_VALUE"""),44220)</f>
        <v>44220</v>
      </c>
      <c r="B331" s="55">
        <f ca="1">IFERROR(__xludf.DUMMYFUNCTION("""COMPUTED_VALUE"""),79)</f>
        <v>79</v>
      </c>
      <c r="C331" s="55">
        <f ca="1">IFERROR(__xludf.DUMMYFUNCTION("""COMPUTED_VALUE"""),13180)</f>
        <v>13180</v>
      </c>
      <c r="D331" s="55">
        <f ca="1">IFERROR(__xludf.DUMMYFUNCTION("""COMPUTED_VALUE"""),201)</f>
        <v>201</v>
      </c>
      <c r="E331" s="55">
        <f ca="1">IFERROR(__xludf.DUMMYFUNCTION("""COMPUTED_VALUE"""),50257)</f>
        <v>50257</v>
      </c>
    </row>
    <row r="332" spans="1:5" ht="13.2" x14ac:dyDescent="0.25">
      <c r="A332" s="131">
        <f ca="1">IFERROR(__xludf.DUMMYFUNCTION("""COMPUTED_VALUE"""),44221)</f>
        <v>44221</v>
      </c>
      <c r="B332" s="55">
        <f ca="1">IFERROR(__xludf.DUMMYFUNCTION("""COMPUTED_VALUE"""),95)</f>
        <v>95</v>
      </c>
      <c r="C332" s="55">
        <f ca="1">IFERROR(__xludf.DUMMYFUNCTION("""COMPUTED_VALUE"""),13275)</f>
        <v>13275</v>
      </c>
      <c r="D332" s="55">
        <f ca="1">IFERROR(__xludf.DUMMYFUNCTION("""COMPUTED_VALUE"""),196)</f>
        <v>196</v>
      </c>
      <c r="E332" s="55">
        <f ca="1">IFERROR(__xludf.DUMMYFUNCTION("""COMPUTED_VALUE"""),50453)</f>
        <v>50453</v>
      </c>
    </row>
    <row r="333" spans="1:5" ht="13.2" x14ac:dyDescent="0.25">
      <c r="A333" s="131">
        <f ca="1">IFERROR(__xludf.DUMMYFUNCTION("""COMPUTED_VALUE"""),44222)</f>
        <v>44222</v>
      </c>
      <c r="B333" s="55">
        <f ca="1">IFERROR(__xludf.DUMMYFUNCTION("""COMPUTED_VALUE"""),106)</f>
        <v>106</v>
      </c>
      <c r="C333" s="55">
        <f ca="1">IFERROR(__xludf.DUMMYFUNCTION("""COMPUTED_VALUE"""),13381)</f>
        <v>13381</v>
      </c>
      <c r="D333" s="55">
        <f ca="1">IFERROR(__xludf.DUMMYFUNCTION("""COMPUTED_VALUE"""),237)</f>
        <v>237</v>
      </c>
      <c r="E333" s="55">
        <f ca="1">IFERROR(__xludf.DUMMYFUNCTION("""COMPUTED_VALUE"""),50690)</f>
        <v>50690</v>
      </c>
    </row>
    <row r="334" spans="1:5" ht="13.2" x14ac:dyDescent="0.25">
      <c r="A334" s="131">
        <f ca="1">IFERROR(__xludf.DUMMYFUNCTION("""COMPUTED_VALUE"""),44223)</f>
        <v>44223</v>
      </c>
      <c r="B334" s="55">
        <f ca="1">IFERROR(__xludf.DUMMYFUNCTION("""COMPUTED_VALUE"""),104)</f>
        <v>104</v>
      </c>
      <c r="C334" s="55">
        <f ca="1">IFERROR(__xludf.DUMMYFUNCTION("""COMPUTED_VALUE"""),13485)</f>
        <v>13485</v>
      </c>
      <c r="D334" s="55">
        <f ca="1">IFERROR(__xludf.DUMMYFUNCTION("""COMPUTED_VALUE"""),203)</f>
        <v>203</v>
      </c>
      <c r="E334" s="55">
        <f ca="1">IFERROR(__xludf.DUMMYFUNCTION("""COMPUTED_VALUE"""),50893)</f>
        <v>50893</v>
      </c>
    </row>
    <row r="335" spans="1:5" ht="13.2" x14ac:dyDescent="0.25">
      <c r="A335" s="131">
        <f ca="1">IFERROR(__xludf.DUMMYFUNCTION("""COMPUTED_VALUE"""),44224)</f>
        <v>44224</v>
      </c>
      <c r="B335" s="55">
        <f ca="1">IFERROR(__xludf.DUMMYFUNCTION("""COMPUTED_VALUE"""),110)</f>
        <v>110</v>
      </c>
      <c r="C335" s="55">
        <f ca="1">IFERROR(__xludf.DUMMYFUNCTION("""COMPUTED_VALUE"""),13595)</f>
        <v>13595</v>
      </c>
      <c r="D335" s="55">
        <f ca="1">IFERROR(__xludf.DUMMYFUNCTION("""COMPUTED_VALUE"""),218)</f>
        <v>218</v>
      </c>
      <c r="E335" s="55">
        <f ca="1">IFERROR(__xludf.DUMMYFUNCTION("""COMPUTED_VALUE"""),51111)</f>
        <v>51111</v>
      </c>
    </row>
    <row r="336" spans="1:5" ht="13.2" x14ac:dyDescent="0.25">
      <c r="A336" s="131">
        <f ca="1">IFERROR(__xludf.DUMMYFUNCTION("""COMPUTED_VALUE"""),44225)</f>
        <v>44225</v>
      </c>
      <c r="B336" s="55">
        <f ca="1">IFERROR(__xludf.DUMMYFUNCTION("""COMPUTED_VALUE"""),85)</f>
        <v>85</v>
      </c>
      <c r="C336" s="55">
        <f ca="1">IFERROR(__xludf.DUMMYFUNCTION("""COMPUTED_VALUE"""),13680)</f>
        <v>13680</v>
      </c>
      <c r="D336" s="55">
        <f ca="1">IFERROR(__xludf.DUMMYFUNCTION("""COMPUTED_VALUE"""),175)</f>
        <v>175</v>
      </c>
      <c r="E336" s="55">
        <f ca="1">IFERROR(__xludf.DUMMYFUNCTION("""COMPUTED_VALUE"""),51286)</f>
        <v>51286</v>
      </c>
    </row>
    <row r="337" spans="1:5" ht="13.2" x14ac:dyDescent="0.25">
      <c r="A337" s="131">
        <f ca="1">IFERROR(__xludf.DUMMYFUNCTION("""COMPUTED_VALUE"""),44226)</f>
        <v>44226</v>
      </c>
      <c r="B337" s="55">
        <f ca="1">IFERROR(__xludf.DUMMYFUNCTION("""COMPUTED_VALUE"""),75)</f>
        <v>75</v>
      </c>
      <c r="C337" s="55">
        <f ca="1">IFERROR(__xludf.DUMMYFUNCTION("""COMPUTED_VALUE"""),13755)</f>
        <v>13755</v>
      </c>
      <c r="D337" s="55">
        <f ca="1">IFERROR(__xludf.DUMMYFUNCTION("""COMPUTED_VALUE"""),199)</f>
        <v>199</v>
      </c>
      <c r="E337" s="55">
        <f ca="1">IFERROR(__xludf.DUMMYFUNCTION("""COMPUTED_VALUE"""),51485)</f>
        <v>51485</v>
      </c>
    </row>
    <row r="338" spans="1:5" ht="13.2" x14ac:dyDescent="0.25">
      <c r="A338" s="131">
        <f ca="1">IFERROR(__xludf.DUMMYFUNCTION("""COMPUTED_VALUE"""),44227)</f>
        <v>44227</v>
      </c>
      <c r="B338" s="55">
        <f ca="1">IFERROR(__xludf.DUMMYFUNCTION("""COMPUTED_VALUE"""),96)</f>
        <v>96</v>
      </c>
      <c r="C338" s="55">
        <f ca="1">IFERROR(__xludf.DUMMYFUNCTION("""COMPUTED_VALUE"""),13851)</f>
        <v>13851</v>
      </c>
      <c r="D338" s="55">
        <f ca="1">IFERROR(__xludf.DUMMYFUNCTION("""COMPUTED_VALUE"""),171)</f>
        <v>171</v>
      </c>
      <c r="E338" s="55">
        <f ca="1">IFERROR(__xludf.DUMMYFUNCTION("""COMPUTED_VALUE"""),51656)</f>
        <v>51656</v>
      </c>
    </row>
    <row r="339" spans="1:5" ht="13.2" x14ac:dyDescent="0.25">
      <c r="A339" s="131">
        <f ca="1">IFERROR(__xludf.DUMMYFUNCTION("""COMPUTED_VALUE"""),44228)</f>
        <v>44228</v>
      </c>
      <c r="B339" s="55">
        <f ca="1">IFERROR(__xludf.DUMMYFUNCTION("""COMPUTED_VALUE"""),87)</f>
        <v>87</v>
      </c>
      <c r="C339" s="55">
        <f ca="1">IFERROR(__xludf.DUMMYFUNCTION("""COMPUTED_VALUE"""),13938)</f>
        <v>13938</v>
      </c>
      <c r="D339" s="55">
        <f ca="1">IFERROR(__xludf.DUMMYFUNCTION("""COMPUTED_VALUE"""),192)</f>
        <v>192</v>
      </c>
      <c r="E339" s="55">
        <f ca="1">IFERROR(__xludf.DUMMYFUNCTION("""COMPUTED_VALUE"""),51848)</f>
        <v>51848</v>
      </c>
    </row>
    <row r="340" spans="1:5" ht="13.2" x14ac:dyDescent="0.25">
      <c r="A340" s="131">
        <f ca="1">IFERROR(__xludf.DUMMYFUNCTION("""COMPUTED_VALUE"""),44229)</f>
        <v>44229</v>
      </c>
      <c r="B340" s="55">
        <f ca="1">IFERROR(__xludf.DUMMYFUNCTION("""COMPUTED_VALUE"""),70)</f>
        <v>70</v>
      </c>
      <c r="C340" s="55">
        <f ca="1">IFERROR(__xludf.DUMMYFUNCTION("""COMPUTED_VALUE"""),14008)</f>
        <v>14008</v>
      </c>
      <c r="D340" s="55">
        <f ca="1">IFERROR(__xludf.DUMMYFUNCTION("""COMPUTED_VALUE"""),198)</f>
        <v>198</v>
      </c>
      <c r="E340" s="55">
        <f ca="1">IFERROR(__xludf.DUMMYFUNCTION("""COMPUTED_VALUE"""),52046)</f>
        <v>52046</v>
      </c>
    </row>
    <row r="341" spans="1:5" ht="13.2" x14ac:dyDescent="0.25">
      <c r="A341" s="131">
        <f ca="1">IFERROR(__xludf.DUMMYFUNCTION("""COMPUTED_VALUE"""),44230)</f>
        <v>44230</v>
      </c>
      <c r="B341" s="55">
        <f ca="1">IFERROR(__xludf.DUMMYFUNCTION("""COMPUTED_VALUE"""),78)</f>
        <v>78</v>
      </c>
      <c r="C341" s="55">
        <f ca="1">IFERROR(__xludf.DUMMYFUNCTION("""COMPUTED_VALUE"""),14086)</f>
        <v>14086</v>
      </c>
      <c r="D341" s="55">
        <f ca="1">IFERROR(__xludf.DUMMYFUNCTION("""COMPUTED_VALUE"""),201)</f>
        <v>201</v>
      </c>
      <c r="E341" s="55">
        <f ca="1">IFERROR(__xludf.DUMMYFUNCTION("""COMPUTED_VALUE"""),52247)</f>
        <v>52247</v>
      </c>
    </row>
    <row r="342" spans="1:5" ht="13.2" x14ac:dyDescent="0.25">
      <c r="A342" s="131">
        <f ca="1">IFERROR(__xludf.DUMMYFUNCTION("""COMPUTED_VALUE"""),44231)</f>
        <v>44231</v>
      </c>
      <c r="B342" s="55">
        <f ca="1">IFERROR(__xludf.DUMMYFUNCTION("""COMPUTED_VALUE"""),71)</f>
        <v>71</v>
      </c>
      <c r="C342" s="55">
        <f ca="1">IFERROR(__xludf.DUMMYFUNCTION("""COMPUTED_VALUE"""),14157)</f>
        <v>14157</v>
      </c>
      <c r="D342" s="55">
        <f ca="1">IFERROR(__xludf.DUMMYFUNCTION("""COMPUTED_VALUE"""),176)</f>
        <v>176</v>
      </c>
      <c r="E342" s="55">
        <f ca="1">IFERROR(__xludf.DUMMYFUNCTION("""COMPUTED_VALUE"""),52423)</f>
        <v>52423</v>
      </c>
    </row>
    <row r="343" spans="1:5" ht="13.2" x14ac:dyDescent="0.25">
      <c r="A343" s="131">
        <f ca="1">IFERROR(__xludf.DUMMYFUNCTION("""COMPUTED_VALUE"""),44232)</f>
        <v>44232</v>
      </c>
      <c r="B343" s="55">
        <f ca="1">IFERROR(__xludf.DUMMYFUNCTION("""COMPUTED_VALUE"""),80)</f>
        <v>80</v>
      </c>
      <c r="C343" s="55">
        <f ca="1">IFERROR(__xludf.DUMMYFUNCTION("""COMPUTED_VALUE"""),14237)</f>
        <v>14237</v>
      </c>
      <c r="D343" s="55">
        <f ca="1">IFERROR(__xludf.DUMMYFUNCTION("""COMPUTED_VALUE"""),209)</f>
        <v>209</v>
      </c>
      <c r="E343" s="55">
        <f ca="1">IFERROR(__xludf.DUMMYFUNCTION("""COMPUTED_VALUE"""),52632)</f>
        <v>52632</v>
      </c>
    </row>
    <row r="344" spans="1:5" ht="13.2" x14ac:dyDescent="0.25">
      <c r="A344" s="131">
        <f ca="1">IFERROR(__xludf.DUMMYFUNCTION("""COMPUTED_VALUE"""),44233)</f>
        <v>44233</v>
      </c>
      <c r="B344" s="55">
        <f ca="1">IFERROR(__xludf.DUMMYFUNCTION("""COMPUTED_VALUE"""),68)</f>
        <v>68</v>
      </c>
      <c r="C344" s="55">
        <f ca="1">IFERROR(__xludf.DUMMYFUNCTION("""COMPUTED_VALUE"""),14305)</f>
        <v>14305</v>
      </c>
      <c r="D344" s="55">
        <f ca="1">IFERROR(__xludf.DUMMYFUNCTION("""COMPUTED_VALUE"""),185)</f>
        <v>185</v>
      </c>
      <c r="E344" s="55">
        <f ca="1">IFERROR(__xludf.DUMMYFUNCTION("""COMPUTED_VALUE"""),52817)</f>
        <v>52817</v>
      </c>
    </row>
    <row r="345" spans="1:5" ht="13.2" x14ac:dyDescent="0.25">
      <c r="A345" s="131">
        <f ca="1">IFERROR(__xludf.DUMMYFUNCTION("""COMPUTED_VALUE"""),44234)</f>
        <v>44234</v>
      </c>
      <c r="B345" s="55">
        <f ca="1">IFERROR(__xludf.DUMMYFUNCTION("""COMPUTED_VALUE"""),62)</f>
        <v>62</v>
      </c>
      <c r="C345" s="55">
        <f ca="1">IFERROR(__xludf.DUMMYFUNCTION("""COMPUTED_VALUE"""),14367)</f>
        <v>14367</v>
      </c>
      <c r="D345" s="55">
        <f ca="1">IFERROR(__xludf.DUMMYFUNCTION("""COMPUTED_VALUE"""),163)</f>
        <v>163</v>
      </c>
      <c r="E345" s="55">
        <f ca="1">IFERROR(__xludf.DUMMYFUNCTION("""COMPUTED_VALUE"""),52980)</f>
        <v>52980</v>
      </c>
    </row>
    <row r="346" spans="1:5" ht="13.2" x14ac:dyDescent="0.25">
      <c r="A346" s="131">
        <f ca="1">IFERROR(__xludf.DUMMYFUNCTION("""COMPUTED_VALUE"""),44235)</f>
        <v>44235</v>
      </c>
      <c r="B346" s="55">
        <f ca="1">IFERROR(__xludf.DUMMYFUNCTION("""COMPUTED_VALUE"""),74)</f>
        <v>74</v>
      </c>
      <c r="C346" s="55">
        <f ca="1">IFERROR(__xludf.DUMMYFUNCTION("""COMPUTED_VALUE"""),14441)</f>
        <v>14441</v>
      </c>
      <c r="D346" s="55">
        <f ca="1">IFERROR(__xludf.DUMMYFUNCTION("""COMPUTED_VALUE"""),168)</f>
        <v>168</v>
      </c>
      <c r="E346" s="55">
        <f ca="1">IFERROR(__xludf.DUMMYFUNCTION("""COMPUTED_VALUE"""),53148)</f>
        <v>53148</v>
      </c>
    </row>
    <row r="347" spans="1:5" ht="13.2" x14ac:dyDescent="0.25">
      <c r="A347" s="131">
        <f ca="1">IFERROR(__xludf.DUMMYFUNCTION("""COMPUTED_VALUE"""),44236)</f>
        <v>44236</v>
      </c>
      <c r="B347" s="55">
        <f ca="1">IFERROR(__xludf.DUMMYFUNCTION("""COMPUTED_VALUE"""),83)</f>
        <v>83</v>
      </c>
      <c r="C347" s="55">
        <f ca="1">IFERROR(__xludf.DUMMYFUNCTION("""COMPUTED_VALUE"""),14524)</f>
        <v>14524</v>
      </c>
      <c r="D347" s="55">
        <f ca="1">IFERROR(__xludf.DUMMYFUNCTION("""COMPUTED_VALUE"""),194)</f>
        <v>194</v>
      </c>
      <c r="E347" s="55">
        <f ca="1">IFERROR(__xludf.DUMMYFUNCTION("""COMPUTED_VALUE"""),53342)</f>
        <v>53342</v>
      </c>
    </row>
    <row r="348" spans="1:5" ht="13.2" x14ac:dyDescent="0.25">
      <c r="A348" s="131">
        <f ca="1">IFERROR(__xludf.DUMMYFUNCTION("""COMPUTED_VALUE"""),44237)</f>
        <v>44237</v>
      </c>
      <c r="B348" s="55">
        <f ca="1">IFERROR(__xludf.DUMMYFUNCTION("""COMPUTED_VALUE"""),70)</f>
        <v>70</v>
      </c>
      <c r="C348" s="55">
        <f ca="1">IFERROR(__xludf.DUMMYFUNCTION("""COMPUTED_VALUE"""),14594)</f>
        <v>14594</v>
      </c>
      <c r="D348" s="55">
        <f ca="1">IFERROR(__xludf.DUMMYFUNCTION("""COMPUTED_VALUE"""),203)</f>
        <v>203</v>
      </c>
      <c r="E348" s="55">
        <f ca="1">IFERROR(__xludf.DUMMYFUNCTION("""COMPUTED_VALUE"""),53545)</f>
        <v>53545</v>
      </c>
    </row>
    <row r="349" spans="1:5" ht="13.2" x14ac:dyDescent="0.25">
      <c r="A349" s="131">
        <f ca="1">IFERROR(__xludf.DUMMYFUNCTION("""COMPUTED_VALUE"""),44238)</f>
        <v>44238</v>
      </c>
      <c r="B349" s="55">
        <f ca="1">IFERROR(__xludf.DUMMYFUNCTION("""COMPUTED_VALUE"""),68)</f>
        <v>68</v>
      </c>
      <c r="C349" s="55">
        <f ca="1">IFERROR(__xludf.DUMMYFUNCTION("""COMPUTED_VALUE"""),14662)</f>
        <v>14662</v>
      </c>
      <c r="D349" s="55">
        <f ca="1">IFERROR(__xludf.DUMMYFUNCTION("""COMPUTED_VALUE"""),175)</f>
        <v>175</v>
      </c>
      <c r="E349" s="55">
        <f ca="1">IFERROR(__xludf.DUMMYFUNCTION("""COMPUTED_VALUE"""),53720)</f>
        <v>53720</v>
      </c>
    </row>
    <row r="350" spans="1:5" ht="13.2" x14ac:dyDescent="0.25">
      <c r="A350" s="131">
        <f ca="1">IFERROR(__xludf.DUMMYFUNCTION("""COMPUTED_VALUE"""),44239)</f>
        <v>44239</v>
      </c>
      <c r="B350" s="55">
        <f ca="1">IFERROR(__xludf.DUMMYFUNCTION("""COMPUTED_VALUE"""),75)</f>
        <v>75</v>
      </c>
      <c r="C350" s="55">
        <f ca="1">IFERROR(__xludf.DUMMYFUNCTION("""COMPUTED_VALUE"""),14737)</f>
        <v>14737</v>
      </c>
      <c r="D350" s="55">
        <f ca="1">IFERROR(__xludf.DUMMYFUNCTION("""COMPUTED_VALUE"""),186)</f>
        <v>186</v>
      </c>
      <c r="E350" s="55">
        <f ca="1">IFERROR(__xludf.DUMMYFUNCTION("""COMPUTED_VALUE"""),53906)</f>
        <v>53906</v>
      </c>
    </row>
    <row r="351" spans="1:5" ht="13.2" x14ac:dyDescent="0.25">
      <c r="A351" s="131">
        <f ca="1">IFERROR(__xludf.DUMMYFUNCTION("""COMPUTED_VALUE"""),44240)</f>
        <v>44240</v>
      </c>
      <c r="B351" s="55">
        <f ca="1">IFERROR(__xludf.DUMMYFUNCTION("""COMPUTED_VALUE"""),89)</f>
        <v>89</v>
      </c>
      <c r="C351" s="55">
        <f ca="1">IFERROR(__xludf.DUMMYFUNCTION("""COMPUTED_VALUE"""),14826)</f>
        <v>14826</v>
      </c>
      <c r="D351" s="55">
        <f ca="1">IFERROR(__xludf.DUMMYFUNCTION("""COMPUTED_VALUE"""),180)</f>
        <v>180</v>
      </c>
      <c r="E351" s="55">
        <f ca="1">IFERROR(__xludf.DUMMYFUNCTION("""COMPUTED_VALUE"""),54086)</f>
        <v>54086</v>
      </c>
    </row>
    <row r="352" spans="1:5" ht="13.2" x14ac:dyDescent="0.25">
      <c r="A352" s="131">
        <f ca="1">IFERROR(__xludf.DUMMYFUNCTION("""COMPUTED_VALUE"""),44241)</f>
        <v>44241</v>
      </c>
      <c r="B352" s="55">
        <f ca="1">IFERROR(__xludf.DUMMYFUNCTION("""COMPUTED_VALUE"""),63)</f>
        <v>63</v>
      </c>
      <c r="C352" s="55">
        <f ca="1">IFERROR(__xludf.DUMMYFUNCTION("""COMPUTED_VALUE"""),14889)</f>
        <v>14889</v>
      </c>
      <c r="D352" s="55">
        <f ca="1">IFERROR(__xludf.DUMMYFUNCTION("""COMPUTED_VALUE"""),148)</f>
        <v>148</v>
      </c>
      <c r="E352" s="55">
        <f ca="1">IFERROR(__xludf.DUMMYFUNCTION("""COMPUTED_VALUE"""),54234)</f>
        <v>54234</v>
      </c>
    </row>
    <row r="353" spans="1:5" ht="13.2" x14ac:dyDescent="0.25">
      <c r="A353" s="131">
        <f ca="1">IFERROR(__xludf.DUMMYFUNCTION("""COMPUTED_VALUE"""),44242)</f>
        <v>44242</v>
      </c>
      <c r="B353" s="55">
        <f ca="1">IFERROR(__xludf.DUMMYFUNCTION("""COMPUTED_VALUE"""),65)</f>
        <v>65</v>
      </c>
      <c r="C353" s="55">
        <f ca="1">IFERROR(__xludf.DUMMYFUNCTION("""COMPUTED_VALUE"""),14954)</f>
        <v>14954</v>
      </c>
      <c r="D353" s="55">
        <f ca="1">IFERROR(__xludf.DUMMYFUNCTION("""COMPUTED_VALUE"""),174)</f>
        <v>174</v>
      </c>
      <c r="E353" s="55">
        <f ca="1">IFERROR(__xludf.DUMMYFUNCTION("""COMPUTED_VALUE"""),54408)</f>
        <v>54408</v>
      </c>
    </row>
    <row r="354" spans="1:5" ht="13.2" x14ac:dyDescent="0.25">
      <c r="A354" s="131">
        <f ca="1">IFERROR(__xludf.DUMMYFUNCTION("""COMPUTED_VALUE"""),44243)</f>
        <v>44243</v>
      </c>
      <c r="B354" s="55">
        <f ca="1">IFERROR(__xludf.DUMMYFUNCTION("""COMPUTED_VALUE"""),75)</f>
        <v>75</v>
      </c>
      <c r="C354" s="55">
        <f ca="1">IFERROR(__xludf.DUMMYFUNCTION("""COMPUTED_VALUE"""),15029)</f>
        <v>15029</v>
      </c>
      <c r="D354" s="55">
        <f ca="1">IFERROR(__xludf.DUMMYFUNCTION("""COMPUTED_VALUE"""),192)</f>
        <v>192</v>
      </c>
      <c r="E354" s="55">
        <f ca="1">IFERROR(__xludf.DUMMYFUNCTION("""COMPUTED_VALUE"""),54600)</f>
        <v>54600</v>
      </c>
    </row>
    <row r="355" spans="1:5" ht="13.2" x14ac:dyDescent="0.25">
      <c r="A355" s="131">
        <f ca="1">IFERROR(__xludf.DUMMYFUNCTION("""COMPUTED_VALUE"""),44244)</f>
        <v>44244</v>
      </c>
      <c r="B355" s="55">
        <f ca="1">IFERROR(__xludf.DUMMYFUNCTION("""COMPUTED_VALUE"""),76)</f>
        <v>76</v>
      </c>
      <c r="C355" s="55">
        <f ca="1">IFERROR(__xludf.DUMMYFUNCTION("""COMPUTED_VALUE"""),15105)</f>
        <v>15105</v>
      </c>
      <c r="D355" s="55">
        <f ca="1">IFERROR(__xludf.DUMMYFUNCTION("""COMPUTED_VALUE"""),175)</f>
        <v>175</v>
      </c>
      <c r="E355" s="55">
        <f ca="1">IFERROR(__xludf.DUMMYFUNCTION("""COMPUTED_VALUE"""),54775)</f>
        <v>54775</v>
      </c>
    </row>
    <row r="356" spans="1:5" ht="13.2" x14ac:dyDescent="0.25">
      <c r="A356" s="131">
        <f ca="1">IFERROR(__xludf.DUMMYFUNCTION("""COMPUTED_VALUE"""),44245)</f>
        <v>44245</v>
      </c>
      <c r="B356" s="55">
        <f ca="1">IFERROR(__xludf.DUMMYFUNCTION("""COMPUTED_VALUE"""),69)</f>
        <v>69</v>
      </c>
      <c r="C356" s="55">
        <f ca="1">IFERROR(__xludf.DUMMYFUNCTION("""COMPUTED_VALUE"""),15174)</f>
        <v>15174</v>
      </c>
      <c r="D356" s="55">
        <f ca="1">IFERROR(__xludf.DUMMYFUNCTION("""COMPUTED_VALUE"""),179)</f>
        <v>179</v>
      </c>
      <c r="E356" s="55">
        <f ca="1">IFERROR(__xludf.DUMMYFUNCTION("""COMPUTED_VALUE"""),54954)</f>
        <v>54954</v>
      </c>
    </row>
    <row r="357" spans="1:5" ht="13.2" x14ac:dyDescent="0.25">
      <c r="A357" s="131">
        <f ca="1">IFERROR(__xludf.DUMMYFUNCTION("""COMPUTED_VALUE"""),44246)</f>
        <v>44246</v>
      </c>
      <c r="B357" s="55">
        <f ca="1">IFERROR(__xludf.DUMMYFUNCTION("""COMPUTED_VALUE"""),72)</f>
        <v>72</v>
      </c>
      <c r="C357" s="55">
        <f ca="1">IFERROR(__xludf.DUMMYFUNCTION("""COMPUTED_VALUE"""),15246)</f>
        <v>15246</v>
      </c>
      <c r="D357" s="55">
        <f ca="1">IFERROR(__xludf.DUMMYFUNCTION("""COMPUTED_VALUE"""),179)</f>
        <v>179</v>
      </c>
      <c r="E357" s="55">
        <f ca="1">IFERROR(__xludf.DUMMYFUNCTION("""COMPUTED_VALUE"""),55133)</f>
        <v>55133</v>
      </c>
    </row>
    <row r="358" spans="1:5" ht="13.2" x14ac:dyDescent="0.25">
      <c r="A358" s="131">
        <f ca="1">IFERROR(__xludf.DUMMYFUNCTION("""COMPUTED_VALUE"""),44247)</f>
        <v>44247</v>
      </c>
      <c r="B358" s="55">
        <f ca="1">IFERROR(__xludf.DUMMYFUNCTION("""COMPUTED_VALUE"""),60)</f>
        <v>60</v>
      </c>
      <c r="C358" s="55">
        <f ca="1">IFERROR(__xludf.DUMMYFUNCTION("""COMPUTED_VALUE"""),15306)</f>
        <v>15306</v>
      </c>
      <c r="D358" s="55">
        <f ca="1">IFERROR(__xludf.DUMMYFUNCTION("""COMPUTED_VALUE"""),157)</f>
        <v>157</v>
      </c>
      <c r="E358" s="55">
        <f ca="1">IFERROR(__xludf.DUMMYFUNCTION("""COMPUTED_VALUE"""),55290)</f>
        <v>55290</v>
      </c>
    </row>
    <row r="359" spans="1:5" ht="13.2" x14ac:dyDescent="0.25">
      <c r="A359" s="131">
        <f ca="1">IFERROR(__xludf.DUMMYFUNCTION("""COMPUTED_VALUE"""),44248)</f>
        <v>44248</v>
      </c>
      <c r="B359" s="55">
        <f ca="1">IFERROR(__xludf.DUMMYFUNCTION("""COMPUTED_VALUE"""),61)</f>
        <v>61</v>
      </c>
      <c r="C359" s="55">
        <f ca="1">IFERROR(__xludf.DUMMYFUNCTION("""COMPUTED_VALUE"""),15367)</f>
        <v>15367</v>
      </c>
      <c r="D359" s="55">
        <f ca="1">IFERROR(__xludf.DUMMYFUNCTION("""COMPUTED_VALUE"""),170)</f>
        <v>170</v>
      </c>
      <c r="E359" s="55">
        <f ca="1">IFERROR(__xludf.DUMMYFUNCTION("""COMPUTED_VALUE"""),55460)</f>
        <v>55460</v>
      </c>
    </row>
    <row r="360" spans="1:5" ht="13.2" x14ac:dyDescent="0.25">
      <c r="A360" s="131">
        <f ca="1">IFERROR(__xludf.DUMMYFUNCTION("""COMPUTED_VALUE"""),44249)</f>
        <v>44249</v>
      </c>
      <c r="B360" s="55">
        <f ca="1">IFERROR(__xludf.DUMMYFUNCTION("""COMPUTED_VALUE"""),60)</f>
        <v>60</v>
      </c>
      <c r="C360" s="55">
        <f ca="1">IFERROR(__xludf.DUMMYFUNCTION("""COMPUTED_VALUE"""),15427)</f>
        <v>15427</v>
      </c>
      <c r="D360" s="55">
        <f ca="1">IFERROR(__xludf.DUMMYFUNCTION("""COMPUTED_VALUE"""),166)</f>
        <v>166</v>
      </c>
      <c r="E360" s="55">
        <f ca="1">IFERROR(__xludf.DUMMYFUNCTION("""COMPUTED_VALUE"""),55626)</f>
        <v>55626</v>
      </c>
    </row>
    <row r="361" spans="1:5" ht="13.2" x14ac:dyDescent="0.25">
      <c r="A361" s="131">
        <f ca="1">IFERROR(__xludf.DUMMYFUNCTION("""COMPUTED_VALUE"""),44250)</f>
        <v>44250</v>
      </c>
      <c r="B361" s="55">
        <f ca="1">IFERROR(__xludf.DUMMYFUNCTION("""COMPUTED_VALUE"""),65)</f>
        <v>65</v>
      </c>
      <c r="C361" s="55">
        <f ca="1">IFERROR(__xludf.DUMMYFUNCTION("""COMPUTED_VALUE"""),15492)</f>
        <v>15492</v>
      </c>
      <c r="D361" s="55">
        <f ca="1">IFERROR(__xludf.DUMMYFUNCTION("""COMPUTED_VALUE"""),159)</f>
        <v>159</v>
      </c>
      <c r="E361" s="55">
        <f ca="1">IFERROR(__xludf.DUMMYFUNCTION("""COMPUTED_VALUE"""),55785)</f>
        <v>55785</v>
      </c>
    </row>
    <row r="362" spans="1:5" ht="13.2" x14ac:dyDescent="0.25">
      <c r="A362" s="131">
        <f ca="1">IFERROR(__xludf.DUMMYFUNCTION("""COMPUTED_VALUE"""),44251)</f>
        <v>44251</v>
      </c>
      <c r="B362" s="55">
        <f ca="1">IFERROR(__xludf.DUMMYFUNCTION("""COMPUTED_VALUE"""),40)</f>
        <v>40</v>
      </c>
      <c r="C362" s="55">
        <f ca="1">IFERROR(__xludf.DUMMYFUNCTION("""COMPUTED_VALUE"""),15532)</f>
        <v>15532</v>
      </c>
      <c r="D362" s="55">
        <f ca="1">IFERROR(__xludf.DUMMYFUNCTION("""COMPUTED_VALUE"""),156)</f>
        <v>156</v>
      </c>
      <c r="E362" s="55">
        <f ca="1">IFERROR(__xludf.DUMMYFUNCTION("""COMPUTED_VALUE"""),55941)</f>
        <v>55941</v>
      </c>
    </row>
    <row r="363" spans="1:5" ht="13.2" x14ac:dyDescent="0.25">
      <c r="A363" s="131">
        <f ca="1">IFERROR(__xludf.DUMMYFUNCTION("""COMPUTED_VALUE"""),44252)</f>
        <v>44252</v>
      </c>
      <c r="B363" s="55">
        <f ca="1">IFERROR(__xludf.DUMMYFUNCTION("""COMPUTED_VALUE"""),56)</f>
        <v>56</v>
      </c>
      <c r="C363" s="55">
        <f ca="1">IFERROR(__xludf.DUMMYFUNCTION("""COMPUTED_VALUE"""),15588)</f>
        <v>15588</v>
      </c>
      <c r="D363" s="55">
        <f ca="1">IFERROR(__xludf.DUMMYFUNCTION("""COMPUTED_VALUE"""),171)</f>
        <v>171</v>
      </c>
      <c r="E363" s="55">
        <f ca="1">IFERROR(__xludf.DUMMYFUNCTION("""COMPUTED_VALUE"""),56112)</f>
        <v>56112</v>
      </c>
    </row>
    <row r="364" spans="1:5" ht="13.2" x14ac:dyDescent="0.25">
      <c r="A364" s="131">
        <f ca="1">IFERROR(__xludf.DUMMYFUNCTION("""COMPUTED_VALUE"""),44253)</f>
        <v>44253</v>
      </c>
      <c r="B364" s="55">
        <f ca="1">IFERROR(__xludf.DUMMYFUNCTION("""COMPUTED_VALUE"""),63)</f>
        <v>63</v>
      </c>
      <c r="C364" s="55">
        <f ca="1">IFERROR(__xludf.DUMMYFUNCTION("""COMPUTED_VALUE"""),15651)</f>
        <v>15651</v>
      </c>
      <c r="D364" s="55">
        <f ca="1">IFERROR(__xludf.DUMMYFUNCTION("""COMPUTED_VALUE"""),146)</f>
        <v>146</v>
      </c>
      <c r="E364" s="55">
        <f ca="1">IFERROR(__xludf.DUMMYFUNCTION("""COMPUTED_VALUE"""),56258)</f>
        <v>56258</v>
      </c>
    </row>
    <row r="365" spans="1:5" ht="13.2" x14ac:dyDescent="0.25">
      <c r="A365" s="131">
        <f ca="1">IFERROR(__xludf.DUMMYFUNCTION("""COMPUTED_VALUE"""),44254)</f>
        <v>44254</v>
      </c>
      <c r="B365" s="55">
        <f ca="1">IFERROR(__xludf.DUMMYFUNCTION("""COMPUTED_VALUE"""),62)</f>
        <v>62</v>
      </c>
      <c r="C365" s="55">
        <f ca="1">IFERROR(__xludf.DUMMYFUNCTION("""COMPUTED_VALUE"""),15713)</f>
        <v>15713</v>
      </c>
      <c r="D365" s="55">
        <f ca="1">IFERROR(__xludf.DUMMYFUNCTION("""COMPUTED_VALUE"""),150)</f>
        <v>150</v>
      </c>
      <c r="E365" s="55">
        <f ca="1">IFERROR(__xludf.DUMMYFUNCTION("""COMPUTED_VALUE"""),56408)</f>
        <v>56408</v>
      </c>
    </row>
    <row r="366" spans="1:5" ht="13.2" x14ac:dyDescent="0.25">
      <c r="A366" s="131">
        <f ca="1">IFERROR(__xludf.DUMMYFUNCTION("""COMPUTED_VALUE"""),44255)</f>
        <v>44255</v>
      </c>
      <c r="B366" s="55">
        <f ca="1">IFERROR(__xludf.DUMMYFUNCTION("""COMPUTED_VALUE"""),50)</f>
        <v>50</v>
      </c>
      <c r="C366" s="55">
        <f ca="1">IFERROR(__xludf.DUMMYFUNCTION("""COMPUTED_VALUE"""),15763)</f>
        <v>15763</v>
      </c>
      <c r="D366" s="55">
        <f ca="1">IFERROR(__xludf.DUMMYFUNCTION("""COMPUTED_VALUE"""),180)</f>
        <v>180</v>
      </c>
      <c r="E366" s="55">
        <f ca="1">IFERROR(__xludf.DUMMYFUNCTION("""COMPUTED_VALUE"""),56588)</f>
        <v>56588</v>
      </c>
    </row>
    <row r="367" spans="1:5" ht="13.2" x14ac:dyDescent="0.25">
      <c r="A367" s="131">
        <f ca="1">IFERROR(__xludf.DUMMYFUNCTION("""COMPUTED_VALUE"""),44256)</f>
        <v>44256</v>
      </c>
      <c r="B367" s="55">
        <f ca="1">IFERROR(__xludf.DUMMYFUNCTION("""COMPUTED_VALUE"""),75)</f>
        <v>75</v>
      </c>
      <c r="C367" s="55">
        <f ca="1">IFERROR(__xludf.DUMMYFUNCTION("""COMPUTED_VALUE"""),15838)</f>
        <v>15838</v>
      </c>
      <c r="D367" s="55">
        <f ca="1">IFERROR(__xludf.DUMMYFUNCTION("""COMPUTED_VALUE"""),176)</f>
        <v>176</v>
      </c>
      <c r="E367" s="55">
        <f ca="1">IFERROR(__xludf.DUMMYFUNCTION("""COMPUTED_VALUE"""),56764)</f>
        <v>56764</v>
      </c>
    </row>
    <row r="368" spans="1:5" ht="13.2" x14ac:dyDescent="0.25">
      <c r="A368" s="131">
        <f ca="1">IFERROR(__xludf.DUMMYFUNCTION("""COMPUTED_VALUE"""),44257)</f>
        <v>44257</v>
      </c>
      <c r="B368" s="55">
        <f ca="1">IFERROR(__xludf.DUMMYFUNCTION("""COMPUTED_VALUE"""),57)</f>
        <v>57</v>
      </c>
      <c r="C368" s="55">
        <f ca="1">IFERROR(__xludf.DUMMYFUNCTION("""COMPUTED_VALUE"""),15895)</f>
        <v>15895</v>
      </c>
      <c r="D368" s="55">
        <f ca="1">IFERROR(__xludf.DUMMYFUNCTION("""COMPUTED_VALUE"""),159)</f>
        <v>159</v>
      </c>
      <c r="E368" s="55">
        <f ca="1">IFERROR(__xludf.DUMMYFUNCTION("""COMPUTED_VALUE"""),56923)</f>
        <v>56923</v>
      </c>
    </row>
    <row r="369" spans="1:5" ht="13.2" x14ac:dyDescent="0.25">
      <c r="A369" s="131">
        <f ca="1">IFERROR(__xludf.DUMMYFUNCTION("""COMPUTED_VALUE"""),44258)</f>
        <v>44258</v>
      </c>
      <c r="B369" s="55">
        <f ca="1">IFERROR(__xludf.DUMMYFUNCTION("""COMPUTED_VALUE"""),62)</f>
        <v>62</v>
      </c>
      <c r="C369" s="55">
        <f ca="1">IFERROR(__xludf.DUMMYFUNCTION("""COMPUTED_VALUE"""),15957)</f>
        <v>15957</v>
      </c>
      <c r="D369" s="55">
        <f ca="1">IFERROR(__xludf.DUMMYFUNCTION("""COMPUTED_VALUE"""),169)</f>
        <v>169</v>
      </c>
      <c r="E369" s="55">
        <f ca="1">IFERROR(__xludf.DUMMYFUNCTION("""COMPUTED_VALUE"""),57092)</f>
        <v>57092</v>
      </c>
    </row>
    <row r="370" spans="1:5" ht="13.2" x14ac:dyDescent="0.25">
      <c r="A370" s="131">
        <f ca="1">IFERROR(__xludf.DUMMYFUNCTION("""COMPUTED_VALUE"""),44259)</f>
        <v>44259</v>
      </c>
      <c r="B370" s="55">
        <f ca="1">IFERROR(__xludf.DUMMYFUNCTION("""COMPUTED_VALUE"""),51)</f>
        <v>51</v>
      </c>
      <c r="C370" s="55">
        <f ca="1">IFERROR(__xludf.DUMMYFUNCTION("""COMPUTED_VALUE"""),16008)</f>
        <v>16008</v>
      </c>
      <c r="D370" s="55">
        <f ca="1">IFERROR(__xludf.DUMMYFUNCTION("""COMPUTED_VALUE"""),166)</f>
        <v>166</v>
      </c>
      <c r="E370" s="55">
        <f ca="1">IFERROR(__xludf.DUMMYFUNCTION("""COMPUTED_VALUE"""),57258)</f>
        <v>57258</v>
      </c>
    </row>
    <row r="371" spans="1:5" ht="13.2" x14ac:dyDescent="0.25">
      <c r="A371" s="131">
        <f ca="1">IFERROR(__xludf.DUMMYFUNCTION("""COMPUTED_VALUE"""),44260)</f>
        <v>44260</v>
      </c>
      <c r="B371" s="55">
        <f ca="1">IFERROR(__xludf.DUMMYFUNCTION("""COMPUTED_VALUE"""),45)</f>
        <v>45</v>
      </c>
      <c r="C371" s="55">
        <f ca="1">IFERROR(__xludf.DUMMYFUNCTION("""COMPUTED_VALUE"""),16053)</f>
        <v>16053</v>
      </c>
      <c r="D371" s="55">
        <f ca="1">IFERROR(__xludf.DUMMYFUNCTION("""COMPUTED_VALUE"""),142)</f>
        <v>142</v>
      </c>
      <c r="E371" s="55">
        <f ca="1">IFERROR(__xludf.DUMMYFUNCTION("""COMPUTED_VALUE"""),57400)</f>
        <v>57400</v>
      </c>
    </row>
    <row r="372" spans="1:5" ht="13.2" x14ac:dyDescent="0.25">
      <c r="A372" s="131">
        <f ca="1">IFERROR(__xludf.DUMMYFUNCTION("""COMPUTED_VALUE"""),44261)</f>
        <v>44261</v>
      </c>
      <c r="B372" s="55">
        <f ca="1">IFERROR(__xludf.DUMMYFUNCTION("""COMPUTED_VALUE"""),56)</f>
        <v>56</v>
      </c>
      <c r="C372" s="55">
        <f ca="1">IFERROR(__xludf.DUMMYFUNCTION("""COMPUTED_VALUE"""),16109)</f>
        <v>16109</v>
      </c>
      <c r="D372" s="55">
        <f ca="1">IFERROR(__xludf.DUMMYFUNCTION("""COMPUTED_VALUE"""),152)</f>
        <v>152</v>
      </c>
      <c r="E372" s="55">
        <f ca="1">IFERROR(__xludf.DUMMYFUNCTION("""COMPUTED_VALUE"""),57552)</f>
        <v>57552</v>
      </c>
    </row>
    <row r="373" spans="1:5" ht="13.2" x14ac:dyDescent="0.25">
      <c r="A373" s="131">
        <f ca="1">IFERROR(__xludf.DUMMYFUNCTION("""COMPUTED_VALUE"""),44262)</f>
        <v>44262</v>
      </c>
      <c r="B373" s="55">
        <f ca="1">IFERROR(__xludf.DUMMYFUNCTION("""COMPUTED_VALUE"""),41)</f>
        <v>41</v>
      </c>
      <c r="C373" s="55">
        <f ca="1">IFERROR(__xludf.DUMMYFUNCTION("""COMPUTED_VALUE"""),16150)</f>
        <v>16150</v>
      </c>
      <c r="D373" s="55">
        <f ca="1">IFERROR(__xludf.DUMMYFUNCTION("""COMPUTED_VALUE"""),125)</f>
        <v>125</v>
      </c>
      <c r="E373" s="55">
        <f ca="1">IFERROR(__xludf.DUMMYFUNCTION("""COMPUTED_VALUE"""),57677)</f>
        <v>57677</v>
      </c>
    </row>
    <row r="374" spans="1:5" ht="13.2" x14ac:dyDescent="0.25">
      <c r="A374" s="131">
        <f ca="1">IFERROR(__xludf.DUMMYFUNCTION("""COMPUTED_VALUE"""),44263)</f>
        <v>44263</v>
      </c>
      <c r="B374" s="55">
        <f ca="1">IFERROR(__xludf.DUMMYFUNCTION("""COMPUTED_VALUE"""),50)</f>
        <v>50</v>
      </c>
      <c r="C374" s="55">
        <f ca="1">IFERROR(__xludf.DUMMYFUNCTION("""COMPUTED_VALUE"""),16200)</f>
        <v>16200</v>
      </c>
      <c r="D374" s="55">
        <f ca="1">IFERROR(__xludf.DUMMYFUNCTION("""COMPUTED_VALUE"""),163)</f>
        <v>163</v>
      </c>
      <c r="E374" s="55">
        <f ca="1">IFERROR(__xludf.DUMMYFUNCTION("""COMPUTED_VALUE"""),57840)</f>
        <v>57840</v>
      </c>
    </row>
    <row r="375" spans="1:5" ht="13.2" x14ac:dyDescent="0.25">
      <c r="A375" s="131">
        <f ca="1">IFERROR(__xludf.DUMMYFUNCTION("""COMPUTED_VALUE"""),44264)</f>
        <v>44264</v>
      </c>
      <c r="B375" s="55">
        <f ca="1">IFERROR(__xludf.DUMMYFUNCTION("""COMPUTED_VALUE"""),51)</f>
        <v>51</v>
      </c>
      <c r="C375" s="55">
        <f ca="1">IFERROR(__xludf.DUMMYFUNCTION("""COMPUTED_VALUE"""),16251)</f>
        <v>16251</v>
      </c>
      <c r="D375" s="55">
        <f ca="1">IFERROR(__xludf.DUMMYFUNCTION("""COMPUTED_VALUE"""),146)</f>
        <v>146</v>
      </c>
      <c r="E375" s="55">
        <f ca="1">IFERROR(__xludf.DUMMYFUNCTION("""COMPUTED_VALUE"""),57986)</f>
        <v>57986</v>
      </c>
    </row>
    <row r="376" spans="1:5" ht="13.2" x14ac:dyDescent="0.25">
      <c r="A376" s="131">
        <f ca="1">IFERROR(__xludf.DUMMYFUNCTION("""COMPUTED_VALUE"""),44265)</f>
        <v>44265</v>
      </c>
      <c r="B376" s="55">
        <f ca="1">IFERROR(__xludf.DUMMYFUNCTION("""COMPUTED_VALUE"""),38)</f>
        <v>38</v>
      </c>
      <c r="C376" s="55">
        <f ca="1">IFERROR(__xludf.DUMMYFUNCTION("""COMPUTED_VALUE"""),16289)</f>
        <v>16289</v>
      </c>
      <c r="D376" s="55">
        <f ca="1">IFERROR(__xludf.DUMMYFUNCTION("""COMPUTED_VALUE"""),149)</f>
        <v>149</v>
      </c>
      <c r="E376" s="55">
        <f ca="1">IFERROR(__xludf.DUMMYFUNCTION("""COMPUTED_VALUE"""),58135)</f>
        <v>58135</v>
      </c>
    </row>
    <row r="377" spans="1:5" ht="13.2" x14ac:dyDescent="0.25">
      <c r="A377" s="131">
        <f ca="1">IFERROR(__xludf.DUMMYFUNCTION("""COMPUTED_VALUE"""),44266)</f>
        <v>44266</v>
      </c>
      <c r="B377" s="55">
        <f ca="1">IFERROR(__xludf.DUMMYFUNCTION("""COMPUTED_VALUE"""),57)</f>
        <v>57</v>
      </c>
      <c r="C377" s="55">
        <f ca="1">IFERROR(__xludf.DUMMYFUNCTION("""COMPUTED_VALUE"""),16346)</f>
        <v>16346</v>
      </c>
      <c r="D377" s="55">
        <f ca="1">IFERROR(__xludf.DUMMYFUNCTION("""COMPUTED_VALUE"""),133)</f>
        <v>133</v>
      </c>
      <c r="E377" s="55">
        <f ca="1">IFERROR(__xludf.DUMMYFUNCTION("""COMPUTED_VALUE"""),58268)</f>
        <v>58268</v>
      </c>
    </row>
    <row r="378" spans="1:5" ht="13.2" x14ac:dyDescent="0.25">
      <c r="A378" s="131">
        <f ca="1">IFERROR(__xludf.DUMMYFUNCTION("""COMPUTED_VALUE"""),44267)</f>
        <v>44267</v>
      </c>
      <c r="B378" s="55">
        <f ca="1">IFERROR(__xludf.DUMMYFUNCTION("""COMPUTED_VALUE"""),48)</f>
        <v>48</v>
      </c>
      <c r="C378" s="55">
        <f ca="1">IFERROR(__xludf.DUMMYFUNCTION("""COMPUTED_VALUE"""),16394)</f>
        <v>16394</v>
      </c>
      <c r="D378" s="55">
        <f ca="1">IFERROR(__xludf.DUMMYFUNCTION("""COMPUTED_VALUE"""),173)</f>
        <v>173</v>
      </c>
      <c r="E378" s="55">
        <f ca="1">IFERROR(__xludf.DUMMYFUNCTION("""COMPUTED_VALUE"""),58441)</f>
        <v>58441</v>
      </c>
    </row>
    <row r="379" spans="1:5" ht="13.2" x14ac:dyDescent="0.25">
      <c r="A379" s="131">
        <f ca="1">IFERROR(__xludf.DUMMYFUNCTION("""COMPUTED_VALUE"""),44268)</f>
        <v>44268</v>
      </c>
      <c r="B379" s="55">
        <f ca="1">IFERROR(__xludf.DUMMYFUNCTION("""COMPUTED_VALUE"""),51)</f>
        <v>51</v>
      </c>
      <c r="C379" s="55">
        <f ca="1">IFERROR(__xludf.DUMMYFUNCTION("""COMPUTED_VALUE"""),16445)</f>
        <v>16445</v>
      </c>
      <c r="D379" s="55">
        <f ca="1">IFERROR(__xludf.DUMMYFUNCTION("""COMPUTED_VALUE"""),156)</f>
        <v>156</v>
      </c>
      <c r="E379" s="55">
        <f ca="1">IFERROR(__xludf.DUMMYFUNCTION("""COMPUTED_VALUE"""),58597)</f>
        <v>58597</v>
      </c>
    </row>
    <row r="380" spans="1:5" ht="13.2" x14ac:dyDescent="0.25">
      <c r="A380" s="131">
        <f ca="1">IFERROR(__xludf.DUMMYFUNCTION("""COMPUTED_VALUE"""),44269)</f>
        <v>44269</v>
      </c>
      <c r="B380" s="55">
        <f ca="1">IFERROR(__xludf.DUMMYFUNCTION("""COMPUTED_VALUE"""),24)</f>
        <v>24</v>
      </c>
      <c r="C380" s="55">
        <f ca="1">IFERROR(__xludf.DUMMYFUNCTION("""COMPUTED_VALUE"""),16469)</f>
        <v>16469</v>
      </c>
      <c r="D380" s="55">
        <f ca="1">IFERROR(__xludf.DUMMYFUNCTION("""COMPUTED_VALUE"""),123)</f>
        <v>123</v>
      </c>
      <c r="E380" s="55">
        <f ca="1">IFERROR(__xludf.DUMMYFUNCTION("""COMPUTED_VALUE"""),58720)</f>
        <v>58720</v>
      </c>
    </row>
    <row r="381" spans="1:5" ht="13.2" x14ac:dyDescent="0.25">
      <c r="A381" s="131">
        <f ca="1">IFERROR(__xludf.DUMMYFUNCTION("""COMPUTED_VALUE"""),44270)</f>
        <v>44270</v>
      </c>
      <c r="B381" s="55">
        <f ca="1">IFERROR(__xludf.DUMMYFUNCTION("""COMPUTED_VALUE"""),43)</f>
        <v>43</v>
      </c>
      <c r="C381" s="55">
        <f ca="1">IFERROR(__xludf.DUMMYFUNCTION("""COMPUTED_VALUE"""),16512)</f>
        <v>16512</v>
      </c>
      <c r="D381" s="55">
        <f ca="1">IFERROR(__xludf.DUMMYFUNCTION("""COMPUTED_VALUE"""),153)</f>
        <v>153</v>
      </c>
      <c r="E381" s="55">
        <f ca="1">IFERROR(__xludf.DUMMYFUNCTION("""COMPUTED_VALUE"""),58873)</f>
        <v>58873</v>
      </c>
    </row>
    <row r="382" spans="1:5" ht="13.2" x14ac:dyDescent="0.25">
      <c r="A382" s="131">
        <f ca="1">IFERROR(__xludf.DUMMYFUNCTION("""COMPUTED_VALUE"""),44271)</f>
        <v>44271</v>
      </c>
      <c r="B382" s="55">
        <f ca="1">IFERROR(__xludf.DUMMYFUNCTION("""COMPUTED_VALUE"""),52)</f>
        <v>52</v>
      </c>
      <c r="C382" s="55">
        <f ca="1">IFERROR(__xludf.DUMMYFUNCTION("""COMPUTED_VALUE"""),16564)</f>
        <v>16564</v>
      </c>
      <c r="D382" s="55">
        <f ca="1">IFERROR(__xludf.DUMMYFUNCTION("""COMPUTED_VALUE"""),152)</f>
        <v>152</v>
      </c>
      <c r="E382" s="55">
        <f ca="1">IFERROR(__xludf.DUMMYFUNCTION("""COMPUTED_VALUE"""),59025)</f>
        <v>59025</v>
      </c>
    </row>
    <row r="383" spans="1:5" ht="13.2" x14ac:dyDescent="0.25">
      <c r="A383" s="131">
        <f ca="1">IFERROR(__xludf.DUMMYFUNCTION("""COMPUTED_VALUE"""),44272)</f>
        <v>44272</v>
      </c>
      <c r="B383" s="55">
        <f ca="1">IFERROR(__xludf.DUMMYFUNCTION("""COMPUTED_VALUE"""),59)</f>
        <v>59</v>
      </c>
      <c r="C383" s="55">
        <f ca="1">IFERROR(__xludf.DUMMYFUNCTION("""COMPUTED_VALUE"""),16623)</f>
        <v>16623</v>
      </c>
      <c r="D383" s="55">
        <f ca="1">IFERROR(__xludf.DUMMYFUNCTION("""COMPUTED_VALUE"""),177)</f>
        <v>177</v>
      </c>
      <c r="E383" s="55">
        <f ca="1">IFERROR(__xludf.DUMMYFUNCTION("""COMPUTED_VALUE"""),59202)</f>
        <v>59202</v>
      </c>
    </row>
    <row r="384" spans="1:5" ht="13.2" x14ac:dyDescent="0.25">
      <c r="A384" s="131">
        <f ca="1">IFERROR(__xludf.DUMMYFUNCTION("""COMPUTED_VALUE"""),44273)</f>
        <v>44273</v>
      </c>
      <c r="B384" s="55">
        <f ca="1">IFERROR(__xludf.DUMMYFUNCTION("""COMPUTED_VALUE"""),41)</f>
        <v>41</v>
      </c>
      <c r="C384" s="55">
        <f ca="1">IFERROR(__xludf.DUMMYFUNCTION("""COMPUTED_VALUE"""),16664)</f>
        <v>16664</v>
      </c>
      <c r="D384" s="55">
        <f ca="1">IFERROR(__xludf.DUMMYFUNCTION("""COMPUTED_VALUE"""),172)</f>
        <v>172</v>
      </c>
      <c r="E384" s="55">
        <f ca="1">IFERROR(__xludf.DUMMYFUNCTION("""COMPUTED_VALUE"""),59374)</f>
        <v>59374</v>
      </c>
    </row>
    <row r="385" spans="1:5" ht="13.2" x14ac:dyDescent="0.25">
      <c r="A385" s="131">
        <f ca="1">IFERROR(__xludf.DUMMYFUNCTION("""COMPUTED_VALUE"""),44274)</f>
        <v>44274</v>
      </c>
      <c r="B385" s="55">
        <f ca="1">IFERROR(__xludf.DUMMYFUNCTION("""COMPUTED_VALUE"""),49)</f>
        <v>49</v>
      </c>
      <c r="C385" s="55">
        <f ca="1">IFERROR(__xludf.DUMMYFUNCTION("""COMPUTED_VALUE"""),16713)</f>
        <v>16713</v>
      </c>
      <c r="D385" s="55">
        <f ca="1">IFERROR(__xludf.DUMMYFUNCTION("""COMPUTED_VALUE"""),173)</f>
        <v>173</v>
      </c>
      <c r="E385" s="55">
        <f ca="1">IFERROR(__xludf.DUMMYFUNCTION("""COMPUTED_VALUE"""),59547)</f>
        <v>59547</v>
      </c>
    </row>
    <row r="386" spans="1:5" ht="13.2" x14ac:dyDescent="0.25">
      <c r="A386" s="131">
        <f ca="1">IFERROR(__xludf.DUMMYFUNCTION("""COMPUTED_VALUE"""),44275)</f>
        <v>44275</v>
      </c>
      <c r="B386" s="55">
        <f ca="1">IFERROR(__xludf.DUMMYFUNCTION("""COMPUTED_VALUE"""),49)</f>
        <v>49</v>
      </c>
      <c r="C386" s="55">
        <f ca="1">IFERROR(__xludf.DUMMYFUNCTION("""COMPUTED_VALUE"""),16762)</f>
        <v>16762</v>
      </c>
      <c r="D386" s="55">
        <f ca="1">IFERROR(__xludf.DUMMYFUNCTION("""COMPUTED_VALUE"""),137)</f>
        <v>137</v>
      </c>
      <c r="E386" s="55">
        <f ca="1">IFERROR(__xludf.DUMMYFUNCTION("""COMPUTED_VALUE"""),59684)</f>
        <v>59684</v>
      </c>
    </row>
    <row r="387" spans="1:5" ht="13.2" x14ac:dyDescent="0.25">
      <c r="A387" s="131">
        <f ca="1">IFERROR(__xludf.DUMMYFUNCTION("""COMPUTED_VALUE"""),44276)</f>
        <v>44276</v>
      </c>
      <c r="B387" s="55">
        <f ca="1">IFERROR(__xludf.DUMMYFUNCTION("""COMPUTED_VALUE"""),42)</f>
        <v>42</v>
      </c>
      <c r="C387" s="55">
        <f ca="1">IFERROR(__xludf.DUMMYFUNCTION("""COMPUTED_VALUE"""),16804)</f>
        <v>16804</v>
      </c>
      <c r="D387" s="55">
        <f ca="1">IFERROR(__xludf.DUMMYFUNCTION("""COMPUTED_VALUE"""),166)</f>
        <v>166</v>
      </c>
      <c r="E387" s="55">
        <f ca="1">IFERROR(__xludf.DUMMYFUNCTION("""COMPUTED_VALUE"""),59850)</f>
        <v>59850</v>
      </c>
    </row>
    <row r="388" spans="1:5" ht="13.2" x14ac:dyDescent="0.25">
      <c r="A388" s="131">
        <f ca="1">IFERROR(__xludf.DUMMYFUNCTION("""COMPUTED_VALUE"""),44277)</f>
        <v>44277</v>
      </c>
      <c r="B388" s="55">
        <f ca="1">IFERROR(__xludf.DUMMYFUNCTION("""COMPUTED_VALUE"""),49)</f>
        <v>49</v>
      </c>
      <c r="C388" s="55">
        <f ca="1">IFERROR(__xludf.DUMMYFUNCTION("""COMPUTED_VALUE"""),16853)</f>
        <v>16853</v>
      </c>
      <c r="D388" s="55">
        <f ca="1">IFERROR(__xludf.DUMMYFUNCTION("""COMPUTED_VALUE"""),154)</f>
        <v>154</v>
      </c>
      <c r="E388" s="55">
        <f ca="1">IFERROR(__xludf.DUMMYFUNCTION("""COMPUTED_VALUE"""),60004)</f>
        <v>60004</v>
      </c>
    </row>
    <row r="389" spans="1:5" ht="13.2" x14ac:dyDescent="0.25">
      <c r="A389" s="131">
        <f ca="1">IFERROR(__xludf.DUMMYFUNCTION("""COMPUTED_VALUE"""),44278)</f>
        <v>44278</v>
      </c>
      <c r="B389" s="55">
        <f ca="1">IFERROR(__xludf.DUMMYFUNCTION("""COMPUTED_VALUE"""),45)</f>
        <v>45</v>
      </c>
      <c r="C389" s="55">
        <f ca="1">IFERROR(__xludf.DUMMYFUNCTION("""COMPUTED_VALUE"""),16898)</f>
        <v>16898</v>
      </c>
      <c r="D389" s="55">
        <f ca="1">IFERROR(__xludf.DUMMYFUNCTION("""COMPUTED_VALUE"""),161)</f>
        <v>161</v>
      </c>
      <c r="E389" s="55">
        <f ca="1">IFERROR(__xludf.DUMMYFUNCTION("""COMPUTED_VALUE"""),60165)</f>
        <v>60165</v>
      </c>
    </row>
    <row r="390" spans="1:5" ht="13.2" x14ac:dyDescent="0.25">
      <c r="A390" s="131">
        <f ca="1">IFERROR(__xludf.DUMMYFUNCTION("""COMPUTED_VALUE"""),44279)</f>
        <v>44279</v>
      </c>
      <c r="B390" s="55">
        <f ca="1">IFERROR(__xludf.DUMMYFUNCTION("""COMPUTED_VALUE"""),39)</f>
        <v>39</v>
      </c>
      <c r="C390" s="55">
        <f ca="1">IFERROR(__xludf.DUMMYFUNCTION("""COMPUTED_VALUE"""),16937)</f>
        <v>16937</v>
      </c>
      <c r="D390" s="55">
        <f ca="1">IFERROR(__xludf.DUMMYFUNCTION("""COMPUTED_VALUE"""),156)</f>
        <v>156</v>
      </c>
      <c r="E390" s="55">
        <f ca="1">IFERROR(__xludf.DUMMYFUNCTION("""COMPUTED_VALUE"""),60321)</f>
        <v>60321</v>
      </c>
    </row>
    <row r="391" spans="1:5" ht="13.2" x14ac:dyDescent="0.25">
      <c r="A391" s="131">
        <f ca="1">IFERROR(__xludf.DUMMYFUNCTION("""COMPUTED_VALUE"""),44280)</f>
        <v>44280</v>
      </c>
      <c r="B391" s="55">
        <f ca="1">IFERROR(__xludf.DUMMYFUNCTION("""COMPUTED_VALUE"""),48)</f>
        <v>48</v>
      </c>
      <c r="C391" s="55">
        <f ca="1">IFERROR(__xludf.DUMMYFUNCTION("""COMPUTED_VALUE"""),16985)</f>
        <v>16985</v>
      </c>
      <c r="D391" s="55">
        <f ca="1">IFERROR(__xludf.DUMMYFUNCTION("""COMPUTED_VALUE"""),164)</f>
        <v>164</v>
      </c>
      <c r="E391" s="55">
        <f ca="1">IFERROR(__xludf.DUMMYFUNCTION("""COMPUTED_VALUE"""),60485)</f>
        <v>60485</v>
      </c>
    </row>
    <row r="392" spans="1:5" ht="13.2" x14ac:dyDescent="0.25">
      <c r="A392" s="131">
        <f ca="1">IFERROR(__xludf.DUMMYFUNCTION("""COMPUTED_VALUE"""),44281)</f>
        <v>44281</v>
      </c>
      <c r="B392" s="55">
        <f ca="1">IFERROR(__xludf.DUMMYFUNCTION("""COMPUTED_VALUE"""),37)</f>
        <v>37</v>
      </c>
      <c r="C392" s="55">
        <f ca="1">IFERROR(__xludf.DUMMYFUNCTION("""COMPUTED_VALUE"""),17022)</f>
        <v>17022</v>
      </c>
      <c r="D392" s="55">
        <f ca="1">IFERROR(__xludf.DUMMYFUNCTION("""COMPUTED_VALUE"""),131)</f>
        <v>131</v>
      </c>
      <c r="E392" s="55">
        <f ca="1">IFERROR(__xludf.DUMMYFUNCTION("""COMPUTED_VALUE"""),60616)</f>
        <v>60616</v>
      </c>
    </row>
    <row r="393" spans="1:5" ht="13.2" x14ac:dyDescent="0.25">
      <c r="A393" s="131">
        <f ca="1">IFERROR(__xludf.DUMMYFUNCTION("""COMPUTED_VALUE"""),44282)</f>
        <v>44282</v>
      </c>
      <c r="B393" s="55">
        <f ca="1">IFERROR(__xludf.DUMMYFUNCTION("""COMPUTED_VALUE"""),31)</f>
        <v>31</v>
      </c>
      <c r="C393" s="55">
        <f ca="1">IFERROR(__xludf.DUMMYFUNCTION("""COMPUTED_VALUE"""),17053)</f>
        <v>17053</v>
      </c>
      <c r="D393" s="55">
        <f ca="1">IFERROR(__xludf.DUMMYFUNCTION("""COMPUTED_VALUE"""),146)</f>
        <v>146</v>
      </c>
      <c r="E393" s="55">
        <f ca="1">IFERROR(__xludf.DUMMYFUNCTION("""COMPUTED_VALUE"""),60762)</f>
        <v>60762</v>
      </c>
    </row>
    <row r="394" spans="1:5" ht="13.2" x14ac:dyDescent="0.25">
      <c r="A394" s="131">
        <f ca="1">IFERROR(__xludf.DUMMYFUNCTION("""COMPUTED_VALUE"""),44283)</f>
        <v>44283</v>
      </c>
      <c r="B394" s="55">
        <f ca="1">IFERROR(__xludf.DUMMYFUNCTION("""COMPUTED_VALUE"""),37)</f>
        <v>37</v>
      </c>
      <c r="C394" s="55">
        <f ca="1">IFERROR(__xludf.DUMMYFUNCTION("""COMPUTED_VALUE"""),17090)</f>
        <v>17090</v>
      </c>
      <c r="D394" s="55">
        <f ca="1">IFERROR(__xludf.DUMMYFUNCTION("""COMPUTED_VALUE"""),158)</f>
        <v>158</v>
      </c>
      <c r="E394" s="55">
        <f ca="1">IFERROR(__xludf.DUMMYFUNCTION("""COMPUTED_VALUE"""),60920)</f>
        <v>60920</v>
      </c>
    </row>
    <row r="395" spans="1:5" ht="13.2" x14ac:dyDescent="0.25">
      <c r="A395" s="131">
        <f ca="1">IFERROR(__xludf.DUMMYFUNCTION("""COMPUTED_VALUE"""),44284)</f>
        <v>44284</v>
      </c>
      <c r="B395" s="55">
        <f ca="1">IFERROR(__xludf.DUMMYFUNCTION("""COMPUTED_VALUE"""),39)</f>
        <v>39</v>
      </c>
      <c r="C395" s="55">
        <f ca="1">IFERROR(__xludf.DUMMYFUNCTION("""COMPUTED_VALUE"""),17129)</f>
        <v>17129</v>
      </c>
      <c r="D395" s="55">
        <f ca="1">IFERROR(__xludf.DUMMYFUNCTION("""COMPUTED_VALUE"""),151)</f>
        <v>151</v>
      </c>
      <c r="E395" s="55">
        <f ca="1">IFERROR(__xludf.DUMMYFUNCTION("""COMPUTED_VALUE"""),61071)</f>
        <v>61071</v>
      </c>
    </row>
    <row r="396" spans="1:5" ht="13.2" x14ac:dyDescent="0.25">
      <c r="A396" s="131">
        <f ca="1">IFERROR(__xludf.DUMMYFUNCTION("""COMPUTED_VALUE"""),44285)</f>
        <v>44285</v>
      </c>
      <c r="B396" s="55">
        <f ca="1">IFERROR(__xludf.DUMMYFUNCTION("""COMPUTED_VALUE"""),34)</f>
        <v>34</v>
      </c>
      <c r="C396" s="55">
        <f ca="1">IFERROR(__xludf.DUMMYFUNCTION("""COMPUTED_VALUE"""),17163)</f>
        <v>17163</v>
      </c>
      <c r="D396" s="55">
        <f ca="1">IFERROR(__xludf.DUMMYFUNCTION("""COMPUTED_VALUE"""),130)</f>
        <v>130</v>
      </c>
      <c r="E396" s="55">
        <f ca="1">IFERROR(__xludf.DUMMYFUNCTION("""COMPUTED_VALUE"""),61201)</f>
        <v>61201</v>
      </c>
    </row>
    <row r="397" spans="1:5" ht="13.2" x14ac:dyDescent="0.25">
      <c r="A397" s="131">
        <f ca="1">IFERROR(__xludf.DUMMYFUNCTION("""COMPUTED_VALUE"""),44286)</f>
        <v>44286</v>
      </c>
      <c r="B397" s="55">
        <f ca="1">IFERROR(__xludf.DUMMYFUNCTION("""COMPUTED_VALUE"""),37)</f>
        <v>37</v>
      </c>
      <c r="C397" s="55">
        <f ca="1">IFERROR(__xludf.DUMMYFUNCTION("""COMPUTED_VALUE"""),17200)</f>
        <v>17200</v>
      </c>
      <c r="D397" s="55">
        <f ca="1">IFERROR(__xludf.DUMMYFUNCTION("""COMPUTED_VALUE"""),151)</f>
        <v>151</v>
      </c>
      <c r="E397" s="55">
        <f ca="1">IFERROR(__xludf.DUMMYFUNCTION("""COMPUTED_VALUE"""),61352)</f>
        <v>61352</v>
      </c>
    </row>
    <row r="398" spans="1:5" ht="13.2" x14ac:dyDescent="0.25">
      <c r="A398" s="131">
        <f ca="1">IFERROR(__xludf.DUMMYFUNCTION("""COMPUTED_VALUE"""),44287)</f>
        <v>44287</v>
      </c>
      <c r="B398" s="55">
        <f ca="1">IFERROR(__xludf.DUMMYFUNCTION("""COMPUTED_VALUE"""),32)</f>
        <v>32</v>
      </c>
      <c r="C398" s="55">
        <f ca="1">IFERROR(__xludf.DUMMYFUNCTION("""COMPUTED_VALUE"""),17232)</f>
        <v>17232</v>
      </c>
      <c r="D398" s="55">
        <f ca="1">IFERROR(__xludf.DUMMYFUNCTION("""COMPUTED_VALUE"""),135)</f>
        <v>135</v>
      </c>
      <c r="E398" s="55">
        <f ca="1">IFERROR(__xludf.DUMMYFUNCTION("""COMPUTED_VALUE"""),61487)</f>
        <v>61487</v>
      </c>
    </row>
    <row r="399" spans="1:5" ht="13.2" x14ac:dyDescent="0.25">
      <c r="A399" s="131">
        <f ca="1">IFERROR(__xludf.DUMMYFUNCTION("""COMPUTED_VALUE"""),44288)</f>
        <v>44288</v>
      </c>
      <c r="B399" s="55">
        <f ca="1">IFERROR(__xludf.DUMMYFUNCTION("""COMPUTED_VALUE"""),33)</f>
        <v>33</v>
      </c>
      <c r="C399" s="55">
        <f ca="1">IFERROR(__xludf.DUMMYFUNCTION("""COMPUTED_VALUE"""),17265)</f>
        <v>17265</v>
      </c>
      <c r="D399" s="55">
        <f ca="1">IFERROR(__xludf.DUMMYFUNCTION("""COMPUTED_VALUE"""),152)</f>
        <v>152</v>
      </c>
      <c r="E399" s="55">
        <f ca="1">IFERROR(__xludf.DUMMYFUNCTION("""COMPUTED_VALUE"""),61639)</f>
        <v>61639</v>
      </c>
    </row>
    <row r="400" spans="1:5" ht="13.2" x14ac:dyDescent="0.25">
      <c r="A400" s="131">
        <f ca="1">IFERROR(__xludf.DUMMYFUNCTION("""COMPUTED_VALUE"""),44289)</f>
        <v>44289</v>
      </c>
      <c r="B400" s="55">
        <f ca="1">IFERROR(__xludf.DUMMYFUNCTION("""COMPUTED_VALUE"""),40)</f>
        <v>40</v>
      </c>
      <c r="C400" s="55">
        <f ca="1">IFERROR(__xludf.DUMMYFUNCTION("""COMPUTED_VALUE"""),17305)</f>
        <v>17305</v>
      </c>
      <c r="D400" s="55">
        <f ca="1">IFERROR(__xludf.DUMMYFUNCTION("""COMPUTED_VALUE"""),151)</f>
        <v>151</v>
      </c>
      <c r="E400" s="55">
        <f ca="1">IFERROR(__xludf.DUMMYFUNCTION("""COMPUTED_VALUE"""),61790)</f>
        <v>61790</v>
      </c>
    </row>
    <row r="401" spans="1:5" ht="13.2" x14ac:dyDescent="0.25">
      <c r="A401" s="131">
        <f ca="1">IFERROR(__xludf.DUMMYFUNCTION("""COMPUTED_VALUE"""),44290)</f>
        <v>44290</v>
      </c>
      <c r="B401" s="55">
        <f ca="1">IFERROR(__xludf.DUMMYFUNCTION("""COMPUTED_VALUE"""),38)</f>
        <v>38</v>
      </c>
      <c r="C401" s="55">
        <f ca="1">IFERROR(__xludf.DUMMYFUNCTION("""COMPUTED_VALUE"""),17343)</f>
        <v>17343</v>
      </c>
      <c r="D401" s="55">
        <f ca="1">IFERROR(__xludf.DUMMYFUNCTION("""COMPUTED_VALUE"""),137)</f>
        <v>137</v>
      </c>
      <c r="E401" s="55">
        <f ca="1">IFERROR(__xludf.DUMMYFUNCTION("""COMPUTED_VALUE"""),61927)</f>
        <v>61927</v>
      </c>
    </row>
    <row r="402" spans="1:5" ht="13.2" x14ac:dyDescent="0.25">
      <c r="A402" s="131">
        <f ca="1">IFERROR(__xludf.DUMMYFUNCTION("""COMPUTED_VALUE"""),44291)</f>
        <v>44291</v>
      </c>
      <c r="B402" s="55">
        <f ca="1">IFERROR(__xludf.DUMMYFUNCTION("""COMPUTED_VALUE"""),37)</f>
        <v>37</v>
      </c>
      <c r="C402" s="55">
        <f ca="1">IFERROR(__xludf.DUMMYFUNCTION("""COMPUTED_VALUE"""),17380)</f>
        <v>17380</v>
      </c>
      <c r="D402" s="55">
        <f ca="1">IFERROR(__xludf.DUMMYFUNCTION("""COMPUTED_VALUE"""),140)</f>
        <v>140</v>
      </c>
      <c r="E402" s="55">
        <f ca="1">IFERROR(__xludf.DUMMYFUNCTION("""COMPUTED_VALUE"""),62067)</f>
        <v>62067</v>
      </c>
    </row>
    <row r="403" spans="1:5" ht="13.2" x14ac:dyDescent="0.25">
      <c r="A403" s="131">
        <f ca="1">IFERROR(__xludf.DUMMYFUNCTION("""COMPUTED_VALUE"""),44292)</f>
        <v>44292</v>
      </c>
      <c r="B403" s="55">
        <f ca="1">IFERROR(__xludf.DUMMYFUNCTION("""COMPUTED_VALUE"""),26)</f>
        <v>26</v>
      </c>
      <c r="C403" s="55">
        <f ca="1">IFERROR(__xludf.DUMMYFUNCTION("""COMPUTED_VALUE"""),17406)</f>
        <v>17406</v>
      </c>
      <c r="D403" s="55">
        <f ca="1">IFERROR(__xludf.DUMMYFUNCTION("""COMPUTED_VALUE"""),130)</f>
        <v>130</v>
      </c>
      <c r="E403" s="55">
        <f ca="1">IFERROR(__xludf.DUMMYFUNCTION("""COMPUTED_VALUE"""),62197)</f>
        <v>62197</v>
      </c>
    </row>
    <row r="404" spans="1:5" ht="13.2" x14ac:dyDescent="0.25">
      <c r="A404" s="131">
        <f ca="1">IFERROR(__xludf.DUMMYFUNCTION("""COMPUTED_VALUE"""),44293)</f>
        <v>44293</v>
      </c>
      <c r="B404" s="55">
        <f ca="1">IFERROR(__xludf.DUMMYFUNCTION("""COMPUTED_VALUE"""),27)</f>
        <v>27</v>
      </c>
      <c r="C404" s="55">
        <f ca="1">IFERROR(__xludf.DUMMYFUNCTION("""COMPUTED_VALUE"""),17433)</f>
        <v>17433</v>
      </c>
      <c r="D404" s="55">
        <f ca="1">IFERROR(__xludf.DUMMYFUNCTION("""COMPUTED_VALUE"""),147)</f>
        <v>147</v>
      </c>
      <c r="E404" s="55">
        <f ca="1">IFERROR(__xludf.DUMMYFUNCTION("""COMPUTED_VALUE"""),62344)</f>
        <v>62344</v>
      </c>
    </row>
    <row r="405" spans="1:5" ht="13.2" x14ac:dyDescent="0.25">
      <c r="A405" s="131">
        <f ca="1">IFERROR(__xludf.DUMMYFUNCTION("""COMPUTED_VALUE"""),44294)</f>
        <v>44294</v>
      </c>
      <c r="B405" s="55">
        <f ca="1">IFERROR(__xludf.DUMMYFUNCTION("""COMPUTED_VALUE"""),22)</f>
        <v>22</v>
      </c>
      <c r="C405" s="55">
        <f ca="1">IFERROR(__xludf.DUMMYFUNCTION("""COMPUTED_VALUE"""),17455)</f>
        <v>17455</v>
      </c>
      <c r="D405" s="55">
        <f ca="1">IFERROR(__xludf.DUMMYFUNCTION("""COMPUTED_VALUE"""),139)</f>
        <v>139</v>
      </c>
      <c r="E405" s="55">
        <f ca="1">IFERROR(__xludf.DUMMYFUNCTION("""COMPUTED_VALUE"""),62483)</f>
        <v>62483</v>
      </c>
    </row>
    <row r="406" spans="1:5" ht="13.2" x14ac:dyDescent="0.25">
      <c r="A406" s="131">
        <f ca="1">IFERROR(__xludf.DUMMYFUNCTION("""COMPUTED_VALUE"""),44295)</f>
        <v>44295</v>
      </c>
      <c r="B406" s="55">
        <f ca="1">IFERROR(__xludf.DUMMYFUNCTION("""COMPUTED_VALUE"""),31)</f>
        <v>31</v>
      </c>
      <c r="C406" s="55">
        <f ca="1">IFERROR(__xludf.DUMMYFUNCTION("""COMPUTED_VALUE"""),17486)</f>
        <v>17486</v>
      </c>
      <c r="D406" s="55">
        <f ca="1">IFERROR(__xludf.DUMMYFUNCTION("""COMPUTED_VALUE"""),141)</f>
        <v>141</v>
      </c>
      <c r="E406" s="55">
        <f ca="1">IFERROR(__xludf.DUMMYFUNCTION("""COMPUTED_VALUE"""),62624)</f>
        <v>62624</v>
      </c>
    </row>
    <row r="407" spans="1:5" ht="13.2" x14ac:dyDescent="0.25">
      <c r="A407" s="131">
        <f ca="1">IFERROR(__xludf.DUMMYFUNCTION("""COMPUTED_VALUE"""),44296)</f>
        <v>44296</v>
      </c>
      <c r="B407" s="55">
        <f ca="1">IFERROR(__xludf.DUMMYFUNCTION("""COMPUTED_VALUE"""),24)</f>
        <v>24</v>
      </c>
      <c r="C407" s="55">
        <f ca="1">IFERROR(__xludf.DUMMYFUNCTION("""COMPUTED_VALUE"""),17510)</f>
        <v>17510</v>
      </c>
      <c r="D407" s="55">
        <f ca="1">IFERROR(__xludf.DUMMYFUNCTION("""COMPUTED_VALUE"""),155)</f>
        <v>155</v>
      </c>
      <c r="E407" s="55">
        <f ca="1">IFERROR(__xludf.DUMMYFUNCTION("""COMPUTED_VALUE"""),62779)</f>
        <v>62779</v>
      </c>
    </row>
    <row r="408" spans="1:5" ht="13.2" x14ac:dyDescent="0.25">
      <c r="A408" s="131">
        <f ca="1">IFERROR(__xludf.DUMMYFUNCTION("""COMPUTED_VALUE"""),44297)</f>
        <v>44297</v>
      </c>
      <c r="B408" s="55">
        <f ca="1">IFERROR(__xludf.DUMMYFUNCTION("""COMPUTED_VALUE"""),23)</f>
        <v>23</v>
      </c>
      <c r="C408" s="55">
        <f ca="1">IFERROR(__xludf.DUMMYFUNCTION("""COMPUTED_VALUE"""),17533)</f>
        <v>17533</v>
      </c>
      <c r="D408" s="55">
        <f ca="1">IFERROR(__xludf.DUMMYFUNCTION("""COMPUTED_VALUE"""),148)</f>
        <v>148</v>
      </c>
      <c r="E408" s="55">
        <f ca="1">IFERROR(__xludf.DUMMYFUNCTION("""COMPUTED_VALUE"""),62927)</f>
        <v>62927</v>
      </c>
    </row>
    <row r="409" spans="1:5" ht="13.2" x14ac:dyDescent="0.25">
      <c r="A409" s="131">
        <f ca="1">IFERROR(__xludf.DUMMYFUNCTION("""COMPUTED_VALUE"""),44298)</f>
        <v>44298</v>
      </c>
      <c r="B409" s="55">
        <f ca="1">IFERROR(__xludf.DUMMYFUNCTION("""COMPUTED_VALUE"""),27)</f>
        <v>27</v>
      </c>
      <c r="C409" s="55">
        <f ca="1">IFERROR(__xludf.DUMMYFUNCTION("""COMPUTED_VALUE"""),17560)</f>
        <v>17560</v>
      </c>
      <c r="D409" s="55">
        <f ca="1">IFERROR(__xludf.DUMMYFUNCTION("""COMPUTED_VALUE"""),151)</f>
        <v>151</v>
      </c>
      <c r="E409" s="55">
        <f ca="1">IFERROR(__xludf.DUMMYFUNCTION("""COMPUTED_VALUE"""),63078)</f>
        <v>63078</v>
      </c>
    </row>
    <row r="410" spans="1:5" ht="13.2" x14ac:dyDescent="0.25">
      <c r="A410" s="131">
        <f ca="1">IFERROR(__xludf.DUMMYFUNCTION("""COMPUTED_VALUE"""),44299)</f>
        <v>44299</v>
      </c>
      <c r="B410" s="55">
        <f ca="1">IFERROR(__xludf.DUMMYFUNCTION("""COMPUTED_VALUE"""),31)</f>
        <v>31</v>
      </c>
      <c r="C410" s="55">
        <f ca="1">IFERROR(__xludf.DUMMYFUNCTION("""COMPUTED_VALUE"""),17591)</f>
        <v>17591</v>
      </c>
      <c r="D410" s="55">
        <f ca="1">IFERROR(__xludf.DUMMYFUNCTION("""COMPUTED_VALUE"""),127)</f>
        <v>127</v>
      </c>
      <c r="E410" s="55">
        <f ca="1">IFERROR(__xludf.DUMMYFUNCTION("""COMPUTED_VALUE"""),63205)</f>
        <v>63205</v>
      </c>
    </row>
    <row r="411" spans="1:5" ht="13.2" x14ac:dyDescent="0.25">
      <c r="A411" s="131">
        <f ca="1">IFERROR(__xludf.DUMMYFUNCTION("""COMPUTED_VALUE"""),44300)</f>
        <v>44300</v>
      </c>
      <c r="B411" s="55">
        <f ca="1">IFERROR(__xludf.DUMMYFUNCTION("""COMPUTED_VALUE"""),28)</f>
        <v>28</v>
      </c>
      <c r="C411" s="55">
        <f ca="1">IFERROR(__xludf.DUMMYFUNCTION("""COMPUTED_VALUE"""),17619)</f>
        <v>17619</v>
      </c>
      <c r="D411" s="55">
        <f ca="1">IFERROR(__xludf.DUMMYFUNCTION("""COMPUTED_VALUE"""),152)</f>
        <v>152</v>
      </c>
      <c r="E411" s="55">
        <f ca="1">IFERROR(__xludf.DUMMYFUNCTION("""COMPUTED_VALUE"""),63357)</f>
        <v>63357</v>
      </c>
    </row>
    <row r="412" spans="1:5" ht="13.2" x14ac:dyDescent="0.25">
      <c r="A412" s="131">
        <f ca="1">IFERROR(__xludf.DUMMYFUNCTION("""COMPUTED_VALUE"""),44301)</f>
        <v>44301</v>
      </c>
      <c r="B412" s="55">
        <f ca="1">IFERROR(__xludf.DUMMYFUNCTION("""COMPUTED_VALUE"""),37)</f>
        <v>37</v>
      </c>
      <c r="C412" s="55">
        <f ca="1">IFERROR(__xludf.DUMMYFUNCTION("""COMPUTED_VALUE"""),17656)</f>
        <v>17656</v>
      </c>
      <c r="D412" s="55">
        <f ca="1">IFERROR(__xludf.DUMMYFUNCTION("""COMPUTED_VALUE"""),142)</f>
        <v>142</v>
      </c>
      <c r="E412" s="55">
        <f ca="1">IFERROR(__xludf.DUMMYFUNCTION("""COMPUTED_VALUE"""),63499)</f>
        <v>63499</v>
      </c>
    </row>
    <row r="413" spans="1:5" ht="13.2" x14ac:dyDescent="0.25">
      <c r="A413" s="131">
        <f ca="1">IFERROR(__xludf.DUMMYFUNCTION("""COMPUTED_VALUE"""),44302)</f>
        <v>44302</v>
      </c>
      <c r="B413" s="55">
        <f ca="1">IFERROR(__xludf.DUMMYFUNCTION("""COMPUTED_VALUE"""),32)</f>
        <v>32</v>
      </c>
      <c r="C413" s="55">
        <f ca="1">IFERROR(__xludf.DUMMYFUNCTION("""COMPUTED_VALUE"""),17688)</f>
        <v>17688</v>
      </c>
      <c r="D413" s="55">
        <f ca="1">IFERROR(__xludf.DUMMYFUNCTION("""COMPUTED_VALUE"""),131)</f>
        <v>131</v>
      </c>
      <c r="E413" s="55">
        <f ca="1">IFERROR(__xludf.DUMMYFUNCTION("""COMPUTED_VALUE"""),63630)</f>
        <v>63630</v>
      </c>
    </row>
    <row r="414" spans="1:5" ht="13.2" x14ac:dyDescent="0.25">
      <c r="A414" s="131">
        <f ca="1">IFERROR(__xludf.DUMMYFUNCTION("""COMPUTED_VALUE"""),44303)</f>
        <v>44303</v>
      </c>
      <c r="B414" s="55">
        <f ca="1">IFERROR(__xludf.DUMMYFUNCTION("""COMPUTED_VALUE"""),35)</f>
        <v>35</v>
      </c>
      <c r="C414" s="55">
        <f ca="1">IFERROR(__xludf.DUMMYFUNCTION("""COMPUTED_VALUE"""),17723)</f>
        <v>17723</v>
      </c>
      <c r="D414" s="55">
        <f ca="1">IFERROR(__xludf.DUMMYFUNCTION("""COMPUTED_VALUE"""),156)</f>
        <v>156</v>
      </c>
      <c r="E414" s="55">
        <f ca="1">IFERROR(__xludf.DUMMYFUNCTION("""COMPUTED_VALUE"""),63786)</f>
        <v>63786</v>
      </c>
    </row>
    <row r="415" spans="1:5" ht="13.2" x14ac:dyDescent="0.25">
      <c r="A415" s="131">
        <f ca="1">IFERROR(__xludf.DUMMYFUNCTION("""COMPUTED_VALUE"""),44304)</f>
        <v>44304</v>
      </c>
      <c r="B415" s="55">
        <f ca="1">IFERROR(__xludf.DUMMYFUNCTION("""COMPUTED_VALUE"""),20)</f>
        <v>20</v>
      </c>
      <c r="C415" s="55">
        <f ca="1">IFERROR(__xludf.DUMMYFUNCTION("""COMPUTED_VALUE"""),17743)</f>
        <v>17743</v>
      </c>
      <c r="D415" s="55">
        <f ca="1">IFERROR(__xludf.DUMMYFUNCTION("""COMPUTED_VALUE"""),108)</f>
        <v>108</v>
      </c>
      <c r="E415" s="55">
        <f ca="1">IFERROR(__xludf.DUMMYFUNCTION("""COMPUTED_VALUE"""),63894)</f>
        <v>63894</v>
      </c>
    </row>
    <row r="416" spans="1:5" ht="13.2" x14ac:dyDescent="0.25">
      <c r="A416" s="131">
        <f ca="1">IFERROR(__xludf.DUMMYFUNCTION("""COMPUTED_VALUE"""),44305)</f>
        <v>44305</v>
      </c>
      <c r="B416" s="55">
        <f ca="1">IFERROR(__xludf.DUMMYFUNCTION("""COMPUTED_VALUE"""),23)</f>
        <v>23</v>
      </c>
      <c r="C416" s="55">
        <f ca="1">IFERROR(__xludf.DUMMYFUNCTION("""COMPUTED_VALUE"""),17766)</f>
        <v>17766</v>
      </c>
      <c r="D416" s="55">
        <f ca="1">IFERROR(__xludf.DUMMYFUNCTION("""COMPUTED_VALUE"""),153)</f>
        <v>153</v>
      </c>
      <c r="E416" s="55">
        <f ca="1">IFERROR(__xludf.DUMMYFUNCTION("""COMPUTED_VALUE"""),64047)</f>
        <v>64047</v>
      </c>
    </row>
    <row r="417" spans="1:5" ht="13.2" x14ac:dyDescent="0.25">
      <c r="A417" s="131">
        <f ca="1">IFERROR(__xludf.DUMMYFUNCTION("""COMPUTED_VALUE"""),44306)</f>
        <v>44306</v>
      </c>
      <c r="B417" s="55">
        <f ca="1">IFERROR(__xludf.DUMMYFUNCTION("""COMPUTED_VALUE"""),29)</f>
        <v>29</v>
      </c>
      <c r="C417" s="55">
        <f ca="1">IFERROR(__xludf.DUMMYFUNCTION("""COMPUTED_VALUE"""),17795)</f>
        <v>17795</v>
      </c>
      <c r="D417" s="55">
        <f ca="1">IFERROR(__xludf.DUMMYFUNCTION("""COMPUTED_VALUE"""),141)</f>
        <v>141</v>
      </c>
      <c r="E417" s="55">
        <f ca="1">IFERROR(__xludf.DUMMYFUNCTION("""COMPUTED_VALUE"""),64188)</f>
        <v>64188</v>
      </c>
    </row>
    <row r="418" spans="1:5" ht="13.2" x14ac:dyDescent="0.25">
      <c r="A418" s="131">
        <f ca="1">IFERROR(__xludf.DUMMYFUNCTION("""COMPUTED_VALUE"""),44307)</f>
        <v>44307</v>
      </c>
      <c r="B418" s="55">
        <f ca="1">IFERROR(__xludf.DUMMYFUNCTION("""COMPUTED_VALUE"""),26)</f>
        <v>26</v>
      </c>
      <c r="C418" s="55">
        <f ca="1">IFERROR(__xludf.DUMMYFUNCTION("""COMPUTED_VALUE"""),17821)</f>
        <v>17821</v>
      </c>
      <c r="D418" s="55">
        <f ca="1">IFERROR(__xludf.DUMMYFUNCTION("""COMPUTED_VALUE"""),134)</f>
        <v>134</v>
      </c>
      <c r="E418" s="55">
        <f ca="1">IFERROR(__xludf.DUMMYFUNCTION("""COMPUTED_VALUE"""),64322)</f>
        <v>64322</v>
      </c>
    </row>
    <row r="419" spans="1:5" ht="13.2" x14ac:dyDescent="0.25">
      <c r="A419" s="131">
        <f ca="1">IFERROR(__xludf.DUMMYFUNCTION("""COMPUTED_VALUE"""),44308)</f>
        <v>44308</v>
      </c>
      <c r="B419" s="55">
        <f ca="1">IFERROR(__xludf.DUMMYFUNCTION("""COMPUTED_VALUE"""),16)</f>
        <v>16</v>
      </c>
      <c r="C419" s="55">
        <f ca="1">IFERROR(__xludf.DUMMYFUNCTION("""COMPUTED_VALUE"""),17837)</f>
        <v>17837</v>
      </c>
      <c r="D419" s="55">
        <f ca="1">IFERROR(__xludf.DUMMYFUNCTION("""COMPUTED_VALUE"""),130)</f>
        <v>130</v>
      </c>
      <c r="E419" s="55">
        <f ca="1">IFERROR(__xludf.DUMMYFUNCTION("""COMPUTED_VALUE"""),64452)</f>
        <v>64452</v>
      </c>
    </row>
    <row r="420" spans="1:5" ht="13.2" x14ac:dyDescent="0.25">
      <c r="A420" s="131">
        <f ca="1">IFERROR(__xludf.DUMMYFUNCTION("""COMPUTED_VALUE"""),44309)</f>
        <v>44309</v>
      </c>
      <c r="B420" s="55">
        <f ca="1">IFERROR(__xludf.DUMMYFUNCTION("""COMPUTED_VALUE"""),19)</f>
        <v>19</v>
      </c>
      <c r="C420" s="55">
        <f ca="1">IFERROR(__xludf.DUMMYFUNCTION("""COMPUTED_VALUE"""),17856)</f>
        <v>17856</v>
      </c>
      <c r="D420" s="55">
        <f ca="1">IFERROR(__xludf.DUMMYFUNCTION("""COMPUTED_VALUE"""),111)</f>
        <v>111</v>
      </c>
      <c r="E420" s="55">
        <f ca="1">IFERROR(__xludf.DUMMYFUNCTION("""COMPUTED_VALUE"""),64563)</f>
        <v>64563</v>
      </c>
    </row>
    <row r="421" spans="1:5" ht="13.2" x14ac:dyDescent="0.25">
      <c r="A421" s="131">
        <f ca="1">IFERROR(__xludf.DUMMYFUNCTION("""COMPUTED_VALUE"""),44310)</f>
        <v>44310</v>
      </c>
      <c r="B421" s="55">
        <f ca="1">IFERROR(__xludf.DUMMYFUNCTION("""COMPUTED_VALUE"""),15)</f>
        <v>15</v>
      </c>
      <c r="C421" s="55">
        <f ca="1">IFERROR(__xludf.DUMMYFUNCTION("""COMPUTED_VALUE"""),17871)</f>
        <v>17871</v>
      </c>
      <c r="D421" s="55">
        <f ca="1">IFERROR(__xludf.DUMMYFUNCTION("""COMPUTED_VALUE"""),135)</f>
        <v>135</v>
      </c>
      <c r="E421" s="55">
        <f ca="1">IFERROR(__xludf.DUMMYFUNCTION("""COMPUTED_VALUE"""),64698)</f>
        <v>64698</v>
      </c>
    </row>
    <row r="422" spans="1:5" ht="13.2" x14ac:dyDescent="0.25">
      <c r="A422" s="131">
        <f ca="1">IFERROR(__xludf.DUMMYFUNCTION("""COMPUTED_VALUE"""),44311)</f>
        <v>44311</v>
      </c>
      <c r="B422" s="55">
        <f ca="1">IFERROR(__xludf.DUMMYFUNCTION("""COMPUTED_VALUE"""),17)</f>
        <v>17</v>
      </c>
      <c r="C422" s="55">
        <f ca="1">IFERROR(__xludf.DUMMYFUNCTION("""COMPUTED_VALUE"""),17888)</f>
        <v>17888</v>
      </c>
      <c r="D422" s="55">
        <f ca="1">IFERROR(__xludf.DUMMYFUNCTION("""COMPUTED_VALUE"""),114)</f>
        <v>114</v>
      </c>
      <c r="E422" s="55">
        <f ca="1">IFERROR(__xludf.DUMMYFUNCTION("""COMPUTED_VALUE"""),64812)</f>
        <v>64812</v>
      </c>
    </row>
    <row r="423" spans="1:5" ht="13.2" x14ac:dyDescent="0.25">
      <c r="A423" s="131">
        <f ca="1">IFERROR(__xludf.DUMMYFUNCTION("""COMPUTED_VALUE"""),44312)</f>
        <v>44312</v>
      </c>
      <c r="B423" s="55">
        <f ca="1">IFERROR(__xludf.DUMMYFUNCTION("""COMPUTED_VALUE"""),14)</f>
        <v>14</v>
      </c>
      <c r="C423" s="55">
        <f ca="1">IFERROR(__xludf.DUMMYFUNCTION("""COMPUTED_VALUE"""),17902)</f>
        <v>17902</v>
      </c>
      <c r="D423" s="55">
        <f ca="1">IFERROR(__xludf.DUMMYFUNCTION("""COMPUTED_VALUE"""),137)</f>
        <v>137</v>
      </c>
      <c r="E423" s="55">
        <f ca="1">IFERROR(__xludf.DUMMYFUNCTION("""COMPUTED_VALUE"""),64949)</f>
        <v>64949</v>
      </c>
    </row>
    <row r="424" spans="1:5" ht="13.2" x14ac:dyDescent="0.25">
      <c r="A424" s="131">
        <f ca="1">IFERROR(__xludf.DUMMYFUNCTION("""COMPUTED_VALUE"""),44313)</f>
        <v>44313</v>
      </c>
      <c r="B424" s="55">
        <f ca="1">IFERROR(__xludf.DUMMYFUNCTION("""COMPUTED_VALUE"""),23)</f>
        <v>23</v>
      </c>
      <c r="C424" s="55">
        <f ca="1">IFERROR(__xludf.DUMMYFUNCTION("""COMPUTED_VALUE"""),17925)</f>
        <v>17925</v>
      </c>
      <c r="D424" s="55">
        <f ca="1">IFERROR(__xludf.DUMMYFUNCTION("""COMPUTED_VALUE"""),142)</f>
        <v>142</v>
      </c>
      <c r="E424" s="55">
        <f ca="1">IFERROR(__xludf.DUMMYFUNCTION("""COMPUTED_VALUE"""),65091)</f>
        <v>65091</v>
      </c>
    </row>
    <row r="425" spans="1:5" ht="13.2" x14ac:dyDescent="0.25">
      <c r="A425" s="131">
        <f ca="1">IFERROR(__xludf.DUMMYFUNCTION("""COMPUTED_VALUE"""),44314)</f>
        <v>44314</v>
      </c>
      <c r="B425" s="55">
        <f ca="1">IFERROR(__xludf.DUMMYFUNCTION("""COMPUTED_VALUE"""),27)</f>
        <v>27</v>
      </c>
      <c r="C425" s="55">
        <f ca="1">IFERROR(__xludf.DUMMYFUNCTION("""COMPUTED_VALUE"""),17952)</f>
        <v>17952</v>
      </c>
      <c r="D425" s="55">
        <f ca="1">IFERROR(__xludf.DUMMYFUNCTION("""COMPUTED_VALUE"""),137)</f>
        <v>137</v>
      </c>
      <c r="E425" s="55">
        <f ca="1">IFERROR(__xludf.DUMMYFUNCTION("""COMPUTED_VALUE"""),65228)</f>
        <v>65228</v>
      </c>
    </row>
    <row r="426" spans="1:5" ht="13.2" x14ac:dyDescent="0.25">
      <c r="A426" s="131">
        <f ca="1">IFERROR(__xludf.DUMMYFUNCTION("""COMPUTED_VALUE"""),44315)</f>
        <v>44315</v>
      </c>
      <c r="B426" s="55">
        <f ca="1">IFERROR(__xludf.DUMMYFUNCTION("""COMPUTED_VALUE"""),17)</f>
        <v>17</v>
      </c>
      <c r="C426" s="55">
        <f ca="1">IFERROR(__xludf.DUMMYFUNCTION("""COMPUTED_VALUE"""),17969)</f>
        <v>17969</v>
      </c>
      <c r="D426" s="55">
        <f ca="1">IFERROR(__xludf.DUMMYFUNCTION("""COMPUTED_VALUE"""),130)</f>
        <v>130</v>
      </c>
      <c r="E426" s="55">
        <f ca="1">IFERROR(__xludf.DUMMYFUNCTION("""COMPUTED_VALUE"""),65358)</f>
        <v>65358</v>
      </c>
    </row>
    <row r="427" spans="1:5" ht="13.2" x14ac:dyDescent="0.25">
      <c r="A427" s="131">
        <f ca="1">IFERROR(__xludf.DUMMYFUNCTION("""COMPUTED_VALUE"""),44316)</f>
        <v>44316</v>
      </c>
      <c r="B427" s="55">
        <f ca="1">IFERROR(__xludf.DUMMYFUNCTION("""COMPUTED_VALUE"""),18)</f>
        <v>18</v>
      </c>
      <c r="C427" s="55">
        <f ca="1">IFERROR(__xludf.DUMMYFUNCTION("""COMPUTED_VALUE"""),17987)</f>
        <v>17987</v>
      </c>
      <c r="D427" s="55">
        <f ca="1">IFERROR(__xludf.DUMMYFUNCTION("""COMPUTED_VALUE"""),115)</f>
        <v>115</v>
      </c>
      <c r="E427" s="55">
        <f ca="1">IFERROR(__xludf.DUMMYFUNCTION("""COMPUTED_VALUE"""),65473)</f>
        <v>65473</v>
      </c>
    </row>
    <row r="428" spans="1:5" ht="13.2" x14ac:dyDescent="0.25">
      <c r="A428" s="131">
        <f ca="1">IFERROR(__xludf.DUMMYFUNCTION("""COMPUTED_VALUE"""),44317)</f>
        <v>44317</v>
      </c>
      <c r="B428" s="55">
        <f ca="1">IFERROR(__xludf.DUMMYFUNCTION("""COMPUTED_VALUE"""),25)</f>
        <v>25</v>
      </c>
      <c r="C428" s="55">
        <f ca="1">IFERROR(__xludf.DUMMYFUNCTION("""COMPUTED_VALUE"""),18012)</f>
        <v>18012</v>
      </c>
      <c r="D428" s="55">
        <f ca="1">IFERROR(__xludf.DUMMYFUNCTION("""COMPUTED_VALUE"""),122)</f>
        <v>122</v>
      </c>
      <c r="E428" s="55">
        <f ca="1">IFERROR(__xludf.DUMMYFUNCTION("""COMPUTED_VALUE"""),65595)</f>
        <v>65595</v>
      </c>
    </row>
    <row r="429" spans="1:5" ht="13.2" x14ac:dyDescent="0.25">
      <c r="A429" s="131">
        <f ca="1">IFERROR(__xludf.DUMMYFUNCTION("""COMPUTED_VALUE"""),44318)</f>
        <v>44318</v>
      </c>
      <c r="B429" s="55">
        <f ca="1">IFERROR(__xludf.DUMMYFUNCTION("""COMPUTED_VALUE"""),26)</f>
        <v>26</v>
      </c>
      <c r="C429" s="55">
        <f ca="1">IFERROR(__xludf.DUMMYFUNCTION("""COMPUTED_VALUE"""),18038)</f>
        <v>18038</v>
      </c>
      <c r="D429" s="55">
        <f ca="1">IFERROR(__xludf.DUMMYFUNCTION("""COMPUTED_VALUE"""),165)</f>
        <v>165</v>
      </c>
      <c r="E429" s="55">
        <f ca="1">IFERROR(__xludf.DUMMYFUNCTION("""COMPUTED_VALUE"""),65760)</f>
        <v>65760</v>
      </c>
    </row>
    <row r="430" spans="1:5" ht="13.2" x14ac:dyDescent="0.25">
      <c r="A430" s="131">
        <f ca="1">IFERROR(__xludf.DUMMYFUNCTION("""COMPUTED_VALUE"""),44319)</f>
        <v>44319</v>
      </c>
      <c r="B430" s="55">
        <f ca="1">IFERROR(__xludf.DUMMYFUNCTION("""COMPUTED_VALUE"""),23)</f>
        <v>23</v>
      </c>
      <c r="C430" s="55">
        <f ca="1">IFERROR(__xludf.DUMMYFUNCTION("""COMPUTED_VALUE"""),18061)</f>
        <v>18061</v>
      </c>
      <c r="D430" s="55">
        <f ca="1">IFERROR(__xludf.DUMMYFUNCTION("""COMPUTED_VALUE"""),126)</f>
        <v>126</v>
      </c>
      <c r="E430" s="55">
        <f ca="1">IFERROR(__xludf.DUMMYFUNCTION("""COMPUTED_VALUE"""),65886)</f>
        <v>65886</v>
      </c>
    </row>
    <row r="431" spans="1:5" ht="13.2" x14ac:dyDescent="0.25">
      <c r="A431" s="131">
        <f ca="1">IFERROR(__xludf.DUMMYFUNCTION("""COMPUTED_VALUE"""),44320)</f>
        <v>44320</v>
      </c>
      <c r="B431" s="55">
        <f ca="1">IFERROR(__xludf.DUMMYFUNCTION("""COMPUTED_VALUE"""),21)</f>
        <v>21</v>
      </c>
      <c r="C431" s="55">
        <f ca="1">IFERROR(__xludf.DUMMYFUNCTION("""COMPUTED_VALUE"""),18082)</f>
        <v>18082</v>
      </c>
      <c r="D431" s="55">
        <f ca="1">IFERROR(__xludf.DUMMYFUNCTION("""COMPUTED_VALUE"""),150)</f>
        <v>150</v>
      </c>
      <c r="E431" s="55">
        <f ca="1">IFERROR(__xludf.DUMMYFUNCTION("""COMPUTED_VALUE"""),66036)</f>
        <v>66036</v>
      </c>
    </row>
    <row r="432" spans="1:5" ht="13.2" x14ac:dyDescent="0.25">
      <c r="A432" s="131">
        <f ca="1">IFERROR(__xludf.DUMMYFUNCTION("""COMPUTED_VALUE"""),44321)</f>
        <v>44321</v>
      </c>
      <c r="B432" s="55">
        <f ca="1">IFERROR(__xludf.DUMMYFUNCTION("""COMPUTED_VALUE"""),19)</f>
        <v>19</v>
      </c>
      <c r="C432" s="55">
        <f ca="1">IFERROR(__xludf.DUMMYFUNCTION("""COMPUTED_VALUE"""),18101)</f>
        <v>18101</v>
      </c>
      <c r="D432" s="55">
        <f ca="1">IFERROR(__xludf.DUMMYFUNCTION("""COMPUTED_VALUE"""),133)</f>
        <v>133</v>
      </c>
      <c r="E432" s="55">
        <f ca="1">IFERROR(__xludf.DUMMYFUNCTION("""COMPUTED_VALUE"""),66169)</f>
        <v>66169</v>
      </c>
    </row>
    <row r="433" spans="1:5" ht="13.2" x14ac:dyDescent="0.25">
      <c r="A433" s="131">
        <f ca="1">IFERROR(__xludf.DUMMYFUNCTION("""COMPUTED_VALUE"""),44322)</f>
        <v>44322</v>
      </c>
      <c r="B433" s="55">
        <f ca="1">IFERROR(__xludf.DUMMYFUNCTION("""COMPUTED_VALUE"""),17)</f>
        <v>17</v>
      </c>
      <c r="C433" s="55">
        <f ca="1">IFERROR(__xludf.DUMMYFUNCTION("""COMPUTED_VALUE"""),18118)</f>
        <v>18118</v>
      </c>
      <c r="D433" s="55">
        <f ca="1">IFERROR(__xludf.DUMMYFUNCTION("""COMPUTED_VALUE"""),121)</f>
        <v>121</v>
      </c>
      <c r="E433" s="55">
        <f ca="1">IFERROR(__xludf.DUMMYFUNCTION("""COMPUTED_VALUE"""),66290)</f>
        <v>66290</v>
      </c>
    </row>
    <row r="434" spans="1:5" ht="13.2" x14ac:dyDescent="0.25">
      <c r="A434" s="131">
        <f ca="1">IFERROR(__xludf.DUMMYFUNCTION("""COMPUTED_VALUE"""),44323)</f>
        <v>44323</v>
      </c>
      <c r="B434" s="55">
        <f ca="1">IFERROR(__xludf.DUMMYFUNCTION("""COMPUTED_VALUE"""),17)</f>
        <v>17</v>
      </c>
      <c r="C434" s="55">
        <f ca="1">IFERROR(__xludf.DUMMYFUNCTION("""COMPUTED_VALUE"""),18135)</f>
        <v>18135</v>
      </c>
      <c r="D434" s="55">
        <f ca="1">IFERROR(__xludf.DUMMYFUNCTION("""COMPUTED_VALUE"""),123)</f>
        <v>123</v>
      </c>
      <c r="E434" s="55">
        <f ca="1">IFERROR(__xludf.DUMMYFUNCTION("""COMPUTED_VALUE"""),66413)</f>
        <v>66413</v>
      </c>
    </row>
    <row r="435" spans="1:5" ht="13.2" x14ac:dyDescent="0.25">
      <c r="A435" s="131">
        <f ca="1">IFERROR(__xludf.DUMMYFUNCTION("""COMPUTED_VALUE"""),44324)</f>
        <v>44324</v>
      </c>
      <c r="B435" s="55">
        <f ca="1">IFERROR(__xludf.DUMMYFUNCTION("""COMPUTED_VALUE"""),16)</f>
        <v>16</v>
      </c>
      <c r="C435" s="55">
        <f ca="1">IFERROR(__xludf.DUMMYFUNCTION("""COMPUTED_VALUE"""),18151)</f>
        <v>18151</v>
      </c>
      <c r="D435" s="55">
        <f ca="1">IFERROR(__xludf.DUMMYFUNCTION("""COMPUTED_VALUE"""),128)</f>
        <v>128</v>
      </c>
      <c r="E435" s="55">
        <f ca="1">IFERROR(__xludf.DUMMYFUNCTION("""COMPUTED_VALUE"""),66541)</f>
        <v>66541</v>
      </c>
    </row>
    <row r="436" spans="1:5" ht="13.2" x14ac:dyDescent="0.25">
      <c r="A436" s="131">
        <f ca="1">IFERROR(__xludf.DUMMYFUNCTION("""COMPUTED_VALUE"""),44325)</f>
        <v>44325</v>
      </c>
      <c r="B436" s="55">
        <f ca="1">IFERROR(__xludf.DUMMYFUNCTION("""COMPUTED_VALUE"""),19)</f>
        <v>19</v>
      </c>
      <c r="C436" s="55">
        <f ca="1">IFERROR(__xludf.DUMMYFUNCTION("""COMPUTED_VALUE"""),18170)</f>
        <v>18170</v>
      </c>
      <c r="D436" s="55">
        <f ca="1">IFERROR(__xludf.DUMMYFUNCTION("""COMPUTED_VALUE"""),114)</f>
        <v>114</v>
      </c>
      <c r="E436" s="55">
        <f ca="1">IFERROR(__xludf.DUMMYFUNCTION("""COMPUTED_VALUE"""),66655)</f>
        <v>66655</v>
      </c>
    </row>
    <row r="437" spans="1:5" ht="13.2" x14ac:dyDescent="0.25">
      <c r="A437" s="131">
        <f ca="1">IFERROR(__xludf.DUMMYFUNCTION("""COMPUTED_VALUE"""),44326)</f>
        <v>44326</v>
      </c>
      <c r="B437" s="55">
        <f ca="1">IFERROR(__xludf.DUMMYFUNCTION("""COMPUTED_VALUE"""),23)</f>
        <v>23</v>
      </c>
      <c r="C437" s="55">
        <f ca="1">IFERROR(__xludf.DUMMYFUNCTION("""COMPUTED_VALUE"""),18193)</f>
        <v>18193</v>
      </c>
      <c r="D437" s="55">
        <f ca="1">IFERROR(__xludf.DUMMYFUNCTION("""COMPUTED_VALUE"""),126)</f>
        <v>126</v>
      </c>
      <c r="E437" s="55">
        <f ca="1">IFERROR(__xludf.DUMMYFUNCTION("""COMPUTED_VALUE"""),66781)</f>
        <v>66781</v>
      </c>
    </row>
    <row r="438" spans="1:5" ht="13.2" x14ac:dyDescent="0.25">
      <c r="A438" s="131">
        <f ca="1">IFERROR(__xludf.DUMMYFUNCTION("""COMPUTED_VALUE"""),44327)</f>
        <v>44327</v>
      </c>
      <c r="B438" s="55">
        <f ca="1">IFERROR(__xludf.DUMMYFUNCTION("""COMPUTED_VALUE"""),25)</f>
        <v>25</v>
      </c>
      <c r="C438" s="55">
        <f ca="1">IFERROR(__xludf.DUMMYFUNCTION("""COMPUTED_VALUE"""),18218)</f>
        <v>18218</v>
      </c>
      <c r="D438" s="55">
        <f ca="1">IFERROR(__xludf.DUMMYFUNCTION("""COMPUTED_VALUE"""),154)</f>
        <v>154</v>
      </c>
      <c r="E438" s="55">
        <f ca="1">IFERROR(__xludf.DUMMYFUNCTION("""COMPUTED_VALUE"""),66935)</f>
        <v>66935</v>
      </c>
    </row>
    <row r="439" spans="1:5" ht="13.2" x14ac:dyDescent="0.25">
      <c r="A439" s="131">
        <f ca="1">IFERROR(__xludf.DUMMYFUNCTION("""COMPUTED_VALUE"""),44328)</f>
        <v>44328</v>
      </c>
      <c r="B439" s="55">
        <f ca="1">IFERROR(__xludf.DUMMYFUNCTION("""COMPUTED_VALUE"""),16)</f>
        <v>16</v>
      </c>
      <c r="C439" s="55">
        <f ca="1">IFERROR(__xludf.DUMMYFUNCTION("""COMPUTED_VALUE"""),18234)</f>
        <v>18234</v>
      </c>
      <c r="D439" s="55">
        <f ca="1">IFERROR(__xludf.DUMMYFUNCTION("""COMPUTED_VALUE"""),148)</f>
        <v>148</v>
      </c>
      <c r="E439" s="55">
        <f ca="1">IFERROR(__xludf.DUMMYFUNCTION("""COMPUTED_VALUE"""),67083)</f>
        <v>67083</v>
      </c>
    </row>
    <row r="440" spans="1:5" ht="13.2" x14ac:dyDescent="0.25">
      <c r="A440" s="131">
        <f ca="1">IFERROR(__xludf.DUMMYFUNCTION("""COMPUTED_VALUE"""),44329)</f>
        <v>44329</v>
      </c>
      <c r="B440" s="55">
        <f ca="1">IFERROR(__xludf.DUMMYFUNCTION("""COMPUTED_VALUE"""),11)</f>
        <v>11</v>
      </c>
      <c r="C440" s="55">
        <f ca="1">IFERROR(__xludf.DUMMYFUNCTION("""COMPUTED_VALUE"""),18245)</f>
        <v>18245</v>
      </c>
      <c r="D440" s="55">
        <f ca="1">IFERROR(__xludf.DUMMYFUNCTION("""COMPUTED_VALUE"""),131)</f>
        <v>131</v>
      </c>
      <c r="E440" s="55">
        <f ca="1">IFERROR(__xludf.DUMMYFUNCTION("""COMPUTED_VALUE"""),67214)</f>
        <v>67214</v>
      </c>
    </row>
    <row r="441" spans="1:5" ht="13.2" x14ac:dyDescent="0.25">
      <c r="A441" s="131">
        <f ca="1">IFERROR(__xludf.DUMMYFUNCTION("""COMPUTED_VALUE"""),44330)</f>
        <v>44330</v>
      </c>
      <c r="B441" s="55">
        <f ca="1">IFERROR(__xludf.DUMMYFUNCTION("""COMPUTED_VALUE"""),16)</f>
        <v>16</v>
      </c>
      <c r="C441" s="55">
        <f ca="1">IFERROR(__xludf.DUMMYFUNCTION("""COMPUTED_VALUE"""),18261)</f>
        <v>18261</v>
      </c>
      <c r="D441" s="55">
        <f ca="1">IFERROR(__xludf.DUMMYFUNCTION("""COMPUTED_VALUE"""),149)</f>
        <v>149</v>
      </c>
      <c r="E441" s="55">
        <f ca="1">IFERROR(__xludf.DUMMYFUNCTION("""COMPUTED_VALUE"""),67363)</f>
        <v>67363</v>
      </c>
    </row>
    <row r="442" spans="1:5" ht="13.2" x14ac:dyDescent="0.25">
      <c r="A442" s="131">
        <f ca="1">IFERROR(__xludf.DUMMYFUNCTION("""COMPUTED_VALUE"""),44331)</f>
        <v>44331</v>
      </c>
      <c r="B442" s="55">
        <f ca="1">IFERROR(__xludf.DUMMYFUNCTION("""COMPUTED_VALUE"""),11)</f>
        <v>11</v>
      </c>
      <c r="C442" s="55">
        <f ca="1">IFERROR(__xludf.DUMMYFUNCTION("""COMPUTED_VALUE"""),18272)</f>
        <v>18272</v>
      </c>
      <c r="D442" s="55">
        <f ca="1">IFERROR(__xludf.DUMMYFUNCTION("""COMPUTED_VALUE"""),142)</f>
        <v>142</v>
      </c>
      <c r="E442" s="55">
        <f ca="1">IFERROR(__xludf.DUMMYFUNCTION("""COMPUTED_VALUE"""),67505)</f>
        <v>67505</v>
      </c>
    </row>
    <row r="443" spans="1:5" ht="13.2" x14ac:dyDescent="0.25">
      <c r="A443" s="131">
        <f ca="1">IFERROR(__xludf.DUMMYFUNCTION("""COMPUTED_VALUE"""),44332)</f>
        <v>44332</v>
      </c>
      <c r="B443" s="55">
        <f ca="1">IFERROR(__xludf.DUMMYFUNCTION("""COMPUTED_VALUE"""),19)</f>
        <v>19</v>
      </c>
      <c r="C443" s="55">
        <f ca="1">IFERROR(__xludf.DUMMYFUNCTION("""COMPUTED_VALUE"""),18291)</f>
        <v>18291</v>
      </c>
      <c r="D443" s="55">
        <f ca="1">IFERROR(__xludf.DUMMYFUNCTION("""COMPUTED_VALUE"""),126)</f>
        <v>126</v>
      </c>
      <c r="E443" s="55">
        <f ca="1">IFERROR(__xludf.DUMMYFUNCTION("""COMPUTED_VALUE"""),67631)</f>
        <v>67631</v>
      </c>
    </row>
    <row r="444" spans="1:5" ht="13.2" x14ac:dyDescent="0.25">
      <c r="A444" s="131">
        <f ca="1">IFERROR(__xludf.DUMMYFUNCTION("""COMPUTED_VALUE"""),44333)</f>
        <v>44333</v>
      </c>
      <c r="B444" s="55">
        <f ca="1">IFERROR(__xludf.DUMMYFUNCTION("""COMPUTED_VALUE"""),19)</f>
        <v>19</v>
      </c>
      <c r="C444" s="55">
        <f ca="1">IFERROR(__xludf.DUMMYFUNCTION("""COMPUTED_VALUE"""),18310)</f>
        <v>18310</v>
      </c>
      <c r="D444" s="55">
        <f ca="1">IFERROR(__xludf.DUMMYFUNCTION("""COMPUTED_VALUE"""),115)</f>
        <v>115</v>
      </c>
      <c r="E444" s="55">
        <f ca="1">IFERROR(__xludf.DUMMYFUNCTION("""COMPUTED_VALUE"""),67746)</f>
        <v>67746</v>
      </c>
    </row>
    <row r="445" spans="1:5" ht="13.2" x14ac:dyDescent="0.25">
      <c r="A445" s="131">
        <f ca="1">IFERROR(__xludf.DUMMYFUNCTION("""COMPUTED_VALUE"""),44334)</f>
        <v>44334</v>
      </c>
      <c r="B445" s="55">
        <f ca="1">IFERROR(__xludf.DUMMYFUNCTION("""COMPUTED_VALUE"""),10)</f>
        <v>10</v>
      </c>
      <c r="C445" s="55">
        <f ca="1">IFERROR(__xludf.DUMMYFUNCTION("""COMPUTED_VALUE"""),18320)</f>
        <v>18320</v>
      </c>
      <c r="D445" s="55">
        <f ca="1">IFERROR(__xludf.DUMMYFUNCTION("""COMPUTED_VALUE"""),109)</f>
        <v>109</v>
      </c>
      <c r="E445" s="55">
        <f ca="1">IFERROR(__xludf.DUMMYFUNCTION("""COMPUTED_VALUE"""),67855)</f>
        <v>67855</v>
      </c>
    </row>
    <row r="446" spans="1:5" ht="13.2" x14ac:dyDescent="0.25">
      <c r="A446" s="131">
        <f ca="1">IFERROR(__xludf.DUMMYFUNCTION("""COMPUTED_VALUE"""),44335)</f>
        <v>44335</v>
      </c>
      <c r="B446" s="55">
        <f ca="1">IFERROR(__xludf.DUMMYFUNCTION("""COMPUTED_VALUE"""),13)</f>
        <v>13</v>
      </c>
      <c r="C446" s="55">
        <f ca="1">IFERROR(__xludf.DUMMYFUNCTION("""COMPUTED_VALUE"""),18333)</f>
        <v>18333</v>
      </c>
      <c r="D446" s="55">
        <f ca="1">IFERROR(__xludf.DUMMYFUNCTION("""COMPUTED_VALUE"""),96)</f>
        <v>96</v>
      </c>
      <c r="E446" s="55">
        <f ca="1">IFERROR(__xludf.DUMMYFUNCTION("""COMPUTED_VALUE"""),67951)</f>
        <v>67951</v>
      </c>
    </row>
    <row r="447" spans="1:5" ht="13.2" x14ac:dyDescent="0.25">
      <c r="A447" s="131">
        <f ca="1">IFERROR(__xludf.DUMMYFUNCTION("""COMPUTED_VALUE"""),44336)</f>
        <v>44336</v>
      </c>
      <c r="B447" s="55">
        <f ca="1">IFERROR(__xludf.DUMMYFUNCTION("""COMPUTED_VALUE"""),16)</f>
        <v>16</v>
      </c>
      <c r="C447" s="55">
        <f ca="1">IFERROR(__xludf.DUMMYFUNCTION("""COMPUTED_VALUE"""),18349)</f>
        <v>18349</v>
      </c>
      <c r="D447" s="55">
        <f ca="1">IFERROR(__xludf.DUMMYFUNCTION("""COMPUTED_VALUE"""),148)</f>
        <v>148</v>
      </c>
      <c r="E447" s="55">
        <f ca="1">IFERROR(__xludf.DUMMYFUNCTION("""COMPUTED_VALUE"""),68099)</f>
        <v>68099</v>
      </c>
    </row>
    <row r="448" spans="1:5" ht="13.2" x14ac:dyDescent="0.25">
      <c r="A448" s="131">
        <f ca="1">IFERROR(__xludf.DUMMYFUNCTION("""COMPUTED_VALUE"""),44337)</f>
        <v>44337</v>
      </c>
      <c r="B448" s="55">
        <f ca="1">IFERROR(__xludf.DUMMYFUNCTION("""COMPUTED_VALUE"""),8)</f>
        <v>8</v>
      </c>
      <c r="C448" s="55">
        <f ca="1">IFERROR(__xludf.DUMMYFUNCTION("""COMPUTED_VALUE"""),18357)</f>
        <v>18357</v>
      </c>
      <c r="D448" s="55">
        <f ca="1">IFERROR(__xludf.DUMMYFUNCTION("""COMPUTED_VALUE"""),129)</f>
        <v>129</v>
      </c>
      <c r="E448" s="55">
        <f ca="1">IFERROR(__xludf.DUMMYFUNCTION("""COMPUTED_VALUE"""),68228)</f>
        <v>68228</v>
      </c>
    </row>
    <row r="449" spans="1:5" ht="13.2" x14ac:dyDescent="0.25">
      <c r="A449" s="131">
        <f ca="1">IFERROR(__xludf.DUMMYFUNCTION("""COMPUTED_VALUE"""),44338)</f>
        <v>44338</v>
      </c>
      <c r="B449" s="55">
        <f ca="1">IFERROR(__xludf.DUMMYFUNCTION("""COMPUTED_VALUE"""),7)</f>
        <v>7</v>
      </c>
      <c r="C449" s="55">
        <f ca="1">IFERROR(__xludf.DUMMYFUNCTION("""COMPUTED_VALUE"""),18364)</f>
        <v>18364</v>
      </c>
      <c r="D449" s="55">
        <f ca="1">IFERROR(__xludf.DUMMYFUNCTION("""COMPUTED_VALUE"""),111)</f>
        <v>111</v>
      </c>
      <c r="E449" s="55">
        <f ca="1">IFERROR(__xludf.DUMMYFUNCTION("""COMPUTED_VALUE"""),68339)</f>
        <v>68339</v>
      </c>
    </row>
    <row r="450" spans="1:5" ht="13.2" x14ac:dyDescent="0.25">
      <c r="A450" s="131">
        <f ca="1">IFERROR(__xludf.DUMMYFUNCTION("""COMPUTED_VALUE"""),44339)</f>
        <v>44339</v>
      </c>
      <c r="B450" s="55">
        <f ca="1">IFERROR(__xludf.DUMMYFUNCTION("""COMPUTED_VALUE"""),16)</f>
        <v>16</v>
      </c>
      <c r="C450" s="55">
        <f ca="1">IFERROR(__xludf.DUMMYFUNCTION("""COMPUTED_VALUE"""),18380)</f>
        <v>18380</v>
      </c>
      <c r="D450" s="55">
        <f ca="1">IFERROR(__xludf.DUMMYFUNCTION("""COMPUTED_VALUE"""),104)</f>
        <v>104</v>
      </c>
      <c r="E450" s="55">
        <f ca="1">IFERROR(__xludf.DUMMYFUNCTION("""COMPUTED_VALUE"""),68443)</f>
        <v>68443</v>
      </c>
    </row>
    <row r="451" spans="1:5" ht="13.2" x14ac:dyDescent="0.25">
      <c r="A451" s="131">
        <f ca="1">IFERROR(__xludf.DUMMYFUNCTION("""COMPUTED_VALUE"""),44340)</f>
        <v>44340</v>
      </c>
      <c r="B451" s="55">
        <f ca="1">IFERROR(__xludf.DUMMYFUNCTION("""COMPUTED_VALUE"""),17)</f>
        <v>17</v>
      </c>
      <c r="C451" s="55">
        <f ca="1">IFERROR(__xludf.DUMMYFUNCTION("""COMPUTED_VALUE"""),18397)</f>
        <v>18397</v>
      </c>
      <c r="D451" s="55">
        <f ca="1">IFERROR(__xludf.DUMMYFUNCTION("""COMPUTED_VALUE"""),124)</f>
        <v>124</v>
      </c>
      <c r="E451" s="55">
        <f ca="1">IFERROR(__xludf.DUMMYFUNCTION("""COMPUTED_VALUE"""),68567)</f>
        <v>68567</v>
      </c>
    </row>
    <row r="452" spans="1:5" ht="13.2" x14ac:dyDescent="0.25">
      <c r="A452" s="131">
        <f ca="1">IFERROR(__xludf.DUMMYFUNCTION("""COMPUTED_VALUE"""),44341)</f>
        <v>44341</v>
      </c>
      <c r="B452" s="55">
        <f ca="1">IFERROR(__xludf.DUMMYFUNCTION("""COMPUTED_VALUE"""),17)</f>
        <v>17</v>
      </c>
      <c r="C452" s="55">
        <f ca="1">IFERROR(__xludf.DUMMYFUNCTION("""COMPUTED_VALUE"""),18414)</f>
        <v>18414</v>
      </c>
      <c r="D452" s="55">
        <f ca="1">IFERROR(__xludf.DUMMYFUNCTION("""COMPUTED_VALUE"""),143)</f>
        <v>143</v>
      </c>
      <c r="E452" s="55">
        <f ca="1">IFERROR(__xludf.DUMMYFUNCTION("""COMPUTED_VALUE"""),68710)</f>
        <v>68710</v>
      </c>
    </row>
    <row r="453" spans="1:5" ht="13.2" x14ac:dyDescent="0.25">
      <c r="A453" s="131">
        <f ca="1">IFERROR(__xludf.DUMMYFUNCTION("""COMPUTED_VALUE"""),44342)</f>
        <v>44342</v>
      </c>
      <c r="B453" s="55">
        <f ca="1">IFERROR(__xludf.DUMMYFUNCTION("""COMPUTED_VALUE"""),12)</f>
        <v>12</v>
      </c>
      <c r="C453" s="55">
        <f ca="1">IFERROR(__xludf.DUMMYFUNCTION("""COMPUTED_VALUE"""),18426)</f>
        <v>18426</v>
      </c>
      <c r="D453" s="55">
        <f ca="1">IFERROR(__xludf.DUMMYFUNCTION("""COMPUTED_VALUE"""),111)</f>
        <v>111</v>
      </c>
      <c r="E453" s="55">
        <f ca="1">IFERROR(__xludf.DUMMYFUNCTION("""COMPUTED_VALUE"""),68821)</f>
        <v>68821</v>
      </c>
    </row>
    <row r="454" spans="1:5" ht="13.2" x14ac:dyDescent="0.25">
      <c r="A454" s="131">
        <f ca="1">IFERROR(__xludf.DUMMYFUNCTION("""COMPUTED_VALUE"""),44343)</f>
        <v>44343</v>
      </c>
      <c r="B454" s="55">
        <f ca="1">IFERROR(__xludf.DUMMYFUNCTION("""COMPUTED_VALUE"""),11)</f>
        <v>11</v>
      </c>
      <c r="C454" s="55">
        <f ca="1">IFERROR(__xludf.DUMMYFUNCTION("""COMPUTED_VALUE"""),18437)</f>
        <v>18437</v>
      </c>
      <c r="D454" s="55">
        <f ca="1">IFERROR(__xludf.DUMMYFUNCTION("""COMPUTED_VALUE"""),108)</f>
        <v>108</v>
      </c>
      <c r="E454" s="55">
        <f ca="1">IFERROR(__xludf.DUMMYFUNCTION("""COMPUTED_VALUE"""),68929)</f>
        <v>68929</v>
      </c>
    </row>
    <row r="455" spans="1:5" ht="13.2" x14ac:dyDescent="0.25">
      <c r="A455" s="131">
        <f ca="1">IFERROR(__xludf.DUMMYFUNCTION("""COMPUTED_VALUE"""),44344)</f>
        <v>44344</v>
      </c>
      <c r="B455" s="55">
        <f ca="1">IFERROR(__xludf.DUMMYFUNCTION("""COMPUTED_VALUE"""),11)</f>
        <v>11</v>
      </c>
      <c r="C455" s="55">
        <f ca="1">IFERROR(__xludf.DUMMYFUNCTION("""COMPUTED_VALUE"""),18448)</f>
        <v>18448</v>
      </c>
      <c r="D455" s="55">
        <f ca="1">IFERROR(__xludf.DUMMYFUNCTION("""COMPUTED_VALUE"""),123)</f>
        <v>123</v>
      </c>
      <c r="E455" s="55">
        <f ca="1">IFERROR(__xludf.DUMMYFUNCTION("""COMPUTED_VALUE"""),69052)</f>
        <v>69052</v>
      </c>
    </row>
    <row r="456" spans="1:5" ht="13.2" x14ac:dyDescent="0.25">
      <c r="A456" s="131">
        <f ca="1">IFERROR(__xludf.DUMMYFUNCTION("""COMPUTED_VALUE"""),44345)</f>
        <v>44345</v>
      </c>
      <c r="B456" s="55">
        <f ca="1">IFERROR(__xludf.DUMMYFUNCTION("""COMPUTED_VALUE"""),15)</f>
        <v>15</v>
      </c>
      <c r="C456" s="55">
        <f ca="1">IFERROR(__xludf.DUMMYFUNCTION("""COMPUTED_VALUE"""),18463)</f>
        <v>18463</v>
      </c>
      <c r="D456" s="55">
        <f ca="1">IFERROR(__xludf.DUMMYFUNCTION("""COMPUTED_VALUE"""),121)</f>
        <v>121</v>
      </c>
      <c r="E456" s="55">
        <f ca="1">IFERROR(__xludf.DUMMYFUNCTION("""COMPUTED_VALUE"""),69173)</f>
        <v>69173</v>
      </c>
    </row>
    <row r="457" spans="1:5" ht="13.2" x14ac:dyDescent="0.25">
      <c r="A457" s="131">
        <f ca="1">IFERROR(__xludf.DUMMYFUNCTION("""COMPUTED_VALUE"""),44346)</f>
        <v>44346</v>
      </c>
      <c r="B457" s="55">
        <f ca="1">IFERROR(__xludf.DUMMYFUNCTION("""COMPUTED_VALUE"""),32)</f>
        <v>32</v>
      </c>
      <c r="C457" s="55">
        <f ca="1">IFERROR(__xludf.DUMMYFUNCTION("""COMPUTED_VALUE"""),18495)</f>
        <v>18495</v>
      </c>
      <c r="D457" s="55">
        <f ca="1">IFERROR(__xludf.DUMMYFUNCTION("""COMPUTED_VALUE"""),123)</f>
        <v>123</v>
      </c>
      <c r="E457" s="55">
        <f ca="1">IFERROR(__xludf.DUMMYFUNCTION("""COMPUTED_VALUE"""),69296)</f>
        <v>69296</v>
      </c>
    </row>
    <row r="458" spans="1:5" ht="13.2" x14ac:dyDescent="0.25">
      <c r="A458" s="131">
        <f ca="1">IFERROR(__xludf.DUMMYFUNCTION("""COMPUTED_VALUE"""),44347)</f>
        <v>44347</v>
      </c>
      <c r="B458" s="55">
        <f ca="1">IFERROR(__xludf.DUMMYFUNCTION("""COMPUTED_VALUE"""),21)</f>
        <v>21</v>
      </c>
      <c r="C458" s="55">
        <f ca="1">IFERROR(__xludf.DUMMYFUNCTION("""COMPUTED_VALUE"""),18516)</f>
        <v>18516</v>
      </c>
      <c r="D458" s="55">
        <f ca="1">IFERROR(__xludf.DUMMYFUNCTION("""COMPUTED_VALUE"""),122)</f>
        <v>122</v>
      </c>
      <c r="E458" s="55">
        <f ca="1">IFERROR(__xludf.DUMMYFUNCTION("""COMPUTED_VALUE"""),69418)</f>
        <v>69418</v>
      </c>
    </row>
    <row r="459" spans="1:5" ht="13.2" x14ac:dyDescent="0.25">
      <c r="A459" s="131">
        <f ca="1">IFERROR(__xludf.DUMMYFUNCTION("""COMPUTED_VALUE"""),44348)</f>
        <v>44348</v>
      </c>
      <c r="B459" s="55">
        <f ca="1">IFERROR(__xludf.DUMMYFUNCTION("""COMPUTED_VALUE"""),16)</f>
        <v>16</v>
      </c>
      <c r="C459" s="55">
        <f ca="1">IFERROR(__xludf.DUMMYFUNCTION("""COMPUTED_VALUE"""),18532)</f>
        <v>18532</v>
      </c>
      <c r="D459" s="55">
        <f ca="1">IFERROR(__xludf.DUMMYFUNCTION("""COMPUTED_VALUE"""),111)</f>
        <v>111</v>
      </c>
      <c r="E459" s="55">
        <f ca="1">IFERROR(__xludf.DUMMYFUNCTION("""COMPUTED_VALUE"""),69529)</f>
        <v>69529</v>
      </c>
    </row>
    <row r="460" spans="1:5" ht="13.2" x14ac:dyDescent="0.25">
      <c r="A460" s="131">
        <f ca="1">IFERROR(__xludf.DUMMYFUNCTION("""COMPUTED_VALUE"""),44349)</f>
        <v>44349</v>
      </c>
      <c r="B460" s="55">
        <f ca="1">IFERROR(__xludf.DUMMYFUNCTION("""COMPUTED_VALUE"""),22)</f>
        <v>22</v>
      </c>
      <c r="C460" s="55">
        <f ca="1">IFERROR(__xludf.DUMMYFUNCTION("""COMPUTED_VALUE"""),18554)</f>
        <v>18554</v>
      </c>
      <c r="D460" s="55">
        <f ca="1">IFERROR(__xludf.DUMMYFUNCTION("""COMPUTED_VALUE"""),134)</f>
        <v>134</v>
      </c>
      <c r="E460" s="55">
        <f ca="1">IFERROR(__xludf.DUMMYFUNCTION("""COMPUTED_VALUE"""),69663)</f>
        <v>69663</v>
      </c>
    </row>
    <row r="461" spans="1:5" ht="13.2" x14ac:dyDescent="0.25">
      <c r="A461" s="131">
        <f ca="1">IFERROR(__xludf.DUMMYFUNCTION("""COMPUTED_VALUE"""),44350)</f>
        <v>44350</v>
      </c>
      <c r="B461" s="55">
        <f ca="1">IFERROR(__xludf.DUMMYFUNCTION("""COMPUTED_VALUE"""),18)</f>
        <v>18</v>
      </c>
      <c r="C461" s="55">
        <f ca="1">IFERROR(__xludf.DUMMYFUNCTION("""COMPUTED_VALUE"""),18572)</f>
        <v>18572</v>
      </c>
      <c r="D461" s="55">
        <f ca="1">IFERROR(__xludf.DUMMYFUNCTION("""COMPUTED_VALUE"""),126)</f>
        <v>126</v>
      </c>
      <c r="E461" s="55">
        <f ca="1">IFERROR(__xludf.DUMMYFUNCTION("""COMPUTED_VALUE"""),69789)</f>
        <v>69789</v>
      </c>
    </row>
    <row r="462" spans="1:5" ht="13.2" x14ac:dyDescent="0.25">
      <c r="A462" s="131">
        <f ca="1">IFERROR(__xludf.DUMMYFUNCTION("""COMPUTED_VALUE"""),44351)</f>
        <v>44351</v>
      </c>
      <c r="B462" s="55">
        <f ca="1">IFERROR(__xludf.DUMMYFUNCTION("""COMPUTED_VALUE"""),20)</f>
        <v>20</v>
      </c>
      <c r="C462" s="55">
        <f ca="1">IFERROR(__xludf.DUMMYFUNCTION("""COMPUTED_VALUE"""),18592)</f>
        <v>18592</v>
      </c>
      <c r="D462" s="55">
        <f ca="1">IFERROR(__xludf.DUMMYFUNCTION("""COMPUTED_VALUE"""),123)</f>
        <v>123</v>
      </c>
      <c r="E462" s="55">
        <f ca="1">IFERROR(__xludf.DUMMYFUNCTION("""COMPUTED_VALUE"""),69912)</f>
        <v>69912</v>
      </c>
    </row>
    <row r="463" spans="1:5" ht="13.2" x14ac:dyDescent="0.25">
      <c r="A463" s="131">
        <f ca="1">IFERROR(__xludf.DUMMYFUNCTION("""COMPUTED_VALUE"""),44352)</f>
        <v>44352</v>
      </c>
      <c r="B463" s="55">
        <f ca="1">IFERROR(__xludf.DUMMYFUNCTION("""COMPUTED_VALUE"""),22)</f>
        <v>22</v>
      </c>
      <c r="C463" s="55">
        <f ca="1">IFERROR(__xludf.DUMMYFUNCTION("""COMPUTED_VALUE"""),18614)</f>
        <v>18614</v>
      </c>
      <c r="D463" s="55">
        <f ca="1">IFERROR(__xludf.DUMMYFUNCTION("""COMPUTED_VALUE"""),126)</f>
        <v>126</v>
      </c>
      <c r="E463" s="55">
        <f ca="1">IFERROR(__xludf.DUMMYFUNCTION("""COMPUTED_VALUE"""),70038)</f>
        <v>70038</v>
      </c>
    </row>
    <row r="464" spans="1:5" ht="13.2" x14ac:dyDescent="0.25">
      <c r="A464" s="131">
        <f ca="1">IFERROR(__xludf.DUMMYFUNCTION("""COMPUTED_VALUE"""),44353)</f>
        <v>44353</v>
      </c>
      <c r="B464" s="55">
        <f ca="1">IFERROR(__xludf.DUMMYFUNCTION("""COMPUTED_VALUE"""),25)</f>
        <v>25</v>
      </c>
      <c r="C464" s="55">
        <f ca="1">IFERROR(__xludf.DUMMYFUNCTION("""COMPUTED_VALUE"""),18639)</f>
        <v>18639</v>
      </c>
      <c r="D464" s="55">
        <f ca="1">IFERROR(__xludf.DUMMYFUNCTION("""COMPUTED_VALUE"""),134)</f>
        <v>134</v>
      </c>
      <c r="E464" s="55">
        <f ca="1">IFERROR(__xludf.DUMMYFUNCTION("""COMPUTED_VALUE"""),70172)</f>
        <v>70172</v>
      </c>
    </row>
    <row r="465" spans="1:5" ht="13.2" x14ac:dyDescent="0.25">
      <c r="A465" s="131">
        <f ca="1">IFERROR(__xludf.DUMMYFUNCTION("""COMPUTED_VALUE"""),44354)</f>
        <v>44354</v>
      </c>
      <c r="B465" s="55">
        <f ca="1">IFERROR(__xludf.DUMMYFUNCTION("""COMPUTED_VALUE"""),21)</f>
        <v>21</v>
      </c>
      <c r="C465" s="55">
        <f ca="1">IFERROR(__xludf.DUMMYFUNCTION("""COMPUTED_VALUE"""),18660)</f>
        <v>18660</v>
      </c>
      <c r="D465" s="55">
        <f ca="1">IFERROR(__xludf.DUMMYFUNCTION("""COMPUTED_VALUE"""),138)</f>
        <v>138</v>
      </c>
      <c r="E465" s="55">
        <f ca="1">IFERROR(__xludf.DUMMYFUNCTION("""COMPUTED_VALUE"""),70310)</f>
        <v>70310</v>
      </c>
    </row>
    <row r="466" spans="1:5" ht="13.2" x14ac:dyDescent="0.25">
      <c r="A466" s="131">
        <f ca="1">IFERROR(__xludf.DUMMYFUNCTION("""COMPUTED_VALUE"""),44355)</f>
        <v>44355</v>
      </c>
      <c r="B466" s="55">
        <f ca="1">IFERROR(__xludf.DUMMYFUNCTION("""COMPUTED_VALUE"""),33)</f>
        <v>33</v>
      </c>
      <c r="C466" s="55">
        <f ca="1">IFERROR(__xludf.DUMMYFUNCTION("""COMPUTED_VALUE"""),18693)</f>
        <v>18693</v>
      </c>
      <c r="D466" s="55">
        <f ca="1">IFERROR(__xludf.DUMMYFUNCTION("""COMPUTED_VALUE"""),143)</f>
        <v>143</v>
      </c>
      <c r="E466" s="55">
        <f ca="1">IFERROR(__xludf.DUMMYFUNCTION("""COMPUTED_VALUE"""),70453)</f>
        <v>70453</v>
      </c>
    </row>
    <row r="467" spans="1:5" ht="13.2" x14ac:dyDescent="0.25">
      <c r="A467" s="131">
        <f ca="1">IFERROR(__xludf.DUMMYFUNCTION("""COMPUTED_VALUE"""),44356)</f>
        <v>44356</v>
      </c>
      <c r="B467" s="55">
        <f ca="1">IFERROR(__xludf.DUMMYFUNCTION("""COMPUTED_VALUE"""),38)</f>
        <v>38</v>
      </c>
      <c r="C467" s="55">
        <f ca="1">IFERROR(__xludf.DUMMYFUNCTION("""COMPUTED_VALUE"""),18731)</f>
        <v>18731</v>
      </c>
      <c r="D467" s="55">
        <f ca="1">IFERROR(__xludf.DUMMYFUNCTION("""COMPUTED_VALUE"""),132)</f>
        <v>132</v>
      </c>
      <c r="E467" s="55">
        <f ca="1">IFERROR(__xludf.DUMMYFUNCTION("""COMPUTED_VALUE"""),70585)</f>
        <v>70585</v>
      </c>
    </row>
    <row r="468" spans="1:5" ht="13.2" x14ac:dyDescent="0.25">
      <c r="A468" s="131">
        <f ca="1">IFERROR(__xludf.DUMMYFUNCTION("""COMPUTED_VALUE"""),44357)</f>
        <v>44357</v>
      </c>
      <c r="B468" s="55">
        <f ca="1">IFERROR(__xludf.DUMMYFUNCTION("""COMPUTED_VALUE"""),38)</f>
        <v>38</v>
      </c>
      <c r="C468" s="55">
        <f ca="1">IFERROR(__xludf.DUMMYFUNCTION("""COMPUTED_VALUE"""),18769)</f>
        <v>18769</v>
      </c>
      <c r="D468" s="55">
        <f ca="1">IFERROR(__xludf.DUMMYFUNCTION("""COMPUTED_VALUE"""),123)</f>
        <v>123</v>
      </c>
      <c r="E468" s="55">
        <f ca="1">IFERROR(__xludf.DUMMYFUNCTION("""COMPUTED_VALUE"""),70708)</f>
        <v>70708</v>
      </c>
    </row>
    <row r="469" spans="1:5" ht="13.2" x14ac:dyDescent="0.25">
      <c r="A469" s="131">
        <f ca="1">IFERROR(__xludf.DUMMYFUNCTION("""COMPUTED_VALUE"""),44358)</f>
        <v>44358</v>
      </c>
      <c r="B469" s="55">
        <f ca="1">IFERROR(__xludf.DUMMYFUNCTION("""COMPUTED_VALUE"""),47)</f>
        <v>47</v>
      </c>
      <c r="C469" s="55">
        <f ca="1">IFERROR(__xludf.DUMMYFUNCTION("""COMPUTED_VALUE"""),18816)</f>
        <v>18816</v>
      </c>
      <c r="D469" s="55">
        <f ca="1">IFERROR(__xludf.DUMMYFUNCTION("""COMPUTED_VALUE"""),141)</f>
        <v>141</v>
      </c>
      <c r="E469" s="55">
        <f ca="1">IFERROR(__xludf.DUMMYFUNCTION("""COMPUTED_VALUE"""),70849)</f>
        <v>70849</v>
      </c>
    </row>
    <row r="470" spans="1:5" ht="13.2" x14ac:dyDescent="0.25">
      <c r="A470" s="131">
        <f ca="1">IFERROR(__xludf.DUMMYFUNCTION("""COMPUTED_VALUE"""),44359)</f>
        <v>44359</v>
      </c>
      <c r="B470" s="55">
        <f ca="1">IFERROR(__xludf.DUMMYFUNCTION("""COMPUTED_VALUE"""),51)</f>
        <v>51</v>
      </c>
      <c r="C470" s="55">
        <f ca="1">IFERROR(__xludf.DUMMYFUNCTION("""COMPUTED_VALUE"""),18867)</f>
        <v>18867</v>
      </c>
      <c r="D470" s="55">
        <f ca="1">IFERROR(__xludf.DUMMYFUNCTION("""COMPUTED_VALUE"""),127)</f>
        <v>127</v>
      </c>
      <c r="E470" s="55">
        <f ca="1">IFERROR(__xludf.DUMMYFUNCTION("""COMPUTED_VALUE"""),70976)</f>
        <v>70976</v>
      </c>
    </row>
    <row r="471" spans="1:5" ht="13.2" x14ac:dyDescent="0.25">
      <c r="A471" s="131">
        <f ca="1">IFERROR(__xludf.DUMMYFUNCTION("""COMPUTED_VALUE"""),44360)</f>
        <v>44360</v>
      </c>
      <c r="B471" s="55">
        <f ca="1">IFERROR(__xludf.DUMMYFUNCTION("""COMPUTED_VALUE"""),64)</f>
        <v>64</v>
      </c>
      <c r="C471" s="55">
        <f ca="1">IFERROR(__xludf.DUMMYFUNCTION("""COMPUTED_VALUE"""),18931)</f>
        <v>18931</v>
      </c>
      <c r="D471" s="55">
        <f ca="1">IFERROR(__xludf.DUMMYFUNCTION("""COMPUTED_VALUE"""),102)</f>
        <v>102</v>
      </c>
      <c r="E471" s="55">
        <f ca="1">IFERROR(__xludf.DUMMYFUNCTION("""COMPUTED_VALUE"""),71078)</f>
        <v>71078</v>
      </c>
    </row>
    <row r="472" spans="1:5" ht="13.2" x14ac:dyDescent="0.25">
      <c r="A472" s="131">
        <f ca="1">IFERROR(__xludf.DUMMYFUNCTION("""COMPUTED_VALUE"""),44361)</f>
        <v>44361</v>
      </c>
      <c r="B472" s="55">
        <f ca="1">IFERROR(__xludf.DUMMYFUNCTION("""COMPUTED_VALUE"""),54)</f>
        <v>54</v>
      </c>
      <c r="C472" s="55">
        <f ca="1">IFERROR(__xludf.DUMMYFUNCTION("""COMPUTED_VALUE"""),18985)</f>
        <v>18985</v>
      </c>
      <c r="D472" s="55">
        <f ca="1">IFERROR(__xludf.DUMMYFUNCTION("""COMPUTED_VALUE"""),150)</f>
        <v>150</v>
      </c>
      <c r="E472" s="55">
        <f ca="1">IFERROR(__xludf.DUMMYFUNCTION("""COMPUTED_VALUE"""),71228)</f>
        <v>71228</v>
      </c>
    </row>
    <row r="473" spans="1:5" ht="13.2" x14ac:dyDescent="0.25">
      <c r="A473" s="131">
        <f ca="1">IFERROR(__xludf.DUMMYFUNCTION("""COMPUTED_VALUE"""),44362)</f>
        <v>44362</v>
      </c>
      <c r="B473" s="55">
        <f ca="1">IFERROR(__xludf.DUMMYFUNCTION("""COMPUTED_VALUE"""),88)</f>
        <v>88</v>
      </c>
      <c r="C473" s="55">
        <f ca="1">IFERROR(__xludf.DUMMYFUNCTION("""COMPUTED_VALUE"""),19073)</f>
        <v>19073</v>
      </c>
      <c r="D473" s="55">
        <f ca="1">IFERROR(__xludf.DUMMYFUNCTION("""COMPUTED_VALUE"""),151)</f>
        <v>151</v>
      </c>
      <c r="E473" s="55">
        <f ca="1">IFERROR(__xludf.DUMMYFUNCTION("""COMPUTED_VALUE"""),71379)</f>
        <v>71379</v>
      </c>
    </row>
    <row r="474" spans="1:5" ht="13.2" x14ac:dyDescent="0.25">
      <c r="A474" s="131">
        <f ca="1">IFERROR(__xludf.DUMMYFUNCTION("""COMPUTED_VALUE"""),44363)</f>
        <v>44363</v>
      </c>
      <c r="B474" s="55">
        <f ca="1">IFERROR(__xludf.DUMMYFUNCTION("""COMPUTED_VALUE"""),83)</f>
        <v>83</v>
      </c>
      <c r="C474" s="55">
        <f ca="1">IFERROR(__xludf.DUMMYFUNCTION("""COMPUTED_VALUE"""),19156)</f>
        <v>19156</v>
      </c>
      <c r="D474" s="55">
        <f ca="1">IFERROR(__xludf.DUMMYFUNCTION("""COMPUTED_VALUE"""),163)</f>
        <v>163</v>
      </c>
      <c r="E474" s="55">
        <f ca="1">IFERROR(__xludf.DUMMYFUNCTION("""COMPUTED_VALUE"""),71542)</f>
        <v>71542</v>
      </c>
    </row>
    <row r="475" spans="1:5" ht="13.2" x14ac:dyDescent="0.25">
      <c r="A475" s="131">
        <f ca="1">IFERROR(__xludf.DUMMYFUNCTION("""COMPUTED_VALUE"""),44364)</f>
        <v>44364</v>
      </c>
      <c r="B475" s="55">
        <f ca="1">IFERROR(__xludf.DUMMYFUNCTION("""COMPUTED_VALUE"""),119)</f>
        <v>119</v>
      </c>
      <c r="C475" s="55">
        <f ca="1">IFERROR(__xludf.DUMMYFUNCTION("""COMPUTED_VALUE"""),19275)</f>
        <v>19275</v>
      </c>
      <c r="D475" s="55">
        <f ca="1">IFERROR(__xludf.DUMMYFUNCTION("""COMPUTED_VALUE"""),139)</f>
        <v>139</v>
      </c>
      <c r="E475" s="55">
        <f ca="1">IFERROR(__xludf.DUMMYFUNCTION("""COMPUTED_VALUE"""),71681)</f>
        <v>71681</v>
      </c>
    </row>
    <row r="476" spans="1:5" ht="13.2" x14ac:dyDescent="0.25">
      <c r="A476" s="131">
        <f ca="1">IFERROR(__xludf.DUMMYFUNCTION("""COMPUTED_VALUE"""),44365)</f>
        <v>44365</v>
      </c>
      <c r="B476" s="55">
        <f ca="1">IFERROR(__xludf.DUMMYFUNCTION("""COMPUTED_VALUE"""),112)</f>
        <v>112</v>
      </c>
      <c r="C476" s="55">
        <f ca="1">IFERROR(__xludf.DUMMYFUNCTION("""COMPUTED_VALUE"""),19387)</f>
        <v>19387</v>
      </c>
      <c r="D476" s="55">
        <f ca="1">IFERROR(__xludf.DUMMYFUNCTION("""COMPUTED_VALUE"""),157)</f>
        <v>157</v>
      </c>
      <c r="E476" s="55">
        <f ca="1">IFERROR(__xludf.DUMMYFUNCTION("""COMPUTED_VALUE"""),71838)</f>
        <v>71838</v>
      </c>
    </row>
    <row r="477" spans="1:5" ht="13.2" x14ac:dyDescent="0.25">
      <c r="A477" s="131">
        <f ca="1">IFERROR(__xludf.DUMMYFUNCTION("""COMPUTED_VALUE"""),44366)</f>
        <v>44366</v>
      </c>
      <c r="B477" s="55">
        <f ca="1">IFERROR(__xludf.DUMMYFUNCTION("""COMPUTED_VALUE"""),127)</f>
        <v>127</v>
      </c>
      <c r="C477" s="55">
        <f ca="1">IFERROR(__xludf.DUMMYFUNCTION("""COMPUTED_VALUE"""),19514)</f>
        <v>19514</v>
      </c>
      <c r="D477" s="55">
        <f ca="1">IFERROR(__xludf.DUMMYFUNCTION("""COMPUTED_VALUE"""),128)</f>
        <v>128</v>
      </c>
      <c r="E477" s="55">
        <f ca="1">IFERROR(__xludf.DUMMYFUNCTION("""COMPUTED_VALUE"""),71966)</f>
        <v>71966</v>
      </c>
    </row>
    <row r="478" spans="1:5" ht="13.2" x14ac:dyDescent="0.25">
      <c r="A478" s="131">
        <f ca="1">IFERROR(__xludf.DUMMYFUNCTION("""COMPUTED_VALUE"""),44367)</f>
        <v>44367</v>
      </c>
      <c r="B478" s="55">
        <f ca="1">IFERROR(__xludf.DUMMYFUNCTION("""COMPUTED_VALUE"""),155)</f>
        <v>155</v>
      </c>
      <c r="C478" s="55">
        <f ca="1">IFERROR(__xludf.DUMMYFUNCTION("""COMPUTED_VALUE"""),19669)</f>
        <v>19669</v>
      </c>
      <c r="D478" s="55">
        <f ca="1">IFERROR(__xludf.DUMMYFUNCTION("""COMPUTED_VALUE"""),157)</f>
        <v>157</v>
      </c>
      <c r="E478" s="55">
        <f ca="1">IFERROR(__xludf.DUMMYFUNCTION("""COMPUTED_VALUE"""),72123)</f>
        <v>72123</v>
      </c>
    </row>
    <row r="479" spans="1:5" ht="13.2" x14ac:dyDescent="0.25">
      <c r="A479" s="131">
        <f ca="1">IFERROR(__xludf.DUMMYFUNCTION("""COMPUTED_VALUE"""),44368)</f>
        <v>44368</v>
      </c>
      <c r="B479" s="55">
        <f ca="1">IFERROR(__xludf.DUMMYFUNCTION("""COMPUTED_VALUE"""),102)</f>
        <v>102</v>
      </c>
      <c r="C479" s="55">
        <f ca="1">IFERROR(__xludf.DUMMYFUNCTION("""COMPUTED_VALUE"""),19771)</f>
        <v>19771</v>
      </c>
      <c r="D479" s="55">
        <f ca="1">IFERROR(__xludf.DUMMYFUNCTION("""COMPUTED_VALUE"""),141)</f>
        <v>141</v>
      </c>
      <c r="E479" s="55">
        <f ca="1">IFERROR(__xludf.DUMMYFUNCTION("""COMPUTED_VALUE"""),72264)</f>
        <v>72264</v>
      </c>
    </row>
    <row r="480" spans="1:5" ht="13.2" x14ac:dyDescent="0.25">
      <c r="A480" s="131">
        <f ca="1">IFERROR(__xludf.DUMMYFUNCTION("""COMPUTED_VALUE"""),44369)</f>
        <v>44369</v>
      </c>
      <c r="B480" s="55">
        <f ca="1">IFERROR(__xludf.DUMMYFUNCTION("""COMPUTED_VALUE"""),146)</f>
        <v>146</v>
      </c>
      <c r="C480" s="55">
        <f ca="1">IFERROR(__xludf.DUMMYFUNCTION("""COMPUTED_VALUE"""),19917)</f>
        <v>19917</v>
      </c>
      <c r="D480" s="55">
        <f ca="1">IFERROR(__xludf.DUMMYFUNCTION("""COMPUTED_VALUE"""),192)</f>
        <v>192</v>
      </c>
      <c r="E480" s="55">
        <f ca="1">IFERROR(__xludf.DUMMYFUNCTION("""COMPUTED_VALUE"""),72456)</f>
        <v>72456</v>
      </c>
    </row>
    <row r="481" spans="1:5" ht="13.2" x14ac:dyDescent="0.25">
      <c r="A481" s="131">
        <f ca="1">IFERROR(__xludf.DUMMYFUNCTION("""COMPUTED_VALUE"""),44370)</f>
        <v>44370</v>
      </c>
      <c r="B481" s="55">
        <f ca="1">IFERROR(__xludf.DUMMYFUNCTION("""COMPUTED_VALUE"""),178)</f>
        <v>178</v>
      </c>
      <c r="C481" s="55">
        <f ca="1">IFERROR(__xludf.DUMMYFUNCTION("""COMPUTED_VALUE"""),20095)</f>
        <v>20095</v>
      </c>
      <c r="D481" s="55">
        <f ca="1">IFERROR(__xludf.DUMMYFUNCTION("""COMPUTED_VALUE"""),160)</f>
        <v>160</v>
      </c>
      <c r="E481" s="55">
        <f ca="1">IFERROR(__xludf.DUMMYFUNCTION("""COMPUTED_VALUE"""),72616)</f>
        <v>72616</v>
      </c>
    </row>
    <row r="482" spans="1:5" ht="13.2" x14ac:dyDescent="0.25">
      <c r="A482" s="131">
        <f ca="1">IFERROR(__xludf.DUMMYFUNCTION("""COMPUTED_VALUE"""),44371)</f>
        <v>44371</v>
      </c>
      <c r="B482" s="55">
        <f ca="1">IFERROR(__xludf.DUMMYFUNCTION("""COMPUTED_VALUE"""),186)</f>
        <v>186</v>
      </c>
      <c r="C482" s="55">
        <f ca="1">IFERROR(__xludf.DUMMYFUNCTION("""COMPUTED_VALUE"""),20281)</f>
        <v>20281</v>
      </c>
      <c r="D482" s="55">
        <f ca="1">IFERROR(__xludf.DUMMYFUNCTION("""COMPUTED_VALUE"""),212)</f>
        <v>212</v>
      </c>
      <c r="E482" s="55">
        <f ca="1">IFERROR(__xludf.DUMMYFUNCTION("""COMPUTED_VALUE"""),72828)</f>
        <v>72828</v>
      </c>
    </row>
    <row r="483" spans="1:5" ht="13.2" x14ac:dyDescent="0.25">
      <c r="A483" s="131">
        <f ca="1">IFERROR(__xludf.DUMMYFUNCTION("""COMPUTED_VALUE"""),44372)</f>
        <v>44372</v>
      </c>
      <c r="B483" s="55">
        <f ca="1">IFERROR(__xludf.DUMMYFUNCTION("""COMPUTED_VALUE"""),188)</f>
        <v>188</v>
      </c>
      <c r="C483" s="55">
        <f ca="1">IFERROR(__xludf.DUMMYFUNCTION("""COMPUTED_VALUE"""),20469)</f>
        <v>20469</v>
      </c>
      <c r="D483" s="55">
        <f ca="1">IFERROR(__xludf.DUMMYFUNCTION("""COMPUTED_VALUE"""),219)</f>
        <v>219</v>
      </c>
      <c r="E483" s="55">
        <f ca="1">IFERROR(__xludf.DUMMYFUNCTION("""COMPUTED_VALUE"""),73047)</f>
        <v>73047</v>
      </c>
    </row>
    <row r="484" spans="1:5" ht="13.2" x14ac:dyDescent="0.25">
      <c r="A484" s="131">
        <f ca="1">IFERROR(__xludf.DUMMYFUNCTION("""COMPUTED_VALUE"""),44373)</f>
        <v>44373</v>
      </c>
      <c r="B484" s="55">
        <f ca="1">IFERROR(__xludf.DUMMYFUNCTION("""COMPUTED_VALUE"""),227)</f>
        <v>227</v>
      </c>
      <c r="C484" s="55">
        <f ca="1">IFERROR(__xludf.DUMMYFUNCTION("""COMPUTED_VALUE"""),20696)</f>
        <v>20696</v>
      </c>
      <c r="D484" s="55">
        <f ca="1">IFERROR(__xludf.DUMMYFUNCTION("""COMPUTED_VALUE"""),274)</f>
        <v>274</v>
      </c>
      <c r="E484" s="55">
        <f ca="1">IFERROR(__xludf.DUMMYFUNCTION("""COMPUTED_VALUE"""),73321)</f>
        <v>73321</v>
      </c>
    </row>
    <row r="485" spans="1:5" ht="13.2" x14ac:dyDescent="0.25">
      <c r="A485" s="131">
        <f ca="1">IFERROR(__xludf.DUMMYFUNCTION("""COMPUTED_VALUE"""),44374)</f>
        <v>44374</v>
      </c>
      <c r="B485" s="55">
        <f ca="1">IFERROR(__xludf.DUMMYFUNCTION("""COMPUTED_VALUE"""),209)</f>
        <v>209</v>
      </c>
      <c r="C485" s="55">
        <f ca="1">IFERROR(__xludf.DUMMYFUNCTION("""COMPUTED_VALUE"""),20905)</f>
        <v>20905</v>
      </c>
      <c r="D485" s="55">
        <f ca="1">IFERROR(__xludf.DUMMYFUNCTION("""COMPUTED_VALUE"""),251)</f>
        <v>251</v>
      </c>
      <c r="E485" s="55">
        <f ca="1">IFERROR(__xludf.DUMMYFUNCTION("""COMPUTED_VALUE"""),73572)</f>
        <v>73572</v>
      </c>
    </row>
    <row r="486" spans="1:5" ht="13.2" x14ac:dyDescent="0.25">
      <c r="A486" s="131">
        <f ca="1">IFERROR(__xludf.DUMMYFUNCTION("""COMPUTED_VALUE"""),44375)</f>
        <v>44375</v>
      </c>
      <c r="B486" s="55">
        <f ca="1">IFERROR(__xludf.DUMMYFUNCTION("""COMPUTED_VALUE"""),129)</f>
        <v>129</v>
      </c>
      <c r="C486" s="55">
        <f ca="1">IFERROR(__xludf.DUMMYFUNCTION("""COMPUTED_VALUE"""),21034)</f>
        <v>21034</v>
      </c>
      <c r="D486" s="55">
        <f ca="1">IFERROR(__xludf.DUMMYFUNCTION("""COMPUTED_VALUE"""),116)</f>
        <v>116</v>
      </c>
      <c r="E486" s="55">
        <f ca="1">IFERROR(__xludf.DUMMYFUNCTION("""COMPUTED_VALUE"""),73688)</f>
        <v>73688</v>
      </c>
    </row>
    <row r="487" spans="1:5" ht="13.2" x14ac:dyDescent="0.25">
      <c r="A487" s="55"/>
      <c r="B487" s="55"/>
      <c r="C487" s="55"/>
      <c r="D487" s="55"/>
      <c r="E487" s="55"/>
    </row>
    <row r="488" spans="1:5" ht="13.2" x14ac:dyDescent="0.25">
      <c r="A488" s="55"/>
      <c r="B488" s="55"/>
      <c r="C488" s="55"/>
      <c r="D488" s="55"/>
      <c r="E488" s="55"/>
    </row>
    <row r="489" spans="1:5" ht="13.2" x14ac:dyDescent="0.25">
      <c r="A489" s="55"/>
      <c r="B489" s="55"/>
      <c r="C489" s="55"/>
      <c r="D489" s="55"/>
      <c r="E489" s="55"/>
    </row>
    <row r="490" spans="1:5" ht="13.2" x14ac:dyDescent="0.25">
      <c r="A490" s="55"/>
      <c r="B490" s="55"/>
      <c r="C490" s="55"/>
      <c r="D490" s="55"/>
      <c r="E490" s="55"/>
    </row>
    <row r="491" spans="1:5" ht="13.2" x14ac:dyDescent="0.25">
      <c r="A491" s="55"/>
      <c r="B491" s="55"/>
      <c r="C491" s="55"/>
      <c r="D491" s="55"/>
      <c r="E491" s="55"/>
    </row>
    <row r="492" spans="1:5" ht="13.2" x14ac:dyDescent="0.25">
      <c r="A492" s="55"/>
      <c r="B492" s="55"/>
      <c r="C492" s="55"/>
      <c r="D492" s="55"/>
      <c r="E492" s="55"/>
    </row>
    <row r="493" spans="1:5" ht="13.2" x14ac:dyDescent="0.25">
      <c r="A493" s="55"/>
      <c r="B493" s="55"/>
      <c r="C493" s="55"/>
      <c r="D493" s="55"/>
      <c r="E493" s="55"/>
    </row>
    <row r="494" spans="1:5" ht="13.2" x14ac:dyDescent="0.25">
      <c r="A494" s="55"/>
      <c r="B494" s="55"/>
      <c r="C494" s="55"/>
      <c r="D494" s="55"/>
      <c r="E494" s="55"/>
    </row>
    <row r="495" spans="1:5" ht="13.2" x14ac:dyDescent="0.25">
      <c r="A495" s="55"/>
      <c r="B495" s="55"/>
      <c r="C495" s="55"/>
      <c r="D495" s="55"/>
      <c r="E495" s="55"/>
    </row>
    <row r="496" spans="1:5" ht="13.2" x14ac:dyDescent="0.25">
      <c r="A496" s="55"/>
      <c r="B496" s="55"/>
      <c r="C496" s="55"/>
      <c r="D496" s="55"/>
      <c r="E496" s="55"/>
    </row>
    <row r="497" spans="1:5" ht="13.2" x14ac:dyDescent="0.25">
      <c r="A497" s="55"/>
      <c r="B497" s="55"/>
      <c r="C497" s="55"/>
      <c r="D497" s="55"/>
      <c r="E497" s="55"/>
    </row>
    <row r="498" spans="1:5" ht="13.2" x14ac:dyDescent="0.25">
      <c r="A498" s="55"/>
      <c r="B498" s="55"/>
      <c r="C498" s="55"/>
      <c r="D498" s="55"/>
      <c r="E498" s="55"/>
    </row>
    <row r="499" spans="1:5" ht="13.2" x14ac:dyDescent="0.25">
      <c r="A499" s="55"/>
      <c r="B499" s="55"/>
      <c r="C499" s="55"/>
      <c r="D499" s="55"/>
      <c r="E499" s="55"/>
    </row>
    <row r="500" spans="1:5" ht="13.2" x14ac:dyDescent="0.25">
      <c r="A500" s="55"/>
      <c r="B500" s="55"/>
      <c r="C500" s="55"/>
      <c r="D500" s="55"/>
      <c r="E500" s="55"/>
    </row>
    <row r="501" spans="1:5" ht="13.2" x14ac:dyDescent="0.25">
      <c r="A501" s="55"/>
      <c r="B501" s="55"/>
      <c r="C501" s="55"/>
      <c r="D501" s="55"/>
      <c r="E501" s="55"/>
    </row>
    <row r="502" spans="1:5" ht="13.2" x14ac:dyDescent="0.25">
      <c r="A502" s="55"/>
      <c r="B502" s="55"/>
      <c r="C502" s="55"/>
      <c r="D502" s="55"/>
      <c r="E502" s="55"/>
    </row>
    <row r="503" spans="1:5" ht="13.2" x14ac:dyDescent="0.25">
      <c r="A503" s="55"/>
      <c r="B503" s="55"/>
      <c r="C503" s="55"/>
      <c r="D503" s="55"/>
      <c r="E503" s="55"/>
    </row>
    <row r="504" spans="1:5" ht="13.2" x14ac:dyDescent="0.25">
      <c r="A504" s="55"/>
      <c r="B504" s="55"/>
      <c r="C504" s="55"/>
      <c r="D504" s="55"/>
      <c r="E504" s="55"/>
    </row>
    <row r="505" spans="1:5" ht="13.2" x14ac:dyDescent="0.25">
      <c r="A505" s="55"/>
      <c r="B505" s="55"/>
      <c r="C505" s="55"/>
      <c r="D505" s="55"/>
      <c r="E505" s="55"/>
    </row>
    <row r="506" spans="1:5" ht="13.2" x14ac:dyDescent="0.25">
      <c r="A506" s="55"/>
      <c r="B506" s="55"/>
      <c r="C506" s="55"/>
      <c r="D506" s="55"/>
      <c r="E506" s="55"/>
    </row>
    <row r="507" spans="1:5" ht="13.2" x14ac:dyDescent="0.25">
      <c r="A507" s="55"/>
      <c r="B507" s="55"/>
      <c r="C507" s="55"/>
      <c r="D507" s="55"/>
      <c r="E507" s="55"/>
    </row>
    <row r="508" spans="1:5" ht="13.2" x14ac:dyDescent="0.25">
      <c r="A508" s="55"/>
      <c r="B508" s="55"/>
      <c r="C508" s="55"/>
      <c r="D508" s="55"/>
      <c r="E508" s="55"/>
    </row>
    <row r="509" spans="1:5" ht="13.2" x14ac:dyDescent="0.25">
      <c r="A509" s="55"/>
      <c r="B509" s="55"/>
      <c r="C509" s="55"/>
      <c r="D509" s="55"/>
      <c r="E509" s="55"/>
    </row>
    <row r="510" spans="1:5" ht="13.2" x14ac:dyDescent="0.25">
      <c r="A510" s="55"/>
      <c r="B510" s="55"/>
      <c r="C510" s="55"/>
      <c r="D510" s="55"/>
      <c r="E510" s="55"/>
    </row>
    <row r="511" spans="1:5" ht="13.2" x14ac:dyDescent="0.25">
      <c r="A511" s="55"/>
      <c r="B511" s="55"/>
      <c r="C511" s="55"/>
      <c r="D511" s="55"/>
      <c r="E511" s="55"/>
    </row>
    <row r="512" spans="1:5" ht="13.2" x14ac:dyDescent="0.25">
      <c r="A512" s="55"/>
      <c r="B512" s="55"/>
      <c r="C512" s="55"/>
      <c r="D512" s="55"/>
      <c r="E512" s="55"/>
    </row>
    <row r="513" spans="1:5" ht="13.2" x14ac:dyDescent="0.25">
      <c r="A513" s="55"/>
      <c r="B513" s="55"/>
      <c r="C513" s="55"/>
      <c r="D513" s="55"/>
      <c r="E513" s="55"/>
    </row>
    <row r="514" spans="1:5" ht="13.2" x14ac:dyDescent="0.25">
      <c r="A514" s="55"/>
      <c r="B514" s="55"/>
      <c r="C514" s="55"/>
      <c r="D514" s="55"/>
      <c r="E514" s="55"/>
    </row>
    <row r="515" spans="1:5" ht="13.2" x14ac:dyDescent="0.25">
      <c r="A515" s="55"/>
      <c r="B515" s="55"/>
      <c r="C515" s="55"/>
      <c r="D515" s="55"/>
      <c r="E515" s="55"/>
    </row>
    <row r="516" spans="1:5" ht="13.2" x14ac:dyDescent="0.25">
      <c r="A516" s="55"/>
      <c r="B516" s="55"/>
      <c r="C516" s="55"/>
      <c r="D516" s="55"/>
      <c r="E516" s="55"/>
    </row>
    <row r="517" spans="1:5" ht="13.2" x14ac:dyDescent="0.25">
      <c r="A517" s="55"/>
      <c r="B517" s="55"/>
      <c r="C517" s="55"/>
      <c r="D517" s="55"/>
      <c r="E517" s="55"/>
    </row>
    <row r="518" spans="1:5" ht="13.2" x14ac:dyDescent="0.25">
      <c r="A518" s="55"/>
      <c r="B518" s="55"/>
      <c r="C518" s="55"/>
      <c r="D518" s="55"/>
      <c r="E518" s="55"/>
    </row>
    <row r="519" spans="1:5" ht="13.2" x14ac:dyDescent="0.25">
      <c r="A519" s="55"/>
      <c r="B519" s="55"/>
      <c r="C519" s="55"/>
      <c r="D519" s="55"/>
      <c r="E519" s="55"/>
    </row>
    <row r="520" spans="1:5" ht="13.2" x14ac:dyDescent="0.25">
      <c r="A520" s="55"/>
      <c r="B520" s="55"/>
      <c r="C520" s="55"/>
      <c r="D520" s="55"/>
      <c r="E520" s="55"/>
    </row>
    <row r="521" spans="1:5" ht="13.2" x14ac:dyDescent="0.25">
      <c r="A521" s="55"/>
      <c r="B521" s="55"/>
      <c r="C521" s="55"/>
      <c r="D521" s="55"/>
      <c r="E521" s="55"/>
    </row>
    <row r="522" spans="1:5" ht="13.2" x14ac:dyDescent="0.25">
      <c r="A522" s="55"/>
      <c r="B522" s="55"/>
      <c r="C522" s="55"/>
      <c r="D522" s="55"/>
      <c r="E522" s="55"/>
    </row>
    <row r="523" spans="1:5" ht="13.2" x14ac:dyDescent="0.25">
      <c r="A523" s="55"/>
      <c r="B523" s="55"/>
      <c r="C523" s="55"/>
      <c r="D523" s="55"/>
      <c r="E523" s="55"/>
    </row>
    <row r="524" spans="1:5" ht="13.2" x14ac:dyDescent="0.25">
      <c r="A524" s="55"/>
      <c r="B524" s="55"/>
      <c r="C524" s="55"/>
      <c r="D524" s="55"/>
      <c r="E524" s="55"/>
    </row>
    <row r="525" spans="1:5" ht="13.2" x14ac:dyDescent="0.25">
      <c r="A525" s="55"/>
      <c r="B525" s="55"/>
      <c r="C525" s="55"/>
      <c r="D525" s="55"/>
      <c r="E525" s="55"/>
    </row>
    <row r="526" spans="1:5" ht="13.2" x14ac:dyDescent="0.25">
      <c r="A526" s="55"/>
      <c r="B526" s="55"/>
      <c r="C526" s="55"/>
      <c r="D526" s="55"/>
      <c r="E526" s="55"/>
    </row>
    <row r="527" spans="1:5" ht="13.2" x14ac:dyDescent="0.25">
      <c r="A527" s="55"/>
      <c r="B527" s="55"/>
      <c r="C527" s="55"/>
      <c r="D527" s="55"/>
      <c r="E527" s="55"/>
    </row>
    <row r="528" spans="1:5" ht="13.2" x14ac:dyDescent="0.25">
      <c r="A528" s="55"/>
      <c r="B528" s="55"/>
      <c r="C528" s="55"/>
      <c r="D528" s="55"/>
      <c r="E528" s="55"/>
    </row>
    <row r="529" spans="1:5" ht="13.2" x14ac:dyDescent="0.25">
      <c r="A529" s="55"/>
      <c r="B529" s="55"/>
      <c r="C529" s="55"/>
      <c r="D529" s="55"/>
      <c r="E529" s="55"/>
    </row>
    <row r="530" spans="1:5" ht="13.2" x14ac:dyDescent="0.25">
      <c r="A530" s="55"/>
      <c r="B530" s="55"/>
      <c r="C530" s="55"/>
      <c r="D530" s="55"/>
      <c r="E530" s="55"/>
    </row>
    <row r="531" spans="1:5" ht="13.2" x14ac:dyDescent="0.25">
      <c r="A531" s="55"/>
      <c r="B531" s="55"/>
      <c r="C531" s="55"/>
      <c r="D531" s="55"/>
      <c r="E531" s="55"/>
    </row>
    <row r="532" spans="1:5" ht="13.2" x14ac:dyDescent="0.25">
      <c r="A532" s="55"/>
      <c r="B532" s="55"/>
      <c r="C532" s="55"/>
      <c r="D532" s="55"/>
      <c r="E532" s="55"/>
    </row>
    <row r="533" spans="1:5" ht="13.2" x14ac:dyDescent="0.25">
      <c r="A533" s="55"/>
      <c r="B533" s="55"/>
      <c r="C533" s="55"/>
      <c r="D533" s="55"/>
      <c r="E533" s="55"/>
    </row>
    <row r="534" spans="1:5" ht="13.2" x14ac:dyDescent="0.25">
      <c r="A534" s="55"/>
      <c r="B534" s="55"/>
      <c r="C534" s="55"/>
      <c r="D534" s="55"/>
      <c r="E534" s="55"/>
    </row>
    <row r="535" spans="1:5" ht="13.2" x14ac:dyDescent="0.25">
      <c r="A535" s="55"/>
      <c r="B535" s="55"/>
      <c r="C535" s="55"/>
      <c r="D535" s="55"/>
      <c r="E535" s="55"/>
    </row>
    <row r="536" spans="1:5" ht="13.2" x14ac:dyDescent="0.25">
      <c r="A536" s="55"/>
      <c r="B536" s="55"/>
      <c r="C536" s="55"/>
      <c r="D536" s="55"/>
      <c r="E536" s="55"/>
    </row>
    <row r="537" spans="1:5" ht="13.2" x14ac:dyDescent="0.25">
      <c r="A537" s="55"/>
      <c r="B537" s="55"/>
      <c r="C537" s="55"/>
      <c r="D537" s="55"/>
      <c r="E537" s="55"/>
    </row>
    <row r="538" spans="1:5" ht="13.2" x14ac:dyDescent="0.25">
      <c r="A538" s="55"/>
      <c r="B538" s="55"/>
      <c r="C538" s="55"/>
      <c r="D538" s="55"/>
      <c r="E538" s="55"/>
    </row>
    <row r="539" spans="1:5" ht="13.2" x14ac:dyDescent="0.25">
      <c r="A539" s="55"/>
      <c r="B539" s="55"/>
      <c r="C539" s="55"/>
      <c r="D539" s="55"/>
      <c r="E539" s="55"/>
    </row>
    <row r="540" spans="1:5" ht="13.2" x14ac:dyDescent="0.25">
      <c r="A540" s="55"/>
      <c r="B540" s="55"/>
      <c r="C540" s="55"/>
      <c r="D540" s="55"/>
      <c r="E540" s="55"/>
    </row>
    <row r="541" spans="1:5" ht="13.2" x14ac:dyDescent="0.25">
      <c r="A541" s="55"/>
      <c r="B541" s="55"/>
      <c r="C541" s="55"/>
      <c r="D541" s="55"/>
      <c r="E541" s="55"/>
    </row>
    <row r="542" spans="1:5" ht="13.2" x14ac:dyDescent="0.25">
      <c r="A542" s="55"/>
      <c r="B542" s="55"/>
      <c r="C542" s="55"/>
      <c r="D542" s="55"/>
      <c r="E542" s="55"/>
    </row>
    <row r="543" spans="1:5" ht="13.2" x14ac:dyDescent="0.25">
      <c r="A543" s="55"/>
      <c r="B543" s="55"/>
      <c r="C543" s="55"/>
      <c r="D543" s="55"/>
      <c r="E543" s="55"/>
    </row>
    <row r="544" spans="1:5" ht="13.2" x14ac:dyDescent="0.25">
      <c r="A544" s="55"/>
      <c r="B544" s="55"/>
      <c r="C544" s="55"/>
      <c r="D544" s="55"/>
      <c r="E544" s="55"/>
    </row>
    <row r="545" spans="1:5" ht="13.2" x14ac:dyDescent="0.25">
      <c r="A545" s="55"/>
      <c r="B545" s="55"/>
      <c r="C545" s="55"/>
      <c r="D545" s="55"/>
      <c r="E545" s="55"/>
    </row>
    <row r="546" spans="1:5" ht="13.2" x14ac:dyDescent="0.25">
      <c r="A546" s="55"/>
      <c r="B546" s="55"/>
      <c r="C546" s="55"/>
      <c r="D546" s="55"/>
      <c r="E546" s="55"/>
    </row>
    <row r="547" spans="1:5" ht="13.2" x14ac:dyDescent="0.25">
      <c r="A547" s="55"/>
      <c r="B547" s="55"/>
      <c r="C547" s="55"/>
      <c r="D547" s="55"/>
      <c r="E547" s="55"/>
    </row>
    <row r="548" spans="1:5" ht="13.2" x14ac:dyDescent="0.25">
      <c r="A548" s="55"/>
      <c r="B548" s="55"/>
      <c r="C548" s="55"/>
      <c r="D548" s="55"/>
      <c r="E548" s="55"/>
    </row>
    <row r="549" spans="1:5" ht="13.2" x14ac:dyDescent="0.25">
      <c r="A549" s="55"/>
      <c r="B549" s="55"/>
      <c r="C549" s="55"/>
      <c r="D549" s="55"/>
      <c r="E549" s="55"/>
    </row>
    <row r="550" spans="1:5" ht="13.2" x14ac:dyDescent="0.25">
      <c r="A550" s="55"/>
      <c r="B550" s="55"/>
      <c r="C550" s="55"/>
      <c r="D550" s="55"/>
      <c r="E550" s="55"/>
    </row>
    <row r="551" spans="1:5" ht="13.2" x14ac:dyDescent="0.25">
      <c r="A551" s="55"/>
      <c r="B551" s="55"/>
      <c r="C551" s="55"/>
      <c r="D551" s="55"/>
      <c r="E551" s="55"/>
    </row>
    <row r="552" spans="1:5" ht="13.2" x14ac:dyDescent="0.25">
      <c r="A552" s="55"/>
      <c r="B552" s="55"/>
      <c r="C552" s="55"/>
      <c r="D552" s="55"/>
      <c r="E552" s="55"/>
    </row>
    <row r="553" spans="1:5" ht="13.2" x14ac:dyDescent="0.25">
      <c r="A553" s="55"/>
      <c r="B553" s="55"/>
      <c r="C553" s="55"/>
      <c r="D553" s="55"/>
      <c r="E553" s="55"/>
    </row>
    <row r="554" spans="1:5" ht="13.2" x14ac:dyDescent="0.25">
      <c r="A554" s="55"/>
      <c r="B554" s="55"/>
      <c r="C554" s="55"/>
      <c r="D554" s="55"/>
      <c r="E554" s="55"/>
    </row>
    <row r="555" spans="1:5" ht="13.2" x14ac:dyDescent="0.25">
      <c r="A555" s="55"/>
      <c r="B555" s="55"/>
      <c r="C555" s="55"/>
      <c r="D555" s="55"/>
      <c r="E555" s="55"/>
    </row>
    <row r="556" spans="1:5" ht="13.2" x14ac:dyDescent="0.25">
      <c r="A556" s="55"/>
      <c r="B556" s="55"/>
      <c r="C556" s="55"/>
      <c r="D556" s="55"/>
      <c r="E556" s="55"/>
    </row>
    <row r="557" spans="1:5" ht="13.2" x14ac:dyDescent="0.25">
      <c r="A557" s="55"/>
      <c r="B557" s="55"/>
      <c r="C557" s="55"/>
      <c r="D557" s="55"/>
      <c r="E557" s="55"/>
    </row>
    <row r="558" spans="1:5" ht="13.2" x14ac:dyDescent="0.25">
      <c r="A558" s="55"/>
      <c r="B558" s="55"/>
      <c r="C558" s="55"/>
      <c r="D558" s="55"/>
      <c r="E558" s="55"/>
    </row>
    <row r="559" spans="1:5" ht="13.2" x14ac:dyDescent="0.25">
      <c r="A559" s="55"/>
      <c r="B559" s="55"/>
      <c r="C559" s="55"/>
      <c r="D559" s="55"/>
      <c r="E559" s="55"/>
    </row>
    <row r="560" spans="1:5" ht="13.2" x14ac:dyDescent="0.25">
      <c r="A560" s="55"/>
      <c r="B560" s="55"/>
      <c r="C560" s="55"/>
      <c r="D560" s="55"/>
      <c r="E560" s="55"/>
    </row>
    <row r="561" spans="1:5" ht="13.2" x14ac:dyDescent="0.25">
      <c r="A561" s="55"/>
      <c r="B561" s="55"/>
      <c r="C561" s="55"/>
      <c r="D561" s="55"/>
      <c r="E561" s="55"/>
    </row>
    <row r="562" spans="1:5" ht="13.2" x14ac:dyDescent="0.25">
      <c r="A562" s="55"/>
      <c r="B562" s="55"/>
      <c r="C562" s="55"/>
      <c r="D562" s="55"/>
      <c r="E562" s="55"/>
    </row>
    <row r="563" spans="1:5" ht="13.2" x14ac:dyDescent="0.25">
      <c r="A563" s="55"/>
      <c r="B563" s="55"/>
      <c r="C563" s="55"/>
      <c r="D563" s="55"/>
      <c r="E563" s="55"/>
    </row>
    <row r="564" spans="1:5" ht="13.2" x14ac:dyDescent="0.25">
      <c r="A564" s="55"/>
      <c r="B564" s="55"/>
      <c r="C564" s="55"/>
      <c r="D564" s="55"/>
      <c r="E564" s="55"/>
    </row>
    <row r="565" spans="1:5" ht="13.2" x14ac:dyDescent="0.25">
      <c r="A565" s="55"/>
      <c r="B565" s="55"/>
      <c r="C565" s="55"/>
      <c r="D565" s="55"/>
      <c r="E565" s="55"/>
    </row>
    <row r="566" spans="1:5" ht="13.2" x14ac:dyDescent="0.25">
      <c r="A566" s="55"/>
      <c r="B566" s="55"/>
      <c r="C566" s="55"/>
      <c r="D566" s="55"/>
      <c r="E566" s="55"/>
    </row>
    <row r="567" spans="1:5" ht="13.2" x14ac:dyDescent="0.25">
      <c r="A567" s="55"/>
      <c r="B567" s="55"/>
      <c r="C567" s="55"/>
      <c r="D567" s="55"/>
      <c r="E567" s="55"/>
    </row>
    <row r="568" spans="1:5" ht="13.2" x14ac:dyDescent="0.25">
      <c r="A568" s="55"/>
      <c r="B568" s="55"/>
      <c r="C568" s="55"/>
      <c r="D568" s="55"/>
      <c r="E568" s="55"/>
    </row>
    <row r="569" spans="1:5" ht="13.2" x14ac:dyDescent="0.25">
      <c r="A569" s="55"/>
      <c r="B569" s="55"/>
      <c r="C569" s="55"/>
      <c r="D569" s="55"/>
      <c r="E569" s="55"/>
    </row>
    <row r="570" spans="1:5" ht="13.2" x14ac:dyDescent="0.25">
      <c r="A570" s="55"/>
      <c r="B570" s="55"/>
      <c r="C570" s="55"/>
      <c r="D570" s="55"/>
      <c r="E570" s="55"/>
    </row>
    <row r="571" spans="1:5" ht="13.2" x14ac:dyDescent="0.25">
      <c r="A571" s="55"/>
      <c r="B571" s="55"/>
      <c r="C571" s="55"/>
      <c r="D571" s="55"/>
      <c r="E571" s="55"/>
    </row>
    <row r="572" spans="1:5" ht="13.2" x14ac:dyDescent="0.25">
      <c r="A572" s="55"/>
      <c r="B572" s="55"/>
      <c r="C572" s="55"/>
      <c r="D572" s="55"/>
      <c r="E572" s="55"/>
    </row>
    <row r="573" spans="1:5" ht="13.2" x14ac:dyDescent="0.25">
      <c r="A573" s="55"/>
      <c r="B573" s="55"/>
      <c r="C573" s="55"/>
      <c r="D573" s="55"/>
      <c r="E573" s="55"/>
    </row>
    <row r="574" spans="1:5" ht="13.2" x14ac:dyDescent="0.25">
      <c r="A574" s="55"/>
      <c r="B574" s="55"/>
      <c r="C574" s="55"/>
      <c r="D574" s="55"/>
      <c r="E574" s="55"/>
    </row>
    <row r="575" spans="1:5" ht="13.2" x14ac:dyDescent="0.25">
      <c r="A575" s="55"/>
      <c r="B575" s="55"/>
      <c r="C575" s="55"/>
      <c r="D575" s="55"/>
      <c r="E575" s="55"/>
    </row>
    <row r="576" spans="1:5" ht="13.2" x14ac:dyDescent="0.25">
      <c r="A576" s="55"/>
      <c r="B576" s="55"/>
      <c r="C576" s="55"/>
      <c r="D576" s="55"/>
      <c r="E576" s="55"/>
    </row>
    <row r="577" spans="1:5" ht="13.2" x14ac:dyDescent="0.25">
      <c r="A577" s="55"/>
      <c r="B577" s="55"/>
      <c r="C577" s="55"/>
      <c r="D577" s="55"/>
      <c r="E577" s="55"/>
    </row>
    <row r="578" spans="1:5" ht="13.2" x14ac:dyDescent="0.25">
      <c r="A578" s="55"/>
      <c r="B578" s="55"/>
      <c r="C578" s="55"/>
      <c r="D578" s="55"/>
      <c r="E578" s="55"/>
    </row>
    <row r="579" spans="1:5" ht="13.2" x14ac:dyDescent="0.25">
      <c r="A579" s="55"/>
      <c r="B579" s="55"/>
      <c r="C579" s="55"/>
      <c r="D579" s="55"/>
      <c r="E579" s="55"/>
    </row>
    <row r="580" spans="1:5" ht="13.2" x14ac:dyDescent="0.25">
      <c r="A580" s="55"/>
      <c r="B580" s="55"/>
      <c r="C580" s="55"/>
      <c r="D580" s="55"/>
      <c r="E580" s="55"/>
    </row>
    <row r="581" spans="1:5" ht="13.2" x14ac:dyDescent="0.25">
      <c r="A581" s="55"/>
      <c r="B581" s="55"/>
      <c r="C581" s="55"/>
      <c r="D581" s="55"/>
      <c r="E581" s="55"/>
    </row>
    <row r="582" spans="1:5" ht="13.2" x14ac:dyDescent="0.25">
      <c r="A582" s="55"/>
      <c r="B582" s="55"/>
      <c r="C582" s="55"/>
      <c r="D582" s="55"/>
      <c r="E582" s="55"/>
    </row>
    <row r="583" spans="1:5" ht="13.2" x14ac:dyDescent="0.25">
      <c r="A583" s="55"/>
      <c r="B583" s="55"/>
      <c r="C583" s="55"/>
      <c r="D583" s="55"/>
      <c r="E583" s="55"/>
    </row>
    <row r="584" spans="1:5" ht="13.2" x14ac:dyDescent="0.25">
      <c r="A584" s="55"/>
      <c r="B584" s="55"/>
      <c r="C584" s="55"/>
      <c r="D584" s="55"/>
      <c r="E584" s="55"/>
    </row>
    <row r="585" spans="1:5" ht="13.2" x14ac:dyDescent="0.25">
      <c r="A585" s="55"/>
      <c r="B585" s="55"/>
      <c r="C585" s="55"/>
      <c r="D585" s="55"/>
      <c r="E585" s="55"/>
    </row>
    <row r="586" spans="1:5" ht="13.2" x14ac:dyDescent="0.25">
      <c r="A586" s="55"/>
      <c r="B586" s="55"/>
      <c r="C586" s="55"/>
      <c r="D586" s="55"/>
      <c r="E586" s="55"/>
    </row>
    <row r="587" spans="1:5" ht="13.2" x14ac:dyDescent="0.25">
      <c r="A587" s="55"/>
      <c r="B587" s="55"/>
      <c r="C587" s="55"/>
      <c r="D587" s="55"/>
      <c r="E587" s="55"/>
    </row>
    <row r="588" spans="1:5" ht="13.2" x14ac:dyDescent="0.25">
      <c r="A588" s="55"/>
      <c r="B588" s="55"/>
      <c r="C588" s="55"/>
      <c r="D588" s="55"/>
      <c r="E588" s="55"/>
    </row>
    <row r="589" spans="1:5" ht="13.2" x14ac:dyDescent="0.25">
      <c r="A589" s="55"/>
      <c r="B589" s="55"/>
      <c r="C589" s="55"/>
      <c r="D589" s="55"/>
      <c r="E589" s="55"/>
    </row>
    <row r="590" spans="1:5" ht="13.2" x14ac:dyDescent="0.25">
      <c r="A590" s="55"/>
      <c r="B590" s="55"/>
      <c r="C590" s="55"/>
      <c r="D590" s="55"/>
      <c r="E590" s="55"/>
    </row>
    <row r="591" spans="1:5" ht="13.2" x14ac:dyDescent="0.25">
      <c r="A591" s="55"/>
      <c r="B591" s="55"/>
      <c r="C591" s="55"/>
      <c r="D591" s="55"/>
      <c r="E591" s="55"/>
    </row>
    <row r="592" spans="1:5" ht="13.2" x14ac:dyDescent="0.25">
      <c r="A592" s="55"/>
      <c r="B592" s="55"/>
      <c r="C592" s="55"/>
      <c r="D592" s="55"/>
      <c r="E592" s="55"/>
    </row>
    <row r="593" spans="1:5" ht="13.2" x14ac:dyDescent="0.25">
      <c r="A593" s="55"/>
      <c r="B593" s="55"/>
      <c r="C593" s="55"/>
      <c r="D593" s="55"/>
      <c r="E593" s="55"/>
    </row>
    <row r="594" spans="1:5" ht="13.2" x14ac:dyDescent="0.25">
      <c r="A594" s="55"/>
      <c r="B594" s="55"/>
      <c r="C594" s="55"/>
      <c r="D594" s="55"/>
      <c r="E594" s="55"/>
    </row>
    <row r="595" spans="1:5" ht="13.2" x14ac:dyDescent="0.25">
      <c r="A595" s="55"/>
      <c r="B595" s="55"/>
      <c r="C595" s="55"/>
      <c r="D595" s="55"/>
      <c r="E595" s="55"/>
    </row>
    <row r="596" spans="1:5" ht="13.2" x14ac:dyDescent="0.25">
      <c r="A596" s="55"/>
      <c r="B596" s="55"/>
      <c r="C596" s="55"/>
      <c r="D596" s="55"/>
      <c r="E596" s="55"/>
    </row>
    <row r="597" spans="1:5" ht="13.2" x14ac:dyDescent="0.25">
      <c r="A597" s="55"/>
      <c r="B597" s="55"/>
      <c r="C597" s="55"/>
      <c r="D597" s="55"/>
      <c r="E597" s="55"/>
    </row>
    <row r="598" spans="1:5" ht="13.2" x14ac:dyDescent="0.25">
      <c r="A598" s="55"/>
      <c r="B598" s="55"/>
      <c r="C598" s="55"/>
      <c r="D598" s="55"/>
      <c r="E598" s="55"/>
    </row>
    <row r="599" spans="1:5" ht="13.2" x14ac:dyDescent="0.25">
      <c r="A599" s="55"/>
      <c r="B599" s="55"/>
      <c r="C599" s="55"/>
      <c r="D599" s="55"/>
      <c r="E599" s="55"/>
    </row>
    <row r="600" spans="1:5" ht="13.2" x14ac:dyDescent="0.25">
      <c r="A600" s="55"/>
      <c r="B600" s="55"/>
      <c r="C600" s="55"/>
      <c r="D600" s="55"/>
      <c r="E600" s="55"/>
    </row>
    <row r="601" spans="1:5" ht="13.2" x14ac:dyDescent="0.25">
      <c r="A601" s="55"/>
      <c r="B601" s="55"/>
      <c r="C601" s="55"/>
      <c r="D601" s="55"/>
      <c r="E601" s="55"/>
    </row>
    <row r="602" spans="1:5" ht="13.2" x14ac:dyDescent="0.25">
      <c r="A602" s="55"/>
      <c r="B602" s="55"/>
      <c r="C602" s="55"/>
      <c r="D602" s="55"/>
      <c r="E602" s="55"/>
    </row>
    <row r="603" spans="1:5" ht="13.2" x14ac:dyDescent="0.25">
      <c r="A603" s="55"/>
      <c r="B603" s="55"/>
      <c r="C603" s="55"/>
      <c r="D603" s="55"/>
      <c r="E603" s="55"/>
    </row>
    <row r="604" spans="1:5" ht="13.2" x14ac:dyDescent="0.25">
      <c r="A604" s="55"/>
      <c r="B604" s="55"/>
      <c r="C604" s="55"/>
      <c r="D604" s="55"/>
      <c r="E604" s="55"/>
    </row>
    <row r="605" spans="1:5" ht="13.2" x14ac:dyDescent="0.25">
      <c r="A605" s="55"/>
      <c r="B605" s="55"/>
      <c r="C605" s="55"/>
      <c r="D605" s="55"/>
      <c r="E605" s="55"/>
    </row>
    <row r="606" spans="1:5" ht="13.2" x14ac:dyDescent="0.25">
      <c r="A606" s="55"/>
      <c r="B606" s="55"/>
      <c r="C606" s="55"/>
      <c r="D606" s="55"/>
      <c r="E606" s="55"/>
    </row>
    <row r="607" spans="1:5" ht="13.2" x14ac:dyDescent="0.25">
      <c r="A607" s="55"/>
      <c r="B607" s="55"/>
      <c r="C607" s="55"/>
      <c r="D607" s="55"/>
      <c r="E607" s="55"/>
    </row>
    <row r="608" spans="1:5" ht="13.2" x14ac:dyDescent="0.25">
      <c r="A608" s="55"/>
      <c r="B608" s="55"/>
      <c r="C608" s="55"/>
      <c r="D608" s="55"/>
      <c r="E608" s="55"/>
    </row>
    <row r="609" spans="1:5" ht="13.2" x14ac:dyDescent="0.25">
      <c r="A609" s="55"/>
      <c r="B609" s="55"/>
      <c r="C609" s="55"/>
      <c r="D609" s="55"/>
      <c r="E609" s="55"/>
    </row>
    <row r="610" spans="1:5" ht="13.2" x14ac:dyDescent="0.25">
      <c r="A610" s="55"/>
      <c r="B610" s="55"/>
      <c r="C610" s="55"/>
      <c r="D610" s="55"/>
      <c r="E610" s="55"/>
    </row>
    <row r="611" spans="1:5" ht="13.2" x14ac:dyDescent="0.25">
      <c r="A611" s="55"/>
      <c r="B611" s="55"/>
      <c r="C611" s="55"/>
      <c r="D611" s="55"/>
      <c r="E611" s="55"/>
    </row>
    <row r="612" spans="1:5" ht="13.2" x14ac:dyDescent="0.25">
      <c r="A612" s="55"/>
      <c r="B612" s="55"/>
      <c r="C612" s="55"/>
      <c r="D612" s="55"/>
      <c r="E612" s="55"/>
    </row>
    <row r="613" spans="1:5" ht="13.2" x14ac:dyDescent="0.25">
      <c r="A613" s="55"/>
      <c r="B613" s="55"/>
      <c r="C613" s="55"/>
      <c r="D613" s="55"/>
      <c r="E613" s="55"/>
    </row>
    <row r="614" spans="1:5" ht="13.2" x14ac:dyDescent="0.25">
      <c r="A614" s="55"/>
      <c r="B614" s="55"/>
      <c r="C614" s="55"/>
      <c r="D614" s="55"/>
      <c r="E614" s="55"/>
    </row>
    <row r="615" spans="1:5" ht="13.2" x14ac:dyDescent="0.25">
      <c r="A615" s="55"/>
      <c r="B615" s="55"/>
      <c r="C615" s="55"/>
      <c r="D615" s="55"/>
      <c r="E615" s="55"/>
    </row>
    <row r="616" spans="1:5" ht="13.2" x14ac:dyDescent="0.25">
      <c r="A616" s="55"/>
      <c r="B616" s="55"/>
      <c r="C616" s="55"/>
      <c r="D616" s="55"/>
      <c r="E616" s="55"/>
    </row>
    <row r="617" spans="1:5" ht="13.2" x14ac:dyDescent="0.25">
      <c r="A617" s="55"/>
      <c r="B617" s="55"/>
      <c r="C617" s="55"/>
      <c r="D617" s="55"/>
      <c r="E617" s="55"/>
    </row>
    <row r="618" spans="1:5" ht="13.2" x14ac:dyDescent="0.25">
      <c r="A618" s="55"/>
      <c r="B618" s="55"/>
      <c r="C618" s="55"/>
      <c r="D618" s="55"/>
      <c r="E618" s="55"/>
    </row>
    <row r="619" spans="1:5" ht="13.2" x14ac:dyDescent="0.25">
      <c r="A619" s="55"/>
      <c r="B619" s="55"/>
      <c r="C619" s="55"/>
      <c r="D619" s="55"/>
      <c r="E619" s="55"/>
    </row>
    <row r="620" spans="1:5" ht="13.2" x14ac:dyDescent="0.25">
      <c r="A620" s="55"/>
      <c r="B620" s="55"/>
      <c r="C620" s="55"/>
      <c r="D620" s="55"/>
      <c r="E620" s="55"/>
    </row>
    <row r="621" spans="1:5" ht="13.2" x14ac:dyDescent="0.25">
      <c r="A621" s="55"/>
      <c r="B621" s="55"/>
      <c r="C621" s="55"/>
      <c r="D621" s="55"/>
      <c r="E621" s="55"/>
    </row>
    <row r="622" spans="1:5" ht="13.2" x14ac:dyDescent="0.25">
      <c r="A622" s="55"/>
      <c r="B622" s="55"/>
      <c r="C622" s="55"/>
      <c r="D622" s="55"/>
      <c r="E622" s="55"/>
    </row>
    <row r="623" spans="1:5" ht="13.2" x14ac:dyDescent="0.25">
      <c r="A623" s="55"/>
      <c r="B623" s="55"/>
      <c r="C623" s="55"/>
      <c r="D623" s="55"/>
      <c r="E623" s="55"/>
    </row>
    <row r="624" spans="1:5" ht="13.2" x14ac:dyDescent="0.25">
      <c r="A624" s="55"/>
      <c r="B624" s="55"/>
      <c r="C624" s="55"/>
      <c r="D624" s="55"/>
      <c r="E624" s="55"/>
    </row>
    <row r="625" spans="1:5" ht="13.2" x14ac:dyDescent="0.25">
      <c r="A625" s="55"/>
      <c r="B625" s="55"/>
      <c r="C625" s="55"/>
      <c r="D625" s="55"/>
      <c r="E625" s="55"/>
    </row>
    <row r="626" spans="1:5" ht="13.2" x14ac:dyDescent="0.25">
      <c r="A626" s="55"/>
      <c r="B626" s="55"/>
      <c r="C626" s="55"/>
      <c r="D626" s="55"/>
      <c r="E626" s="55"/>
    </row>
    <row r="627" spans="1:5" ht="13.2" x14ac:dyDescent="0.25">
      <c r="A627" s="55"/>
      <c r="B627" s="55"/>
      <c r="C627" s="55"/>
      <c r="D627" s="55"/>
      <c r="E627" s="55"/>
    </row>
    <row r="628" spans="1:5" ht="13.2" x14ac:dyDescent="0.25">
      <c r="A628" s="55"/>
      <c r="B628" s="55"/>
      <c r="C628" s="55"/>
      <c r="D628" s="55"/>
      <c r="E628" s="55"/>
    </row>
    <row r="629" spans="1:5" ht="13.2" x14ac:dyDescent="0.25">
      <c r="A629" s="55"/>
      <c r="B629" s="55"/>
      <c r="C629" s="55"/>
      <c r="D629" s="55"/>
      <c r="E629" s="55"/>
    </row>
    <row r="630" spans="1:5" ht="13.2" x14ac:dyDescent="0.25">
      <c r="A630" s="55"/>
      <c r="B630" s="55"/>
      <c r="C630" s="55"/>
      <c r="D630" s="55"/>
      <c r="E630" s="55"/>
    </row>
    <row r="631" spans="1:5" ht="13.2" x14ac:dyDescent="0.25">
      <c r="A631" s="55"/>
      <c r="B631" s="55"/>
      <c r="C631" s="55"/>
      <c r="D631" s="55"/>
      <c r="E631" s="55"/>
    </row>
    <row r="632" spans="1:5" ht="13.2" x14ac:dyDescent="0.25">
      <c r="A632" s="55"/>
      <c r="B632" s="55"/>
      <c r="C632" s="55"/>
      <c r="D632" s="55"/>
      <c r="E632" s="55"/>
    </row>
    <row r="633" spans="1:5" ht="13.2" x14ac:dyDescent="0.25">
      <c r="A633" s="55"/>
      <c r="B633" s="55"/>
      <c r="C633" s="55"/>
      <c r="D633" s="55"/>
      <c r="E633" s="55"/>
    </row>
    <row r="634" spans="1:5" ht="13.2" x14ac:dyDescent="0.25">
      <c r="A634" s="55"/>
      <c r="B634" s="55"/>
      <c r="C634" s="55"/>
      <c r="D634" s="55"/>
      <c r="E634" s="55"/>
    </row>
    <row r="635" spans="1:5" ht="13.2" x14ac:dyDescent="0.25">
      <c r="A635" s="55"/>
      <c r="B635" s="55"/>
      <c r="C635" s="55"/>
      <c r="D635" s="55"/>
      <c r="E635" s="55"/>
    </row>
    <row r="636" spans="1:5" ht="13.2" x14ac:dyDescent="0.25">
      <c r="A636" s="55"/>
      <c r="B636" s="55"/>
      <c r="C636" s="55"/>
      <c r="D636" s="55"/>
      <c r="E636" s="55"/>
    </row>
    <row r="637" spans="1:5" ht="13.2" x14ac:dyDescent="0.25">
      <c r="A637" s="55"/>
      <c r="B637" s="55"/>
      <c r="C637" s="55"/>
      <c r="D637" s="55"/>
      <c r="E637" s="55"/>
    </row>
    <row r="638" spans="1:5" ht="13.2" x14ac:dyDescent="0.25">
      <c r="A638" s="55"/>
      <c r="B638" s="55"/>
      <c r="C638" s="55"/>
      <c r="D638" s="55"/>
      <c r="E638" s="55"/>
    </row>
    <row r="639" spans="1:5" ht="13.2" x14ac:dyDescent="0.25">
      <c r="A639" s="55"/>
      <c r="B639" s="55"/>
      <c r="C639" s="55"/>
      <c r="D639" s="55"/>
      <c r="E639" s="55"/>
    </row>
    <row r="640" spans="1:5" ht="13.2" x14ac:dyDescent="0.25">
      <c r="A640" s="55"/>
      <c r="B640" s="55"/>
      <c r="C640" s="55"/>
      <c r="D640" s="55"/>
      <c r="E640" s="55"/>
    </row>
    <row r="641" spans="1:5" ht="13.2" x14ac:dyDescent="0.25">
      <c r="A641" s="55"/>
      <c r="B641" s="55"/>
      <c r="C641" s="55"/>
      <c r="D641" s="55"/>
      <c r="E641" s="55"/>
    </row>
    <row r="642" spans="1:5" ht="13.2" x14ac:dyDescent="0.25">
      <c r="A642" s="55"/>
      <c r="B642" s="55"/>
      <c r="C642" s="55"/>
      <c r="D642" s="55"/>
      <c r="E642" s="55"/>
    </row>
    <row r="643" spans="1:5" ht="13.2" x14ac:dyDescent="0.25">
      <c r="A643" s="55"/>
      <c r="B643" s="55"/>
      <c r="C643" s="55"/>
      <c r="D643" s="55"/>
      <c r="E643" s="55"/>
    </row>
    <row r="644" spans="1:5" ht="13.2" x14ac:dyDescent="0.25">
      <c r="A644" s="55"/>
      <c r="B644" s="55"/>
      <c r="C644" s="55"/>
      <c r="D644" s="55"/>
      <c r="E644" s="55"/>
    </row>
    <row r="645" spans="1:5" ht="13.2" x14ac:dyDescent="0.25">
      <c r="A645" s="55"/>
      <c r="B645" s="55"/>
      <c r="C645" s="55"/>
      <c r="D645" s="55"/>
      <c r="E645" s="55"/>
    </row>
    <row r="646" spans="1:5" ht="13.2" x14ac:dyDescent="0.25">
      <c r="A646" s="55"/>
      <c r="B646" s="55"/>
      <c r="C646" s="55"/>
      <c r="D646" s="55"/>
      <c r="E646" s="55"/>
    </row>
    <row r="647" spans="1:5" ht="13.2" x14ac:dyDescent="0.25">
      <c r="A647" s="55"/>
      <c r="B647" s="55"/>
      <c r="C647" s="55"/>
      <c r="D647" s="55"/>
      <c r="E647" s="55"/>
    </row>
    <row r="648" spans="1:5" ht="13.2" x14ac:dyDescent="0.25">
      <c r="A648" s="55"/>
      <c r="B648" s="55"/>
      <c r="C648" s="55"/>
      <c r="D648" s="55"/>
      <c r="E648" s="55"/>
    </row>
    <row r="649" spans="1:5" ht="13.2" x14ac:dyDescent="0.25">
      <c r="A649" s="55"/>
      <c r="B649" s="55"/>
      <c r="C649" s="55"/>
      <c r="D649" s="55"/>
      <c r="E649" s="55"/>
    </row>
    <row r="650" spans="1:5" ht="13.2" x14ac:dyDescent="0.25">
      <c r="A650" s="55"/>
      <c r="B650" s="55"/>
      <c r="C650" s="55"/>
      <c r="D650" s="55"/>
      <c r="E650" s="55"/>
    </row>
    <row r="651" spans="1:5" ht="13.2" x14ac:dyDescent="0.25">
      <c r="A651" s="55"/>
      <c r="B651" s="55"/>
      <c r="C651" s="55"/>
      <c r="D651" s="55"/>
      <c r="E651" s="55"/>
    </row>
    <row r="652" spans="1:5" ht="13.2" x14ac:dyDescent="0.25">
      <c r="A652" s="55"/>
      <c r="B652" s="55"/>
      <c r="C652" s="55"/>
      <c r="D652" s="55"/>
      <c r="E652" s="55"/>
    </row>
    <row r="653" spans="1:5" ht="13.2" x14ac:dyDescent="0.25">
      <c r="A653" s="55"/>
      <c r="B653" s="55"/>
      <c r="C653" s="55"/>
      <c r="D653" s="55"/>
      <c r="E653" s="55"/>
    </row>
    <row r="654" spans="1:5" ht="13.2" x14ac:dyDescent="0.25">
      <c r="A654" s="55"/>
      <c r="B654" s="55"/>
      <c r="C654" s="55"/>
      <c r="D654" s="55"/>
      <c r="E654" s="55"/>
    </row>
    <row r="655" spans="1:5" ht="13.2" x14ac:dyDescent="0.25">
      <c r="A655" s="55"/>
      <c r="B655" s="55"/>
      <c r="C655" s="55"/>
      <c r="D655" s="55"/>
      <c r="E655" s="55"/>
    </row>
    <row r="656" spans="1:5" ht="13.2" x14ac:dyDescent="0.25">
      <c r="A656" s="55"/>
      <c r="B656" s="55"/>
      <c r="C656" s="55"/>
      <c r="D656" s="55"/>
      <c r="E656" s="55"/>
    </row>
    <row r="657" spans="1:5" ht="13.2" x14ac:dyDescent="0.25">
      <c r="A657" s="55"/>
      <c r="B657" s="55"/>
      <c r="C657" s="55"/>
      <c r="D657" s="55"/>
      <c r="E657" s="55"/>
    </row>
    <row r="658" spans="1:5" ht="13.2" x14ac:dyDescent="0.25">
      <c r="A658" s="55"/>
      <c r="B658" s="55"/>
      <c r="C658" s="55"/>
      <c r="D658" s="55"/>
      <c r="E658" s="55"/>
    </row>
    <row r="659" spans="1:5" ht="13.2" x14ac:dyDescent="0.25">
      <c r="A659" s="55"/>
      <c r="B659" s="55"/>
      <c r="C659" s="55"/>
      <c r="D659" s="55"/>
      <c r="E659" s="55"/>
    </row>
    <row r="660" spans="1:5" ht="13.2" x14ac:dyDescent="0.25">
      <c r="A660" s="55"/>
      <c r="B660" s="55"/>
      <c r="C660" s="55"/>
      <c r="D660" s="55"/>
      <c r="E660" s="55"/>
    </row>
    <row r="661" spans="1:5" ht="13.2" x14ac:dyDescent="0.25">
      <c r="A661" s="55"/>
      <c r="B661" s="55"/>
      <c r="C661" s="55"/>
      <c r="D661" s="55"/>
      <c r="E661" s="55"/>
    </row>
    <row r="662" spans="1:5" ht="13.2" x14ac:dyDescent="0.25">
      <c r="A662" s="55"/>
      <c r="B662" s="55"/>
      <c r="C662" s="55"/>
      <c r="D662" s="55"/>
      <c r="E662" s="55"/>
    </row>
    <row r="663" spans="1:5" ht="13.2" x14ac:dyDescent="0.25">
      <c r="A663" s="55"/>
      <c r="B663" s="55"/>
      <c r="C663" s="55"/>
      <c r="D663" s="55"/>
      <c r="E663" s="55"/>
    </row>
    <row r="664" spans="1:5" ht="13.2" x14ac:dyDescent="0.25">
      <c r="A664" s="55"/>
      <c r="B664" s="55"/>
      <c r="C664" s="55"/>
      <c r="D664" s="55"/>
      <c r="E664" s="55"/>
    </row>
    <row r="665" spans="1:5" ht="13.2" x14ac:dyDescent="0.25">
      <c r="A665" s="55"/>
      <c r="B665" s="55"/>
      <c r="C665" s="55"/>
      <c r="D665" s="55"/>
      <c r="E665" s="55"/>
    </row>
    <row r="666" spans="1:5" ht="13.2" x14ac:dyDescent="0.25">
      <c r="A666" s="55"/>
      <c r="B666" s="55"/>
      <c r="C666" s="55"/>
      <c r="D666" s="55"/>
      <c r="E666" s="55"/>
    </row>
    <row r="667" spans="1:5" ht="13.2" x14ac:dyDescent="0.25">
      <c r="A667" s="55"/>
      <c r="B667" s="55"/>
      <c r="C667" s="55"/>
      <c r="D667" s="55"/>
      <c r="E667" s="55"/>
    </row>
    <row r="668" spans="1:5" ht="13.2" x14ac:dyDescent="0.25">
      <c r="A668" s="55"/>
      <c r="B668" s="55"/>
      <c r="C668" s="55"/>
      <c r="D668" s="55"/>
      <c r="E668" s="55"/>
    </row>
    <row r="669" spans="1:5" ht="13.2" x14ac:dyDescent="0.25">
      <c r="A669" s="55"/>
      <c r="B669" s="55"/>
      <c r="C669" s="55"/>
      <c r="D669" s="55"/>
      <c r="E669" s="55"/>
    </row>
    <row r="670" spans="1:5" ht="13.2" x14ac:dyDescent="0.25">
      <c r="A670" s="55"/>
      <c r="B670" s="55"/>
      <c r="C670" s="55"/>
      <c r="D670" s="55"/>
      <c r="E670" s="55"/>
    </row>
    <row r="671" spans="1:5" ht="13.2" x14ac:dyDescent="0.25">
      <c r="A671" s="55"/>
      <c r="B671" s="55"/>
      <c r="C671" s="55"/>
      <c r="D671" s="55"/>
      <c r="E671" s="55"/>
    </row>
    <row r="672" spans="1:5" ht="13.2" x14ac:dyDescent="0.25">
      <c r="A672" s="55"/>
      <c r="B672" s="55"/>
      <c r="C672" s="55"/>
      <c r="D672" s="55"/>
      <c r="E672" s="55"/>
    </row>
    <row r="673" spans="1:5" ht="13.2" x14ac:dyDescent="0.25">
      <c r="A673" s="55"/>
      <c r="B673" s="55"/>
      <c r="C673" s="55"/>
      <c r="D673" s="55"/>
      <c r="E673" s="55"/>
    </row>
    <row r="674" spans="1:5" ht="13.2" x14ac:dyDescent="0.25">
      <c r="A674" s="55"/>
      <c r="B674" s="55"/>
      <c r="C674" s="55"/>
      <c r="D674" s="55"/>
      <c r="E674" s="55"/>
    </row>
    <row r="675" spans="1:5" ht="13.2" x14ac:dyDescent="0.25">
      <c r="A675" s="55"/>
      <c r="B675" s="55"/>
      <c r="C675" s="55"/>
      <c r="D675" s="55"/>
      <c r="E675" s="55"/>
    </row>
    <row r="676" spans="1:5" ht="13.2" x14ac:dyDescent="0.25">
      <c r="A676" s="55"/>
      <c r="B676" s="55"/>
      <c r="C676" s="55"/>
      <c r="D676" s="55"/>
      <c r="E676" s="55"/>
    </row>
    <row r="677" spans="1:5" ht="13.2" x14ac:dyDescent="0.25">
      <c r="A677" s="55"/>
      <c r="B677" s="55"/>
      <c r="C677" s="55"/>
      <c r="D677" s="55"/>
      <c r="E677" s="55"/>
    </row>
    <row r="678" spans="1:5" ht="13.2" x14ac:dyDescent="0.25">
      <c r="A678" s="55"/>
      <c r="B678" s="55"/>
      <c r="C678" s="55"/>
      <c r="D678" s="55"/>
      <c r="E678" s="55"/>
    </row>
    <row r="679" spans="1:5" ht="13.2" x14ac:dyDescent="0.25">
      <c r="A679" s="55"/>
      <c r="B679" s="55"/>
      <c r="C679" s="55"/>
      <c r="D679" s="55"/>
      <c r="E679" s="55"/>
    </row>
    <row r="680" spans="1:5" ht="13.2" x14ac:dyDescent="0.25">
      <c r="A680" s="55"/>
      <c r="B680" s="55"/>
      <c r="C680" s="55"/>
      <c r="D680" s="55"/>
      <c r="E680" s="55"/>
    </row>
    <row r="681" spans="1:5" ht="13.2" x14ac:dyDescent="0.25">
      <c r="A681" s="55"/>
      <c r="B681" s="55"/>
      <c r="C681" s="55"/>
      <c r="D681" s="55"/>
      <c r="E681" s="55"/>
    </row>
    <row r="682" spans="1:5" ht="13.2" x14ac:dyDescent="0.25">
      <c r="A682" s="55"/>
      <c r="B682" s="55"/>
      <c r="C682" s="55"/>
      <c r="D682" s="55"/>
      <c r="E682" s="55"/>
    </row>
    <row r="683" spans="1:5" ht="13.2" x14ac:dyDescent="0.25">
      <c r="A683" s="55"/>
      <c r="B683" s="55"/>
      <c r="C683" s="55"/>
      <c r="D683" s="55"/>
      <c r="E683" s="55"/>
    </row>
    <row r="684" spans="1:5" ht="13.2" x14ac:dyDescent="0.25">
      <c r="A684" s="55"/>
      <c r="B684" s="55"/>
      <c r="C684" s="55"/>
      <c r="D684" s="55"/>
      <c r="E684" s="55"/>
    </row>
    <row r="685" spans="1:5" ht="13.2" x14ac:dyDescent="0.25">
      <c r="A685" s="55"/>
      <c r="B685" s="55"/>
      <c r="C685" s="55"/>
      <c r="D685" s="55"/>
      <c r="E685" s="55"/>
    </row>
    <row r="686" spans="1:5" ht="13.2" x14ac:dyDescent="0.25">
      <c r="A686" s="55"/>
      <c r="B686" s="55"/>
      <c r="C686" s="55"/>
      <c r="D686" s="55"/>
      <c r="E686" s="55"/>
    </row>
    <row r="687" spans="1:5" ht="13.2" x14ac:dyDescent="0.25">
      <c r="A687" s="55"/>
      <c r="B687" s="55"/>
      <c r="C687" s="55"/>
      <c r="D687" s="55"/>
      <c r="E687" s="55"/>
    </row>
    <row r="688" spans="1:5" ht="13.2" x14ac:dyDescent="0.25">
      <c r="A688" s="55"/>
      <c r="B688" s="55"/>
      <c r="C688" s="55"/>
      <c r="D688" s="55"/>
      <c r="E688" s="55"/>
    </row>
    <row r="689" spans="1:5" ht="13.2" x14ac:dyDescent="0.25">
      <c r="A689" s="55"/>
      <c r="B689" s="55"/>
      <c r="C689" s="55"/>
      <c r="D689" s="55"/>
      <c r="E689" s="55"/>
    </row>
    <row r="690" spans="1:5" ht="13.2" x14ac:dyDescent="0.25">
      <c r="A690" s="55"/>
      <c r="B690" s="55"/>
      <c r="C690" s="55"/>
      <c r="D690" s="55"/>
      <c r="E690" s="55"/>
    </row>
    <row r="691" spans="1:5" ht="13.2" x14ac:dyDescent="0.25">
      <c r="A691" s="55"/>
      <c r="B691" s="55"/>
      <c r="C691" s="55"/>
      <c r="D691" s="55"/>
      <c r="E691" s="55"/>
    </row>
    <row r="692" spans="1:5" ht="13.2" x14ac:dyDescent="0.25">
      <c r="A692" s="55"/>
      <c r="B692" s="55"/>
      <c r="C692" s="55"/>
      <c r="D692" s="55"/>
      <c r="E692" s="55"/>
    </row>
    <row r="693" spans="1:5" ht="13.2" x14ac:dyDescent="0.25">
      <c r="A693" s="55"/>
      <c r="B693" s="55"/>
      <c r="C693" s="55"/>
      <c r="D693" s="55"/>
      <c r="E693" s="55"/>
    </row>
    <row r="694" spans="1:5" ht="13.2" x14ac:dyDescent="0.25">
      <c r="A694" s="55"/>
      <c r="B694" s="55"/>
      <c r="C694" s="55"/>
      <c r="D694" s="55"/>
      <c r="E694" s="55"/>
    </row>
    <row r="695" spans="1:5" ht="13.2" x14ac:dyDescent="0.25">
      <c r="A695" s="55"/>
      <c r="B695" s="55"/>
      <c r="C695" s="55"/>
      <c r="D695" s="55"/>
      <c r="E695" s="55"/>
    </row>
    <row r="696" spans="1:5" ht="13.2" x14ac:dyDescent="0.25">
      <c r="A696" s="55"/>
      <c r="B696" s="55"/>
      <c r="C696" s="55"/>
      <c r="D696" s="55"/>
      <c r="E696" s="55"/>
    </row>
    <row r="697" spans="1:5" ht="13.2" x14ac:dyDescent="0.25">
      <c r="A697" s="55"/>
      <c r="B697" s="55"/>
      <c r="C697" s="55"/>
      <c r="D697" s="55"/>
      <c r="E697" s="55"/>
    </row>
    <row r="698" spans="1:5" ht="13.2" x14ac:dyDescent="0.25">
      <c r="A698" s="55"/>
      <c r="B698" s="55"/>
      <c r="C698" s="55"/>
      <c r="D698" s="55"/>
      <c r="E698" s="55"/>
    </row>
    <row r="699" spans="1:5" ht="13.2" x14ac:dyDescent="0.25">
      <c r="A699" s="55"/>
      <c r="B699" s="55"/>
      <c r="C699" s="55"/>
      <c r="D699" s="55"/>
      <c r="E699" s="55"/>
    </row>
    <row r="700" spans="1:5" ht="13.2" x14ac:dyDescent="0.25">
      <c r="A700" s="55"/>
      <c r="B700" s="55"/>
      <c r="C700" s="55"/>
      <c r="D700" s="55"/>
      <c r="E700" s="55"/>
    </row>
    <row r="701" spans="1:5" ht="13.2" x14ac:dyDescent="0.25">
      <c r="A701" s="55"/>
      <c r="B701" s="55"/>
      <c r="C701" s="55"/>
      <c r="D701" s="55"/>
      <c r="E701" s="55"/>
    </row>
    <row r="702" spans="1:5" ht="13.2" x14ac:dyDescent="0.25">
      <c r="A702" s="55"/>
      <c r="B702" s="55"/>
      <c r="C702" s="55"/>
      <c r="D702" s="55"/>
      <c r="E702" s="55"/>
    </row>
    <row r="703" spans="1:5" ht="13.2" x14ac:dyDescent="0.25">
      <c r="A703" s="55"/>
      <c r="B703" s="55"/>
      <c r="C703" s="55"/>
      <c r="D703" s="55"/>
      <c r="E703" s="55"/>
    </row>
    <row r="704" spans="1:5" ht="13.2" x14ac:dyDescent="0.25">
      <c r="A704" s="55"/>
      <c r="B704" s="55"/>
      <c r="C704" s="55"/>
      <c r="D704" s="55"/>
      <c r="E704" s="55"/>
    </row>
    <row r="705" spans="1:5" ht="13.2" x14ac:dyDescent="0.25">
      <c r="A705" s="55"/>
      <c r="B705" s="55"/>
      <c r="C705" s="55"/>
      <c r="D705" s="55"/>
      <c r="E705" s="55"/>
    </row>
    <row r="706" spans="1:5" ht="13.2" x14ac:dyDescent="0.25">
      <c r="A706" s="55"/>
      <c r="B706" s="55"/>
      <c r="C706" s="55"/>
      <c r="D706" s="55"/>
      <c r="E706" s="55"/>
    </row>
    <row r="707" spans="1:5" ht="13.2" x14ac:dyDescent="0.25">
      <c r="A707" s="55"/>
      <c r="B707" s="55"/>
      <c r="C707" s="55"/>
      <c r="D707" s="55"/>
      <c r="E707" s="55"/>
    </row>
    <row r="708" spans="1:5" ht="13.2" x14ac:dyDescent="0.25">
      <c r="A708" s="55"/>
      <c r="B708" s="55"/>
      <c r="C708" s="55"/>
      <c r="D708" s="55"/>
      <c r="E708" s="55"/>
    </row>
    <row r="709" spans="1:5" ht="13.2" x14ac:dyDescent="0.25">
      <c r="A709" s="55"/>
      <c r="B709" s="55"/>
      <c r="C709" s="55"/>
      <c r="D709" s="55"/>
      <c r="E709" s="55"/>
    </row>
    <row r="710" spans="1:5" ht="13.2" x14ac:dyDescent="0.25">
      <c r="A710" s="55"/>
      <c r="B710" s="55"/>
      <c r="C710" s="55"/>
      <c r="D710" s="55"/>
      <c r="E710" s="55"/>
    </row>
    <row r="711" spans="1:5" ht="13.2" x14ac:dyDescent="0.25">
      <c r="A711" s="55"/>
      <c r="B711" s="55"/>
      <c r="C711" s="55"/>
      <c r="D711" s="55"/>
      <c r="E711" s="55"/>
    </row>
    <row r="712" spans="1:5" ht="13.2" x14ac:dyDescent="0.25">
      <c r="A712" s="55"/>
      <c r="B712" s="55"/>
      <c r="C712" s="55"/>
      <c r="D712" s="55"/>
      <c r="E712" s="55"/>
    </row>
    <row r="713" spans="1:5" ht="13.2" x14ac:dyDescent="0.25">
      <c r="A713" s="55"/>
      <c r="B713" s="55"/>
      <c r="C713" s="55"/>
      <c r="D713" s="55"/>
      <c r="E713" s="55"/>
    </row>
    <row r="714" spans="1:5" ht="13.2" x14ac:dyDescent="0.25">
      <c r="A714" s="55"/>
      <c r="B714" s="55"/>
      <c r="C714" s="55"/>
      <c r="D714" s="55"/>
      <c r="E714" s="55"/>
    </row>
    <row r="715" spans="1:5" ht="13.2" x14ac:dyDescent="0.25">
      <c r="A715" s="55"/>
      <c r="B715" s="55"/>
      <c r="C715" s="55"/>
      <c r="D715" s="55"/>
      <c r="E715" s="55"/>
    </row>
    <row r="716" spans="1:5" ht="13.2" x14ac:dyDescent="0.25">
      <c r="A716" s="55"/>
      <c r="B716" s="55"/>
      <c r="C716" s="55"/>
      <c r="D716" s="55"/>
      <c r="E716" s="55"/>
    </row>
    <row r="717" spans="1:5" ht="13.2" x14ac:dyDescent="0.25">
      <c r="A717" s="55"/>
      <c r="B717" s="55"/>
      <c r="C717" s="55"/>
      <c r="D717" s="55"/>
      <c r="E717" s="55"/>
    </row>
    <row r="718" spans="1:5" ht="13.2" x14ac:dyDescent="0.25">
      <c r="A718" s="55"/>
      <c r="B718" s="55"/>
      <c r="C718" s="55"/>
      <c r="D718" s="55"/>
      <c r="E718" s="55"/>
    </row>
    <row r="719" spans="1:5" ht="13.2" x14ac:dyDescent="0.25">
      <c r="A719" s="55"/>
      <c r="B719" s="55"/>
      <c r="C719" s="55"/>
      <c r="D719" s="55"/>
      <c r="E719" s="55"/>
    </row>
    <row r="720" spans="1:5" ht="13.2" x14ac:dyDescent="0.25">
      <c r="A720" s="55"/>
      <c r="B720" s="55"/>
      <c r="C720" s="55"/>
      <c r="D720" s="55"/>
      <c r="E720" s="55"/>
    </row>
    <row r="721" spans="1:5" ht="13.2" x14ac:dyDescent="0.25">
      <c r="A721" s="55"/>
      <c r="B721" s="55"/>
      <c r="C721" s="55"/>
      <c r="D721" s="55"/>
      <c r="E721" s="55"/>
    </row>
    <row r="722" spans="1:5" ht="13.2" x14ac:dyDescent="0.25">
      <c r="A722" s="55"/>
      <c r="B722" s="55"/>
      <c r="C722" s="55"/>
      <c r="D722" s="55"/>
      <c r="E722" s="55"/>
    </row>
    <row r="723" spans="1:5" ht="13.2" x14ac:dyDescent="0.25">
      <c r="A723" s="55"/>
      <c r="B723" s="55"/>
      <c r="C723" s="55"/>
      <c r="D723" s="55"/>
      <c r="E723" s="55"/>
    </row>
    <row r="724" spans="1:5" ht="13.2" x14ac:dyDescent="0.25">
      <c r="A724" s="55"/>
      <c r="B724" s="55"/>
      <c r="C724" s="55"/>
      <c r="D724" s="55"/>
      <c r="E724" s="55"/>
    </row>
    <row r="725" spans="1:5" ht="13.2" x14ac:dyDescent="0.25">
      <c r="A725" s="55"/>
      <c r="B725" s="55"/>
      <c r="C725" s="55"/>
      <c r="D725" s="55"/>
      <c r="E725" s="55"/>
    </row>
    <row r="726" spans="1:5" ht="13.2" x14ac:dyDescent="0.25">
      <c r="A726" s="55"/>
      <c r="B726" s="55"/>
      <c r="C726" s="55"/>
      <c r="D726" s="55"/>
      <c r="E726" s="55"/>
    </row>
    <row r="727" spans="1:5" ht="13.2" x14ac:dyDescent="0.25">
      <c r="A727" s="55"/>
      <c r="B727" s="55"/>
      <c r="C727" s="55"/>
      <c r="D727" s="55"/>
      <c r="E727" s="55"/>
    </row>
    <row r="728" spans="1:5" ht="13.2" x14ac:dyDescent="0.25">
      <c r="A728" s="55"/>
      <c r="B728" s="55"/>
      <c r="C728" s="55"/>
      <c r="D728" s="55"/>
      <c r="E728" s="55"/>
    </row>
    <row r="729" spans="1:5" ht="13.2" x14ac:dyDescent="0.25">
      <c r="A729" s="55"/>
      <c r="B729" s="55"/>
      <c r="C729" s="55"/>
      <c r="D729" s="55"/>
      <c r="E729" s="55"/>
    </row>
    <row r="730" spans="1:5" ht="13.2" x14ac:dyDescent="0.25">
      <c r="A730" s="55"/>
      <c r="B730" s="55"/>
      <c r="C730" s="55"/>
      <c r="D730" s="55"/>
      <c r="E730" s="55"/>
    </row>
    <row r="731" spans="1:5" ht="13.2" x14ac:dyDescent="0.25">
      <c r="A731" s="55"/>
      <c r="B731" s="55"/>
      <c r="C731" s="55"/>
      <c r="D731" s="55"/>
      <c r="E731" s="55"/>
    </row>
    <row r="732" spans="1:5" ht="13.2" x14ac:dyDescent="0.25">
      <c r="A732" s="55"/>
      <c r="B732" s="55"/>
      <c r="C732" s="55"/>
      <c r="D732" s="55"/>
      <c r="E732" s="55"/>
    </row>
    <row r="733" spans="1:5" ht="13.2" x14ac:dyDescent="0.25">
      <c r="A733" s="55"/>
      <c r="B733" s="55"/>
      <c r="C733" s="55"/>
      <c r="D733" s="55"/>
      <c r="E733" s="55"/>
    </row>
    <row r="734" spans="1:5" ht="13.2" x14ac:dyDescent="0.25">
      <c r="A734" s="55"/>
      <c r="B734" s="55"/>
      <c r="C734" s="55"/>
      <c r="D734" s="55"/>
      <c r="E734" s="55"/>
    </row>
    <row r="735" spans="1:5" ht="13.2" x14ac:dyDescent="0.25">
      <c r="A735" s="55"/>
      <c r="B735" s="55"/>
      <c r="C735" s="55"/>
      <c r="D735" s="55"/>
      <c r="E735" s="55"/>
    </row>
    <row r="736" spans="1:5" ht="13.2" x14ac:dyDescent="0.25">
      <c r="A736" s="55"/>
      <c r="B736" s="55"/>
      <c r="C736" s="55"/>
      <c r="D736" s="55"/>
      <c r="E736" s="55"/>
    </row>
    <row r="737" spans="1:5" ht="13.2" x14ac:dyDescent="0.25">
      <c r="A737" s="55"/>
      <c r="B737" s="55"/>
      <c r="C737" s="55"/>
      <c r="D737" s="55"/>
      <c r="E737" s="55"/>
    </row>
    <row r="738" spans="1:5" ht="13.2" x14ac:dyDescent="0.25">
      <c r="A738" s="55"/>
      <c r="B738" s="55"/>
      <c r="C738" s="55"/>
      <c r="D738" s="55"/>
      <c r="E738" s="55"/>
    </row>
    <row r="739" spans="1:5" ht="13.2" x14ac:dyDescent="0.25">
      <c r="A739" s="55"/>
      <c r="B739" s="55"/>
      <c r="C739" s="55"/>
      <c r="D739" s="55"/>
      <c r="E739" s="55"/>
    </row>
    <row r="740" spans="1:5" ht="13.2" x14ac:dyDescent="0.25">
      <c r="A740" s="55"/>
      <c r="B740" s="55"/>
      <c r="C740" s="55"/>
      <c r="D740" s="55"/>
      <c r="E740" s="55"/>
    </row>
    <row r="741" spans="1:5" ht="13.2" x14ac:dyDescent="0.25">
      <c r="A741" s="55"/>
      <c r="B741" s="55"/>
      <c r="C741" s="55"/>
      <c r="D741" s="55"/>
      <c r="E741" s="55"/>
    </row>
    <row r="742" spans="1:5" ht="13.2" x14ac:dyDescent="0.25">
      <c r="A742" s="55"/>
      <c r="B742" s="55"/>
      <c r="C742" s="55"/>
      <c r="D742" s="55"/>
      <c r="E742" s="55"/>
    </row>
    <row r="743" spans="1:5" ht="13.2" x14ac:dyDescent="0.25">
      <c r="A743" s="55"/>
      <c r="B743" s="55"/>
      <c r="C743" s="55"/>
      <c r="D743" s="55"/>
      <c r="E743" s="55"/>
    </row>
    <row r="744" spans="1:5" ht="13.2" x14ac:dyDescent="0.25">
      <c r="A744" s="55"/>
      <c r="B744" s="55"/>
      <c r="C744" s="55"/>
      <c r="D744" s="55"/>
      <c r="E744" s="55"/>
    </row>
    <row r="745" spans="1:5" ht="13.2" x14ac:dyDescent="0.25">
      <c r="A745" s="55"/>
      <c r="B745" s="55"/>
      <c r="C745" s="55"/>
      <c r="D745" s="55"/>
      <c r="E745" s="55"/>
    </row>
    <row r="746" spans="1:5" ht="13.2" x14ac:dyDescent="0.25">
      <c r="A746" s="55"/>
      <c r="B746" s="55"/>
      <c r="C746" s="55"/>
      <c r="D746" s="55"/>
      <c r="E746" s="55"/>
    </row>
    <row r="747" spans="1:5" ht="13.2" x14ac:dyDescent="0.25">
      <c r="A747" s="55"/>
      <c r="B747" s="55"/>
      <c r="C747" s="55"/>
      <c r="D747" s="55"/>
      <c r="E747" s="55"/>
    </row>
    <row r="748" spans="1:5" ht="13.2" x14ac:dyDescent="0.25">
      <c r="A748" s="55"/>
      <c r="B748" s="55"/>
      <c r="C748" s="55"/>
      <c r="D748" s="55"/>
      <c r="E748" s="55"/>
    </row>
    <row r="749" spans="1:5" ht="13.2" x14ac:dyDescent="0.25">
      <c r="A749" s="55"/>
      <c r="B749" s="55"/>
      <c r="C749" s="55"/>
      <c r="D749" s="55"/>
      <c r="E749" s="55"/>
    </row>
    <row r="750" spans="1:5" ht="13.2" x14ac:dyDescent="0.25">
      <c r="A750" s="55"/>
      <c r="B750" s="55"/>
      <c r="C750" s="55"/>
      <c r="D750" s="55"/>
      <c r="E750" s="55"/>
    </row>
    <row r="751" spans="1:5" ht="13.2" x14ac:dyDescent="0.25">
      <c r="A751" s="55"/>
      <c r="B751" s="55"/>
      <c r="C751" s="55"/>
      <c r="D751" s="55"/>
      <c r="E751" s="55"/>
    </row>
    <row r="752" spans="1:5" ht="13.2" x14ac:dyDescent="0.25">
      <c r="A752" s="55"/>
      <c r="B752" s="55"/>
      <c r="C752" s="55"/>
      <c r="D752" s="55"/>
      <c r="E752" s="55"/>
    </row>
    <row r="753" spans="1:5" ht="13.2" x14ac:dyDescent="0.25">
      <c r="A753" s="55"/>
      <c r="B753" s="55"/>
      <c r="C753" s="55"/>
      <c r="D753" s="55"/>
      <c r="E753" s="55"/>
    </row>
    <row r="754" spans="1:5" ht="13.2" x14ac:dyDescent="0.25">
      <c r="A754" s="55"/>
      <c r="B754" s="55"/>
      <c r="C754" s="55"/>
      <c r="D754" s="55"/>
      <c r="E754" s="55"/>
    </row>
    <row r="755" spans="1:5" ht="13.2" x14ac:dyDescent="0.25">
      <c r="A755" s="55"/>
      <c r="B755" s="55"/>
      <c r="C755" s="55"/>
      <c r="D755" s="55"/>
      <c r="E755" s="55"/>
    </row>
    <row r="756" spans="1:5" ht="13.2" x14ac:dyDescent="0.25">
      <c r="A756" s="55"/>
      <c r="B756" s="55"/>
      <c r="C756" s="55"/>
      <c r="D756" s="55"/>
      <c r="E756" s="55"/>
    </row>
    <row r="757" spans="1:5" ht="13.2" x14ac:dyDescent="0.25">
      <c r="A757" s="55"/>
      <c r="B757" s="55"/>
      <c r="C757" s="55"/>
      <c r="D757" s="55"/>
      <c r="E757" s="55"/>
    </row>
    <row r="758" spans="1:5" ht="13.2" x14ac:dyDescent="0.25">
      <c r="A758" s="55"/>
      <c r="B758" s="55"/>
      <c r="C758" s="55"/>
      <c r="D758" s="55"/>
      <c r="E758" s="55"/>
    </row>
    <row r="759" spans="1:5" ht="13.2" x14ac:dyDescent="0.25">
      <c r="A759" s="55"/>
      <c r="B759" s="55"/>
      <c r="C759" s="55"/>
      <c r="D759" s="55"/>
      <c r="E759" s="55"/>
    </row>
    <row r="760" spans="1:5" ht="13.2" x14ac:dyDescent="0.25">
      <c r="A760" s="55"/>
      <c r="B760" s="55"/>
      <c r="C760" s="55"/>
      <c r="D760" s="55"/>
      <c r="E760" s="55"/>
    </row>
    <row r="761" spans="1:5" ht="13.2" x14ac:dyDescent="0.25">
      <c r="A761" s="55"/>
      <c r="B761" s="55"/>
      <c r="C761" s="55"/>
      <c r="D761" s="55"/>
      <c r="E761" s="55"/>
    </row>
    <row r="762" spans="1:5" ht="13.2" x14ac:dyDescent="0.25">
      <c r="A762" s="55"/>
      <c r="B762" s="55"/>
      <c r="C762" s="55"/>
      <c r="D762" s="55"/>
      <c r="E762" s="55"/>
    </row>
    <row r="763" spans="1:5" ht="13.2" x14ac:dyDescent="0.25">
      <c r="A763" s="55"/>
      <c r="B763" s="55"/>
      <c r="C763" s="55"/>
      <c r="D763" s="55"/>
      <c r="E763" s="55"/>
    </row>
    <row r="764" spans="1:5" ht="13.2" x14ac:dyDescent="0.25">
      <c r="A764" s="55"/>
      <c r="B764" s="55"/>
      <c r="C764" s="55"/>
      <c r="D764" s="55"/>
      <c r="E764" s="55"/>
    </row>
    <row r="765" spans="1:5" ht="13.2" x14ac:dyDescent="0.25">
      <c r="A765" s="55"/>
      <c r="B765" s="55"/>
      <c r="C765" s="55"/>
      <c r="D765" s="55"/>
      <c r="E765" s="55"/>
    </row>
    <row r="766" spans="1:5" ht="13.2" x14ac:dyDescent="0.25">
      <c r="A766" s="55"/>
      <c r="B766" s="55"/>
      <c r="C766" s="55"/>
      <c r="D766" s="55"/>
      <c r="E766" s="55"/>
    </row>
    <row r="767" spans="1:5" ht="13.2" x14ac:dyDescent="0.25">
      <c r="A767" s="55"/>
      <c r="B767" s="55"/>
      <c r="C767" s="55"/>
      <c r="D767" s="55"/>
      <c r="E767" s="55"/>
    </row>
    <row r="768" spans="1:5" ht="13.2" x14ac:dyDescent="0.25">
      <c r="A768" s="55"/>
      <c r="B768" s="55"/>
      <c r="C768" s="55"/>
      <c r="D768" s="55"/>
      <c r="E768" s="55"/>
    </row>
    <row r="769" spans="1:5" ht="13.2" x14ac:dyDescent="0.25">
      <c r="A769" s="55"/>
      <c r="B769" s="55"/>
      <c r="C769" s="55"/>
      <c r="D769" s="55"/>
      <c r="E769" s="55"/>
    </row>
    <row r="770" spans="1:5" ht="13.2" x14ac:dyDescent="0.25">
      <c r="A770" s="55"/>
      <c r="B770" s="55"/>
      <c r="C770" s="55"/>
      <c r="D770" s="55"/>
      <c r="E770" s="55"/>
    </row>
    <row r="771" spans="1:5" ht="13.2" x14ac:dyDescent="0.25">
      <c r="A771" s="55"/>
      <c r="B771" s="55"/>
      <c r="C771" s="55"/>
      <c r="D771" s="55"/>
      <c r="E771" s="55"/>
    </row>
    <row r="772" spans="1:5" ht="13.2" x14ac:dyDescent="0.25">
      <c r="A772" s="55"/>
      <c r="B772" s="55"/>
      <c r="C772" s="55"/>
      <c r="D772" s="55"/>
      <c r="E772" s="55"/>
    </row>
    <row r="773" spans="1:5" ht="13.2" x14ac:dyDescent="0.25">
      <c r="A773" s="55"/>
      <c r="B773" s="55"/>
      <c r="C773" s="55"/>
      <c r="D773" s="55"/>
      <c r="E773" s="55"/>
    </row>
    <row r="774" spans="1:5" ht="13.2" x14ac:dyDescent="0.25">
      <c r="A774" s="55"/>
      <c r="B774" s="55"/>
      <c r="C774" s="55"/>
      <c r="D774" s="55"/>
      <c r="E774" s="55"/>
    </row>
    <row r="775" spans="1:5" ht="13.2" x14ac:dyDescent="0.25">
      <c r="A775" s="55"/>
      <c r="B775" s="55"/>
      <c r="C775" s="55"/>
      <c r="D775" s="55"/>
      <c r="E775" s="55"/>
    </row>
    <row r="776" spans="1:5" ht="13.2" x14ac:dyDescent="0.25">
      <c r="A776" s="55"/>
      <c r="B776" s="55"/>
      <c r="C776" s="55"/>
      <c r="D776" s="55"/>
      <c r="E776" s="55"/>
    </row>
    <row r="777" spans="1:5" ht="13.2" x14ac:dyDescent="0.25">
      <c r="A777" s="55"/>
      <c r="B777" s="55"/>
      <c r="C777" s="55"/>
      <c r="D777" s="55"/>
      <c r="E777" s="55"/>
    </row>
    <row r="778" spans="1:5" ht="13.2" x14ac:dyDescent="0.25">
      <c r="A778" s="55"/>
      <c r="B778" s="55"/>
      <c r="C778" s="55"/>
      <c r="D778" s="55"/>
      <c r="E778" s="55"/>
    </row>
    <row r="779" spans="1:5" ht="13.2" x14ac:dyDescent="0.25">
      <c r="A779" s="55"/>
      <c r="B779" s="55"/>
      <c r="C779" s="55"/>
      <c r="D779" s="55"/>
      <c r="E779" s="55"/>
    </row>
    <row r="780" spans="1:5" ht="13.2" x14ac:dyDescent="0.25">
      <c r="A780" s="55"/>
      <c r="B780" s="55"/>
      <c r="C780" s="55"/>
      <c r="D780" s="55"/>
      <c r="E780" s="55"/>
    </row>
    <row r="781" spans="1:5" ht="13.2" x14ac:dyDescent="0.25">
      <c r="A781" s="55"/>
      <c r="B781" s="55"/>
      <c r="C781" s="55"/>
      <c r="D781" s="55"/>
      <c r="E781" s="55"/>
    </row>
    <row r="782" spans="1:5" ht="13.2" x14ac:dyDescent="0.25">
      <c r="A782" s="55"/>
      <c r="B782" s="55"/>
      <c r="C782" s="55"/>
      <c r="D782" s="55"/>
      <c r="E782" s="55"/>
    </row>
    <row r="783" spans="1:5" ht="13.2" x14ac:dyDescent="0.25">
      <c r="A783" s="55"/>
      <c r="B783" s="55"/>
      <c r="C783" s="55"/>
      <c r="D783" s="55"/>
      <c r="E783" s="55"/>
    </row>
    <row r="784" spans="1:5" ht="13.2" x14ac:dyDescent="0.25">
      <c r="A784" s="55"/>
      <c r="B784" s="55"/>
      <c r="C784" s="55"/>
      <c r="D784" s="55"/>
      <c r="E784" s="55"/>
    </row>
    <row r="785" spans="1:5" ht="13.2" x14ac:dyDescent="0.25">
      <c r="A785" s="55"/>
      <c r="B785" s="55"/>
      <c r="C785" s="55"/>
      <c r="D785" s="55"/>
      <c r="E785" s="55"/>
    </row>
    <row r="786" spans="1:5" ht="13.2" x14ac:dyDescent="0.25">
      <c r="A786" s="55"/>
      <c r="B786" s="55"/>
      <c r="C786" s="55"/>
      <c r="D786" s="55"/>
      <c r="E786" s="55"/>
    </row>
    <row r="787" spans="1:5" ht="13.2" x14ac:dyDescent="0.25">
      <c r="A787" s="55"/>
      <c r="B787" s="55"/>
      <c r="C787" s="55"/>
      <c r="D787" s="55"/>
      <c r="E787" s="55"/>
    </row>
    <row r="788" spans="1:5" ht="13.2" x14ac:dyDescent="0.25">
      <c r="A788" s="55"/>
      <c r="B788" s="55"/>
      <c r="C788" s="55"/>
      <c r="D788" s="55"/>
      <c r="E788" s="55"/>
    </row>
    <row r="789" spans="1:5" ht="13.2" x14ac:dyDescent="0.25">
      <c r="A789" s="55"/>
      <c r="B789" s="55"/>
      <c r="C789" s="55"/>
      <c r="D789" s="55"/>
      <c r="E789" s="55"/>
    </row>
    <row r="790" spans="1:5" ht="13.2" x14ac:dyDescent="0.25">
      <c r="A790" s="55"/>
      <c r="B790" s="55"/>
      <c r="C790" s="55"/>
      <c r="D790" s="55"/>
      <c r="E790" s="55"/>
    </row>
    <row r="791" spans="1:5" ht="13.2" x14ac:dyDescent="0.25">
      <c r="A791" s="55"/>
      <c r="B791" s="55"/>
      <c r="C791" s="55"/>
      <c r="D791" s="55"/>
      <c r="E791" s="55"/>
    </row>
    <row r="792" spans="1:5" ht="13.2" x14ac:dyDescent="0.25">
      <c r="A792" s="55"/>
      <c r="B792" s="55"/>
      <c r="C792" s="55"/>
      <c r="D792" s="55"/>
      <c r="E792" s="55"/>
    </row>
    <row r="793" spans="1:5" ht="13.2" x14ac:dyDescent="0.25">
      <c r="A793" s="55"/>
      <c r="B793" s="55"/>
      <c r="C793" s="55"/>
      <c r="D793" s="55"/>
      <c r="E793" s="55"/>
    </row>
    <row r="794" spans="1:5" ht="13.2" x14ac:dyDescent="0.25">
      <c r="A794" s="55"/>
      <c r="B794" s="55"/>
      <c r="C794" s="55"/>
      <c r="D794" s="55"/>
      <c r="E794" s="55"/>
    </row>
    <row r="795" spans="1:5" ht="13.2" x14ac:dyDescent="0.25">
      <c r="A795" s="55"/>
      <c r="B795" s="55"/>
      <c r="C795" s="55"/>
      <c r="D795" s="55"/>
      <c r="E795" s="55"/>
    </row>
    <row r="796" spans="1:5" ht="13.2" x14ac:dyDescent="0.25">
      <c r="A796" s="55"/>
      <c r="B796" s="55"/>
      <c r="C796" s="55"/>
      <c r="D796" s="55"/>
      <c r="E796" s="55"/>
    </row>
    <row r="797" spans="1:5" ht="13.2" x14ac:dyDescent="0.25">
      <c r="A797" s="55"/>
      <c r="B797" s="55"/>
      <c r="C797" s="55"/>
      <c r="D797" s="55"/>
      <c r="E797" s="55"/>
    </row>
    <row r="798" spans="1:5" ht="13.2" x14ac:dyDescent="0.25">
      <c r="A798" s="55"/>
      <c r="B798" s="55"/>
      <c r="C798" s="55"/>
      <c r="D798" s="55"/>
      <c r="E798" s="55"/>
    </row>
    <row r="799" spans="1:5" ht="13.2" x14ac:dyDescent="0.25">
      <c r="A799" s="55"/>
      <c r="B799" s="55"/>
      <c r="C799" s="55"/>
      <c r="D799" s="55"/>
      <c r="E799" s="55"/>
    </row>
    <row r="800" spans="1:5" ht="13.2" x14ac:dyDescent="0.25">
      <c r="A800" s="55"/>
      <c r="B800" s="55"/>
      <c r="C800" s="55"/>
      <c r="D800" s="55"/>
      <c r="E800" s="55"/>
    </row>
    <row r="801" spans="1:5" ht="13.2" x14ac:dyDescent="0.25">
      <c r="A801" s="55"/>
      <c r="B801" s="55"/>
      <c r="C801" s="55"/>
      <c r="D801" s="55"/>
      <c r="E801" s="55"/>
    </row>
    <row r="802" spans="1:5" ht="13.2" x14ac:dyDescent="0.25">
      <c r="A802" s="55"/>
      <c r="B802" s="55"/>
      <c r="C802" s="55"/>
      <c r="D802" s="55"/>
      <c r="E802" s="55"/>
    </row>
    <row r="803" spans="1:5" ht="13.2" x14ac:dyDescent="0.25">
      <c r="A803" s="55"/>
      <c r="B803" s="55"/>
      <c r="C803" s="55"/>
      <c r="D803" s="55"/>
      <c r="E803" s="55"/>
    </row>
    <row r="804" spans="1:5" ht="13.2" x14ac:dyDescent="0.25">
      <c r="A804" s="55"/>
      <c r="B804" s="55"/>
      <c r="C804" s="55"/>
      <c r="D804" s="55"/>
      <c r="E804" s="55"/>
    </row>
    <row r="805" spans="1:5" ht="13.2" x14ac:dyDescent="0.25">
      <c r="A805" s="55"/>
      <c r="B805" s="55"/>
      <c r="C805" s="55"/>
      <c r="D805" s="55"/>
      <c r="E805" s="55"/>
    </row>
    <row r="806" spans="1:5" ht="13.2" x14ac:dyDescent="0.25">
      <c r="A806" s="55"/>
      <c r="B806" s="55"/>
      <c r="C806" s="55"/>
      <c r="D806" s="55"/>
      <c r="E806" s="55"/>
    </row>
    <row r="807" spans="1:5" ht="13.2" x14ac:dyDescent="0.25">
      <c r="A807" s="55"/>
      <c r="B807" s="55"/>
      <c r="C807" s="55"/>
      <c r="D807" s="55"/>
      <c r="E807" s="55"/>
    </row>
    <row r="808" spans="1:5" ht="13.2" x14ac:dyDescent="0.25">
      <c r="A808" s="55"/>
      <c r="B808" s="55"/>
      <c r="C808" s="55"/>
      <c r="D808" s="55"/>
      <c r="E808" s="55"/>
    </row>
    <row r="809" spans="1:5" ht="13.2" x14ac:dyDescent="0.25">
      <c r="A809" s="55"/>
      <c r="B809" s="55"/>
      <c r="C809" s="55"/>
      <c r="D809" s="55"/>
      <c r="E809" s="55"/>
    </row>
    <row r="810" spans="1:5" ht="13.2" x14ac:dyDescent="0.25">
      <c r="A810" s="55"/>
      <c r="B810" s="55"/>
      <c r="C810" s="55"/>
      <c r="D810" s="55"/>
      <c r="E810" s="55"/>
    </row>
    <row r="811" spans="1:5" ht="13.2" x14ac:dyDescent="0.25">
      <c r="A811" s="55"/>
      <c r="B811" s="55"/>
      <c r="C811" s="55"/>
      <c r="D811" s="55"/>
      <c r="E811" s="55"/>
    </row>
    <row r="812" spans="1:5" ht="13.2" x14ac:dyDescent="0.25">
      <c r="A812" s="55"/>
      <c r="B812" s="55"/>
      <c r="C812" s="55"/>
      <c r="D812" s="55"/>
      <c r="E812" s="55"/>
    </row>
    <row r="813" spans="1:5" ht="13.2" x14ac:dyDescent="0.25">
      <c r="A813" s="55"/>
      <c r="B813" s="55"/>
      <c r="C813" s="55"/>
      <c r="D813" s="55"/>
      <c r="E813" s="55"/>
    </row>
    <row r="814" spans="1:5" ht="13.2" x14ac:dyDescent="0.25">
      <c r="A814" s="55"/>
      <c r="B814" s="55"/>
      <c r="C814" s="55"/>
      <c r="D814" s="55"/>
      <c r="E814" s="55"/>
    </row>
    <row r="815" spans="1:5" ht="13.2" x14ac:dyDescent="0.25">
      <c r="A815" s="55"/>
      <c r="B815" s="55"/>
      <c r="C815" s="55"/>
      <c r="D815" s="55"/>
      <c r="E815" s="55"/>
    </row>
    <row r="816" spans="1:5" ht="13.2" x14ac:dyDescent="0.25">
      <c r="A816" s="55"/>
      <c r="B816" s="55"/>
      <c r="C816" s="55"/>
      <c r="D816" s="55"/>
      <c r="E816" s="55"/>
    </row>
    <row r="817" spans="1:5" ht="13.2" x14ac:dyDescent="0.25">
      <c r="A817" s="55"/>
      <c r="B817" s="55"/>
      <c r="C817" s="55"/>
      <c r="D817" s="55"/>
      <c r="E817" s="55"/>
    </row>
    <row r="818" spans="1:5" ht="13.2" x14ac:dyDescent="0.25">
      <c r="A818" s="55"/>
      <c r="B818" s="55"/>
      <c r="C818" s="55"/>
      <c r="D818" s="55"/>
      <c r="E818" s="55"/>
    </row>
    <row r="819" spans="1:5" ht="13.2" x14ac:dyDescent="0.25">
      <c r="A819" s="55"/>
      <c r="B819" s="55"/>
      <c r="C819" s="55"/>
      <c r="D819" s="55"/>
      <c r="E819" s="55"/>
    </row>
    <row r="820" spans="1:5" ht="13.2" x14ac:dyDescent="0.25">
      <c r="A820" s="55"/>
      <c r="B820" s="55"/>
      <c r="C820" s="55"/>
      <c r="D820" s="55"/>
      <c r="E820" s="55"/>
    </row>
    <row r="821" spans="1:5" ht="13.2" x14ac:dyDescent="0.25">
      <c r="A821" s="55"/>
      <c r="B821" s="55"/>
      <c r="C821" s="55"/>
      <c r="D821" s="55"/>
      <c r="E821" s="55"/>
    </row>
    <row r="822" spans="1:5" ht="13.2" x14ac:dyDescent="0.25">
      <c r="A822" s="55"/>
      <c r="B822" s="55"/>
      <c r="C822" s="55"/>
      <c r="D822" s="55"/>
      <c r="E822" s="55"/>
    </row>
    <row r="823" spans="1:5" ht="13.2" x14ac:dyDescent="0.25">
      <c r="A823" s="55"/>
      <c r="B823" s="55"/>
      <c r="C823" s="55"/>
      <c r="D823" s="55"/>
      <c r="E823" s="55"/>
    </row>
    <row r="824" spans="1:5" ht="13.2" x14ac:dyDescent="0.25">
      <c r="A824" s="55"/>
      <c r="B824" s="55"/>
      <c r="C824" s="55"/>
      <c r="D824" s="55"/>
      <c r="E824" s="55"/>
    </row>
    <row r="825" spans="1:5" ht="13.2" x14ac:dyDescent="0.25">
      <c r="A825" s="55"/>
      <c r="B825" s="55"/>
      <c r="C825" s="55"/>
      <c r="D825" s="55"/>
      <c r="E825" s="55"/>
    </row>
    <row r="826" spans="1:5" ht="13.2" x14ac:dyDescent="0.25">
      <c r="A826" s="55"/>
      <c r="B826" s="55"/>
      <c r="C826" s="55"/>
      <c r="D826" s="55"/>
      <c r="E826" s="55"/>
    </row>
    <row r="827" spans="1:5" ht="13.2" x14ac:dyDescent="0.25">
      <c r="A827" s="55"/>
      <c r="B827" s="55"/>
      <c r="C827" s="55"/>
      <c r="D827" s="55"/>
      <c r="E827" s="55"/>
    </row>
    <row r="828" spans="1:5" ht="13.2" x14ac:dyDescent="0.25">
      <c r="A828" s="55"/>
      <c r="B828" s="55"/>
      <c r="C828" s="55"/>
      <c r="D828" s="55"/>
      <c r="E828" s="55"/>
    </row>
    <row r="829" spans="1:5" ht="13.2" x14ac:dyDescent="0.25">
      <c r="A829" s="55"/>
      <c r="B829" s="55"/>
      <c r="C829" s="55"/>
      <c r="D829" s="55"/>
      <c r="E829" s="55"/>
    </row>
    <row r="830" spans="1:5" ht="13.2" x14ac:dyDescent="0.25">
      <c r="A830" s="55"/>
      <c r="B830" s="55"/>
      <c r="C830" s="55"/>
      <c r="D830" s="55"/>
      <c r="E830" s="55"/>
    </row>
    <row r="831" spans="1:5" ht="13.2" x14ac:dyDescent="0.25">
      <c r="A831" s="55"/>
      <c r="B831" s="55"/>
      <c r="C831" s="55"/>
      <c r="D831" s="55"/>
      <c r="E831" s="55"/>
    </row>
    <row r="832" spans="1:5" ht="13.2" x14ac:dyDescent="0.25">
      <c r="A832" s="55"/>
      <c r="B832" s="55"/>
      <c r="C832" s="55"/>
      <c r="D832" s="55"/>
      <c r="E832" s="55"/>
    </row>
    <row r="833" spans="1:5" ht="13.2" x14ac:dyDescent="0.25">
      <c r="A833" s="55"/>
      <c r="B833" s="55"/>
      <c r="C833" s="55"/>
      <c r="D833" s="55"/>
      <c r="E833" s="55"/>
    </row>
    <row r="834" spans="1:5" ht="13.2" x14ac:dyDescent="0.25">
      <c r="A834" s="55"/>
      <c r="B834" s="55"/>
      <c r="C834" s="55"/>
      <c r="D834" s="55"/>
      <c r="E834" s="55"/>
    </row>
    <row r="835" spans="1:5" ht="13.2" x14ac:dyDescent="0.25">
      <c r="A835" s="55"/>
      <c r="B835" s="55"/>
      <c r="C835" s="55"/>
      <c r="D835" s="55"/>
      <c r="E835" s="55"/>
    </row>
    <row r="836" spans="1:5" ht="13.2" x14ac:dyDescent="0.25">
      <c r="A836" s="55"/>
      <c r="B836" s="55"/>
      <c r="C836" s="55"/>
      <c r="D836" s="55"/>
      <c r="E836" s="55"/>
    </row>
    <row r="837" spans="1:5" ht="13.2" x14ac:dyDescent="0.25">
      <c r="A837" s="55"/>
      <c r="B837" s="55"/>
      <c r="C837" s="55"/>
      <c r="D837" s="55"/>
      <c r="E837" s="55"/>
    </row>
    <row r="838" spans="1:5" ht="13.2" x14ac:dyDescent="0.25">
      <c r="A838" s="55"/>
      <c r="B838" s="55"/>
      <c r="C838" s="55"/>
      <c r="D838" s="55"/>
      <c r="E838" s="55"/>
    </row>
    <row r="839" spans="1:5" ht="13.2" x14ac:dyDescent="0.25">
      <c r="A839" s="55"/>
      <c r="B839" s="55"/>
      <c r="C839" s="55"/>
      <c r="D839" s="55"/>
      <c r="E839" s="55"/>
    </row>
    <row r="840" spans="1:5" ht="13.2" x14ac:dyDescent="0.25">
      <c r="A840" s="55"/>
      <c r="B840" s="55"/>
      <c r="C840" s="55"/>
      <c r="D840" s="55"/>
      <c r="E840" s="55"/>
    </row>
    <row r="841" spans="1:5" ht="13.2" x14ac:dyDescent="0.25">
      <c r="A841" s="55"/>
      <c r="B841" s="55"/>
      <c r="C841" s="55"/>
      <c r="D841" s="55"/>
      <c r="E841" s="55"/>
    </row>
    <row r="842" spans="1:5" ht="13.2" x14ac:dyDescent="0.25">
      <c r="A842" s="55"/>
      <c r="B842" s="55"/>
      <c r="C842" s="55"/>
      <c r="D842" s="55"/>
      <c r="E842" s="55"/>
    </row>
    <row r="843" spans="1:5" ht="13.2" x14ac:dyDescent="0.25">
      <c r="A843" s="55"/>
      <c r="B843" s="55"/>
      <c r="C843" s="55"/>
      <c r="D843" s="55"/>
      <c r="E843" s="55"/>
    </row>
    <row r="844" spans="1:5" ht="13.2" x14ac:dyDescent="0.25">
      <c r="A844" s="55"/>
      <c r="B844" s="55"/>
      <c r="C844" s="55"/>
      <c r="D844" s="55"/>
      <c r="E844" s="55"/>
    </row>
    <row r="845" spans="1:5" ht="13.2" x14ac:dyDescent="0.25">
      <c r="A845" s="55"/>
      <c r="B845" s="55"/>
      <c r="C845" s="55"/>
      <c r="D845" s="55"/>
      <c r="E845" s="55"/>
    </row>
    <row r="846" spans="1:5" ht="13.2" x14ac:dyDescent="0.25">
      <c r="A846" s="55"/>
      <c r="B846" s="55"/>
      <c r="C846" s="55"/>
      <c r="D846" s="55"/>
      <c r="E846" s="55"/>
    </row>
    <row r="847" spans="1:5" ht="13.2" x14ac:dyDescent="0.25">
      <c r="A847" s="55"/>
      <c r="B847" s="55"/>
      <c r="C847" s="55"/>
      <c r="D847" s="55"/>
      <c r="E847" s="55"/>
    </row>
    <row r="848" spans="1:5" ht="13.2" x14ac:dyDescent="0.25">
      <c r="A848" s="55"/>
      <c r="B848" s="55"/>
      <c r="C848" s="55"/>
      <c r="D848" s="55"/>
      <c r="E848" s="55"/>
    </row>
    <row r="849" spans="1:5" ht="13.2" x14ac:dyDescent="0.25">
      <c r="A849" s="55"/>
      <c r="B849" s="55"/>
      <c r="C849" s="55"/>
      <c r="D849" s="55"/>
      <c r="E849" s="55"/>
    </row>
    <row r="850" spans="1:5" ht="13.2" x14ac:dyDescent="0.25">
      <c r="A850" s="55"/>
      <c r="B850" s="55"/>
      <c r="C850" s="55"/>
      <c r="D850" s="55"/>
      <c r="E850" s="55"/>
    </row>
    <row r="851" spans="1:5" ht="13.2" x14ac:dyDescent="0.25">
      <c r="A851" s="55"/>
      <c r="B851" s="55"/>
      <c r="C851" s="55"/>
      <c r="D851" s="55"/>
      <c r="E851" s="55"/>
    </row>
    <row r="852" spans="1:5" ht="13.2" x14ac:dyDescent="0.25">
      <c r="A852" s="55"/>
      <c r="B852" s="55"/>
      <c r="C852" s="55"/>
      <c r="D852" s="55"/>
      <c r="E852" s="55"/>
    </row>
    <row r="853" spans="1:5" ht="13.2" x14ac:dyDescent="0.25">
      <c r="A853" s="55"/>
      <c r="B853" s="55"/>
      <c r="C853" s="55"/>
      <c r="D853" s="55"/>
      <c r="E853" s="55"/>
    </row>
    <row r="854" spans="1:5" ht="13.2" x14ac:dyDescent="0.25">
      <c r="A854" s="55"/>
      <c r="B854" s="55"/>
      <c r="C854" s="55"/>
      <c r="D854" s="55"/>
      <c r="E854" s="55"/>
    </row>
    <row r="855" spans="1:5" ht="13.2" x14ac:dyDescent="0.25">
      <c r="A855" s="55"/>
      <c r="B855" s="55"/>
      <c r="C855" s="55"/>
      <c r="D855" s="55"/>
      <c r="E855" s="55"/>
    </row>
    <row r="856" spans="1:5" ht="13.2" x14ac:dyDescent="0.25">
      <c r="A856" s="55"/>
      <c r="B856" s="55"/>
      <c r="C856" s="55"/>
      <c r="D856" s="55"/>
      <c r="E856" s="55"/>
    </row>
    <row r="857" spans="1:5" ht="13.2" x14ac:dyDescent="0.25">
      <c r="A857" s="55"/>
      <c r="B857" s="55"/>
      <c r="C857" s="55"/>
      <c r="D857" s="55"/>
      <c r="E857" s="55"/>
    </row>
    <row r="858" spans="1:5" ht="13.2" x14ac:dyDescent="0.25">
      <c r="A858" s="55"/>
      <c r="B858" s="55"/>
      <c r="C858" s="55"/>
      <c r="D858" s="55"/>
      <c r="E858" s="55"/>
    </row>
    <row r="859" spans="1:5" ht="13.2" x14ac:dyDescent="0.25">
      <c r="A859" s="55"/>
      <c r="B859" s="55"/>
      <c r="C859" s="55"/>
      <c r="D859" s="55"/>
      <c r="E859" s="55"/>
    </row>
    <row r="860" spans="1:5" ht="13.2" x14ac:dyDescent="0.25">
      <c r="A860" s="55"/>
      <c r="B860" s="55"/>
      <c r="C860" s="55"/>
      <c r="D860" s="55"/>
      <c r="E860" s="55"/>
    </row>
    <row r="861" spans="1:5" ht="13.2" x14ac:dyDescent="0.25">
      <c r="A861" s="55"/>
      <c r="B861" s="55"/>
      <c r="C861" s="55"/>
      <c r="D861" s="55"/>
      <c r="E861" s="55"/>
    </row>
    <row r="862" spans="1:5" ht="13.2" x14ac:dyDescent="0.25">
      <c r="A862" s="55"/>
      <c r="B862" s="55"/>
      <c r="C862" s="55"/>
      <c r="D862" s="55"/>
      <c r="E862" s="55"/>
    </row>
    <row r="863" spans="1:5" ht="13.2" x14ac:dyDescent="0.25">
      <c r="A863" s="55"/>
      <c r="B863" s="55"/>
      <c r="C863" s="55"/>
      <c r="D863" s="55"/>
      <c r="E863" s="55"/>
    </row>
    <row r="864" spans="1:5" ht="13.2" x14ac:dyDescent="0.25">
      <c r="A864" s="55"/>
      <c r="B864" s="55"/>
      <c r="C864" s="55"/>
      <c r="D864" s="55"/>
      <c r="E864" s="55"/>
    </row>
    <row r="865" spans="1:5" ht="13.2" x14ac:dyDescent="0.25">
      <c r="A865" s="55"/>
      <c r="B865" s="55"/>
      <c r="C865" s="55"/>
      <c r="D865" s="55"/>
      <c r="E865" s="55"/>
    </row>
    <row r="866" spans="1:5" ht="13.2" x14ac:dyDescent="0.25">
      <c r="A866" s="55"/>
      <c r="B866" s="55"/>
      <c r="C866" s="55"/>
      <c r="D866" s="55"/>
      <c r="E866" s="55"/>
    </row>
    <row r="867" spans="1:5" ht="13.2" x14ac:dyDescent="0.25">
      <c r="A867" s="55"/>
      <c r="B867" s="55"/>
      <c r="C867" s="55"/>
      <c r="D867" s="55"/>
      <c r="E867" s="55"/>
    </row>
    <row r="868" spans="1:5" ht="13.2" x14ac:dyDescent="0.25">
      <c r="A868" s="55"/>
      <c r="B868" s="55"/>
      <c r="C868" s="55"/>
      <c r="D868" s="55"/>
      <c r="E868" s="55"/>
    </row>
    <row r="869" spans="1:5" ht="13.2" x14ac:dyDescent="0.25">
      <c r="A869" s="55"/>
      <c r="B869" s="55"/>
      <c r="C869" s="55"/>
      <c r="D869" s="55"/>
      <c r="E869" s="55"/>
    </row>
    <row r="870" spans="1:5" ht="13.2" x14ac:dyDescent="0.25">
      <c r="A870" s="55"/>
      <c r="B870" s="55"/>
      <c r="C870" s="55"/>
      <c r="D870" s="55"/>
      <c r="E870" s="55"/>
    </row>
    <row r="871" spans="1:5" ht="13.2" x14ac:dyDescent="0.25">
      <c r="A871" s="55"/>
      <c r="B871" s="55"/>
      <c r="C871" s="55"/>
      <c r="D871" s="55"/>
      <c r="E871" s="55"/>
    </row>
    <row r="872" spans="1:5" ht="13.2" x14ac:dyDescent="0.25">
      <c r="A872" s="55"/>
      <c r="B872" s="55"/>
      <c r="C872" s="55"/>
      <c r="D872" s="55"/>
      <c r="E872" s="55"/>
    </row>
    <row r="873" spans="1:5" ht="13.2" x14ac:dyDescent="0.25">
      <c r="A873" s="55"/>
      <c r="B873" s="55"/>
      <c r="C873" s="55"/>
      <c r="D873" s="55"/>
      <c r="E873" s="55"/>
    </row>
    <row r="874" spans="1:5" ht="13.2" x14ac:dyDescent="0.25">
      <c r="A874" s="55"/>
      <c r="B874" s="55"/>
      <c r="C874" s="55"/>
      <c r="D874" s="55"/>
      <c r="E874" s="55"/>
    </row>
    <row r="875" spans="1:5" ht="13.2" x14ac:dyDescent="0.25">
      <c r="A875" s="55"/>
      <c r="B875" s="55"/>
      <c r="C875" s="55"/>
      <c r="D875" s="55"/>
      <c r="E875" s="55"/>
    </row>
    <row r="876" spans="1:5" ht="13.2" x14ac:dyDescent="0.25">
      <c r="A876" s="55"/>
      <c r="B876" s="55"/>
      <c r="C876" s="55"/>
      <c r="D876" s="55"/>
      <c r="E876" s="55"/>
    </row>
    <row r="877" spans="1:5" ht="13.2" x14ac:dyDescent="0.25">
      <c r="A877" s="55"/>
      <c r="B877" s="55"/>
      <c r="C877" s="55"/>
      <c r="D877" s="55"/>
      <c r="E877" s="55"/>
    </row>
    <row r="878" spans="1:5" ht="13.2" x14ac:dyDescent="0.25">
      <c r="A878" s="55"/>
      <c r="B878" s="55"/>
      <c r="C878" s="55"/>
      <c r="D878" s="55"/>
      <c r="E878" s="55"/>
    </row>
    <row r="879" spans="1:5" ht="13.2" x14ac:dyDescent="0.25">
      <c r="A879" s="55"/>
      <c r="B879" s="55"/>
      <c r="C879" s="55"/>
      <c r="D879" s="55"/>
      <c r="E879" s="55"/>
    </row>
    <row r="880" spans="1:5" ht="13.2" x14ac:dyDescent="0.25">
      <c r="A880" s="55"/>
      <c r="B880" s="55"/>
      <c r="C880" s="55"/>
      <c r="D880" s="55"/>
      <c r="E880" s="55"/>
    </row>
    <row r="881" spans="1:5" ht="13.2" x14ac:dyDescent="0.25">
      <c r="A881" s="55"/>
      <c r="B881" s="55"/>
      <c r="C881" s="55"/>
      <c r="D881" s="55"/>
      <c r="E881" s="55"/>
    </row>
    <row r="882" spans="1:5" ht="13.2" x14ac:dyDescent="0.25">
      <c r="A882" s="55"/>
      <c r="B882" s="55"/>
      <c r="C882" s="55"/>
      <c r="D882" s="55"/>
      <c r="E882" s="55"/>
    </row>
    <row r="883" spans="1:5" ht="13.2" x14ac:dyDescent="0.25">
      <c r="A883" s="55"/>
      <c r="B883" s="55"/>
      <c r="C883" s="55"/>
      <c r="D883" s="55"/>
      <c r="E883" s="55"/>
    </row>
    <row r="884" spans="1:5" ht="13.2" x14ac:dyDescent="0.25">
      <c r="A884" s="55"/>
      <c r="B884" s="55"/>
      <c r="C884" s="55"/>
      <c r="D884" s="55"/>
      <c r="E884" s="55"/>
    </row>
    <row r="885" spans="1:5" ht="13.2" x14ac:dyDescent="0.25">
      <c r="A885" s="55"/>
      <c r="B885" s="55"/>
      <c r="C885" s="55"/>
      <c r="D885" s="55"/>
      <c r="E885" s="55"/>
    </row>
    <row r="886" spans="1:5" ht="13.2" x14ac:dyDescent="0.25">
      <c r="A886" s="55"/>
      <c r="B886" s="55"/>
      <c r="C886" s="55"/>
      <c r="D886" s="55"/>
      <c r="E886" s="55"/>
    </row>
    <row r="887" spans="1:5" ht="13.2" x14ac:dyDescent="0.25">
      <c r="A887" s="55"/>
      <c r="B887" s="55"/>
      <c r="C887" s="55"/>
      <c r="D887" s="55"/>
      <c r="E887" s="55"/>
    </row>
    <row r="888" spans="1:5" ht="13.2" x14ac:dyDescent="0.25">
      <c r="A888" s="55"/>
      <c r="B888" s="55"/>
      <c r="C888" s="55"/>
      <c r="D888" s="55"/>
      <c r="E888" s="55"/>
    </row>
    <row r="889" spans="1:5" ht="13.2" x14ac:dyDescent="0.25">
      <c r="A889" s="55"/>
      <c r="B889" s="55"/>
      <c r="C889" s="55"/>
      <c r="D889" s="55"/>
      <c r="E889" s="55"/>
    </row>
    <row r="890" spans="1:5" ht="13.2" x14ac:dyDescent="0.25">
      <c r="A890" s="55"/>
      <c r="B890" s="55"/>
      <c r="C890" s="55"/>
      <c r="D890" s="55"/>
      <c r="E890" s="55"/>
    </row>
    <row r="891" spans="1:5" ht="13.2" x14ac:dyDescent="0.25">
      <c r="A891" s="55"/>
      <c r="B891" s="55"/>
      <c r="C891" s="55"/>
      <c r="D891" s="55"/>
      <c r="E891" s="55"/>
    </row>
    <row r="892" spans="1:5" ht="13.2" x14ac:dyDescent="0.25">
      <c r="A892" s="55"/>
      <c r="B892" s="55"/>
      <c r="C892" s="55"/>
      <c r="D892" s="55"/>
      <c r="E892" s="55"/>
    </row>
    <row r="893" spans="1:5" ht="13.2" x14ac:dyDescent="0.25">
      <c r="A893" s="55"/>
      <c r="B893" s="55"/>
      <c r="C893" s="55"/>
      <c r="D893" s="55"/>
      <c r="E893" s="55"/>
    </row>
    <row r="894" spans="1:5" ht="13.2" x14ac:dyDescent="0.25">
      <c r="A894" s="55"/>
      <c r="B894" s="55"/>
      <c r="C894" s="55"/>
      <c r="D894" s="55"/>
      <c r="E894" s="55"/>
    </row>
    <row r="895" spans="1:5" ht="13.2" x14ac:dyDescent="0.25">
      <c r="A895" s="55"/>
      <c r="B895" s="55"/>
      <c r="C895" s="55"/>
      <c r="D895" s="55"/>
      <c r="E895" s="55"/>
    </row>
    <row r="896" spans="1:5" ht="13.2" x14ac:dyDescent="0.25">
      <c r="A896" s="55"/>
      <c r="B896" s="55"/>
      <c r="C896" s="55"/>
      <c r="D896" s="55"/>
      <c r="E896" s="55"/>
    </row>
    <row r="897" spans="1:5" ht="13.2" x14ac:dyDescent="0.25">
      <c r="A897" s="55"/>
      <c r="B897" s="55"/>
      <c r="C897" s="55"/>
      <c r="D897" s="55"/>
      <c r="E897" s="55"/>
    </row>
    <row r="898" spans="1:5" ht="13.2" x14ac:dyDescent="0.25">
      <c r="A898" s="55"/>
      <c r="B898" s="55"/>
      <c r="C898" s="55"/>
      <c r="D898" s="55"/>
      <c r="E898" s="55"/>
    </row>
    <row r="899" spans="1:5" ht="13.2" x14ac:dyDescent="0.25">
      <c r="A899" s="55"/>
      <c r="B899" s="55"/>
      <c r="C899" s="55"/>
      <c r="D899" s="55"/>
      <c r="E899" s="55"/>
    </row>
    <row r="900" spans="1:5" ht="13.2" x14ac:dyDescent="0.25">
      <c r="A900" s="55"/>
      <c r="B900" s="55"/>
      <c r="C900" s="55"/>
      <c r="D900" s="55"/>
      <c r="E900" s="55"/>
    </row>
    <row r="901" spans="1:5" ht="13.2" x14ac:dyDescent="0.25">
      <c r="A901" s="55"/>
      <c r="B901" s="55"/>
      <c r="C901" s="55"/>
      <c r="D901" s="55"/>
      <c r="E901" s="55"/>
    </row>
    <row r="902" spans="1:5" ht="13.2" x14ac:dyDescent="0.25">
      <c r="A902" s="55"/>
      <c r="B902" s="55"/>
      <c r="C902" s="55"/>
      <c r="D902" s="55"/>
      <c r="E902" s="55"/>
    </row>
    <row r="903" spans="1:5" ht="13.2" x14ac:dyDescent="0.25">
      <c r="A903" s="55"/>
      <c r="B903" s="55"/>
      <c r="C903" s="55"/>
      <c r="D903" s="55"/>
      <c r="E903" s="55"/>
    </row>
    <row r="904" spans="1:5" ht="13.2" x14ac:dyDescent="0.25">
      <c r="A904" s="55"/>
      <c r="B904" s="55"/>
      <c r="C904" s="55"/>
      <c r="D904" s="55"/>
      <c r="E904" s="55"/>
    </row>
    <row r="905" spans="1:5" ht="13.2" x14ac:dyDescent="0.25">
      <c r="A905" s="55"/>
      <c r="B905" s="55"/>
      <c r="C905" s="55"/>
      <c r="D905" s="55"/>
      <c r="E905" s="55"/>
    </row>
    <row r="906" spans="1:5" ht="13.2" x14ac:dyDescent="0.25">
      <c r="A906" s="55"/>
      <c r="B906" s="55"/>
      <c r="C906" s="55"/>
      <c r="D906" s="55"/>
      <c r="E906" s="55"/>
    </row>
    <row r="907" spans="1:5" ht="13.2" x14ac:dyDescent="0.25">
      <c r="A907" s="55"/>
      <c r="B907" s="55"/>
      <c r="C907" s="55"/>
      <c r="D907" s="55"/>
      <c r="E907" s="55"/>
    </row>
    <row r="908" spans="1:5" ht="13.2" x14ac:dyDescent="0.25">
      <c r="A908" s="55"/>
      <c r="B908" s="55"/>
      <c r="C908" s="55"/>
      <c r="D908" s="55"/>
      <c r="E908" s="55"/>
    </row>
    <row r="909" spans="1:5" ht="13.2" x14ac:dyDescent="0.25">
      <c r="A909" s="55"/>
      <c r="B909" s="55"/>
      <c r="C909" s="55"/>
      <c r="D909" s="55"/>
      <c r="E909" s="55"/>
    </row>
    <row r="910" spans="1:5" ht="13.2" x14ac:dyDescent="0.25">
      <c r="A910" s="55"/>
      <c r="B910" s="55"/>
      <c r="C910" s="55"/>
      <c r="D910" s="55"/>
      <c r="E910" s="55"/>
    </row>
    <row r="911" spans="1:5" ht="13.2" x14ac:dyDescent="0.25">
      <c r="A911" s="55"/>
      <c r="B911" s="55"/>
      <c r="C911" s="55"/>
      <c r="D911" s="55"/>
      <c r="E911" s="55"/>
    </row>
    <row r="912" spans="1:5" ht="13.2" x14ac:dyDescent="0.25">
      <c r="A912" s="55"/>
      <c r="B912" s="55"/>
      <c r="C912" s="55"/>
      <c r="D912" s="55"/>
      <c r="E912" s="55"/>
    </row>
    <row r="913" spans="1:5" ht="13.2" x14ac:dyDescent="0.25">
      <c r="A913" s="55"/>
      <c r="B913" s="55"/>
      <c r="C913" s="55"/>
      <c r="D913" s="55"/>
      <c r="E913" s="55"/>
    </row>
    <row r="914" spans="1:5" ht="13.2" x14ac:dyDescent="0.25">
      <c r="A914" s="55"/>
      <c r="B914" s="55"/>
      <c r="C914" s="55"/>
      <c r="D914" s="55"/>
      <c r="E914" s="55"/>
    </row>
    <row r="915" spans="1:5" ht="13.2" x14ac:dyDescent="0.25">
      <c r="A915" s="55"/>
      <c r="B915" s="55"/>
      <c r="C915" s="55"/>
      <c r="D915" s="55"/>
      <c r="E915" s="55"/>
    </row>
    <row r="916" spans="1:5" ht="13.2" x14ac:dyDescent="0.25">
      <c r="A916" s="55"/>
      <c r="B916" s="55"/>
      <c r="C916" s="55"/>
      <c r="D916" s="55"/>
      <c r="E916" s="55"/>
    </row>
    <row r="917" spans="1:5" ht="13.2" x14ac:dyDescent="0.25">
      <c r="A917" s="55"/>
      <c r="B917" s="55"/>
      <c r="C917" s="55"/>
      <c r="D917" s="55"/>
      <c r="E917" s="55"/>
    </row>
    <row r="918" spans="1:5" ht="13.2" x14ac:dyDescent="0.25">
      <c r="A918" s="55"/>
      <c r="B918" s="55"/>
      <c r="C918" s="55"/>
      <c r="D918" s="55"/>
      <c r="E918" s="55"/>
    </row>
    <row r="919" spans="1:5" ht="13.2" x14ac:dyDescent="0.25">
      <c r="A919" s="55"/>
      <c r="B919" s="55"/>
      <c r="C919" s="55"/>
      <c r="D919" s="55"/>
      <c r="E919" s="55"/>
    </row>
    <row r="920" spans="1:5" ht="13.2" x14ac:dyDescent="0.25">
      <c r="A920" s="55"/>
      <c r="B920" s="55"/>
      <c r="C920" s="55"/>
      <c r="D920" s="55"/>
      <c r="E920" s="55"/>
    </row>
    <row r="921" spans="1:5" ht="13.2" x14ac:dyDescent="0.25">
      <c r="A921" s="55"/>
      <c r="B921" s="55"/>
      <c r="C921" s="55"/>
      <c r="D921" s="55"/>
      <c r="E921" s="55"/>
    </row>
    <row r="922" spans="1:5" ht="13.2" x14ac:dyDescent="0.25">
      <c r="A922" s="55"/>
      <c r="B922" s="55"/>
      <c r="C922" s="55"/>
      <c r="D922" s="55"/>
      <c r="E922" s="55"/>
    </row>
    <row r="923" spans="1:5" ht="13.2" x14ac:dyDescent="0.25">
      <c r="A923" s="55"/>
      <c r="B923" s="55"/>
      <c r="C923" s="55"/>
      <c r="D923" s="55"/>
      <c r="E923" s="55"/>
    </row>
    <row r="924" spans="1:5" ht="13.2" x14ac:dyDescent="0.25">
      <c r="A924" s="55"/>
      <c r="B924" s="55"/>
      <c r="C924" s="55"/>
      <c r="D924" s="55"/>
      <c r="E924" s="55"/>
    </row>
    <row r="925" spans="1:5" ht="13.2" x14ac:dyDescent="0.25">
      <c r="A925" s="55"/>
      <c r="B925" s="55"/>
      <c r="C925" s="55"/>
      <c r="D925" s="55"/>
      <c r="E925" s="55"/>
    </row>
    <row r="926" spans="1:5" ht="13.2" x14ac:dyDescent="0.25">
      <c r="A926" s="55"/>
      <c r="B926" s="55"/>
      <c r="C926" s="55"/>
      <c r="D926" s="55"/>
      <c r="E926" s="55"/>
    </row>
    <row r="927" spans="1:5" ht="13.2" x14ac:dyDescent="0.25">
      <c r="A927" s="55"/>
      <c r="B927" s="55"/>
      <c r="C927" s="55"/>
      <c r="D927" s="55"/>
      <c r="E927" s="55"/>
    </row>
    <row r="928" spans="1:5" ht="13.2" x14ac:dyDescent="0.25">
      <c r="A928" s="55"/>
      <c r="B928" s="55"/>
      <c r="C928" s="55"/>
      <c r="D928" s="55"/>
      <c r="E928" s="55"/>
    </row>
    <row r="929" spans="1:5" ht="13.2" x14ac:dyDescent="0.25">
      <c r="A929" s="55"/>
      <c r="B929" s="55"/>
      <c r="C929" s="55"/>
      <c r="D929" s="55"/>
      <c r="E929" s="55"/>
    </row>
    <row r="930" spans="1:5" ht="13.2" x14ac:dyDescent="0.25">
      <c r="A930" s="55"/>
      <c r="B930" s="55"/>
      <c r="C930" s="55"/>
      <c r="D930" s="55"/>
      <c r="E930" s="55"/>
    </row>
    <row r="931" spans="1:5" ht="13.2" x14ac:dyDescent="0.25">
      <c r="A931" s="55"/>
      <c r="B931" s="55"/>
      <c r="C931" s="55"/>
      <c r="D931" s="55"/>
      <c r="E931" s="55"/>
    </row>
    <row r="932" spans="1:5" ht="13.2" x14ac:dyDescent="0.25">
      <c r="A932" s="55"/>
      <c r="B932" s="55"/>
      <c r="C932" s="55"/>
      <c r="D932" s="55"/>
      <c r="E932" s="55"/>
    </row>
    <row r="933" spans="1:5" ht="13.2" x14ac:dyDescent="0.25">
      <c r="A933" s="55"/>
      <c r="B933" s="55"/>
      <c r="C933" s="55"/>
      <c r="D933" s="55"/>
      <c r="E933" s="55"/>
    </row>
    <row r="934" spans="1:5" ht="13.2" x14ac:dyDescent="0.25">
      <c r="A934" s="55"/>
      <c r="B934" s="55"/>
      <c r="C934" s="55"/>
      <c r="D934" s="55"/>
      <c r="E934" s="55"/>
    </row>
    <row r="935" spans="1:5" ht="13.2" x14ac:dyDescent="0.25">
      <c r="A935" s="55"/>
      <c r="B935" s="55"/>
      <c r="C935" s="55"/>
      <c r="D935" s="55"/>
      <c r="E935" s="55"/>
    </row>
    <row r="936" spans="1:5" ht="13.2" x14ac:dyDescent="0.25">
      <c r="A936" s="55"/>
      <c r="B936" s="55"/>
      <c r="C936" s="55"/>
      <c r="D936" s="55"/>
      <c r="E936" s="55"/>
    </row>
    <row r="937" spans="1:5" ht="13.2" x14ac:dyDescent="0.25">
      <c r="A937" s="55"/>
      <c r="B937" s="55"/>
      <c r="C937" s="55"/>
      <c r="D937" s="55"/>
      <c r="E937" s="55"/>
    </row>
    <row r="938" spans="1:5" ht="13.2" x14ac:dyDescent="0.25">
      <c r="A938" s="55"/>
      <c r="B938" s="55"/>
      <c r="C938" s="55"/>
      <c r="D938" s="55"/>
      <c r="E938" s="55"/>
    </row>
    <row r="939" spans="1:5" ht="13.2" x14ac:dyDescent="0.25">
      <c r="A939" s="55"/>
      <c r="B939" s="55"/>
      <c r="C939" s="55"/>
      <c r="D939" s="55"/>
      <c r="E939" s="55"/>
    </row>
    <row r="940" spans="1:5" ht="13.2" x14ac:dyDescent="0.25">
      <c r="A940" s="55"/>
      <c r="B940" s="55"/>
      <c r="C940" s="55"/>
      <c r="D940" s="55"/>
      <c r="E940" s="55"/>
    </row>
    <row r="941" spans="1:5" ht="13.2" x14ac:dyDescent="0.25">
      <c r="A941" s="55"/>
      <c r="B941" s="55"/>
      <c r="C941" s="55"/>
      <c r="D941" s="55"/>
      <c r="E941" s="55"/>
    </row>
    <row r="942" spans="1:5" ht="13.2" x14ac:dyDescent="0.25">
      <c r="A942" s="55"/>
      <c r="B942" s="55"/>
      <c r="C942" s="55"/>
      <c r="D942" s="55"/>
      <c r="E942" s="55"/>
    </row>
    <row r="943" spans="1:5" ht="13.2" x14ac:dyDescent="0.25">
      <c r="A943" s="55"/>
      <c r="B943" s="55"/>
      <c r="C943" s="55"/>
      <c r="D943" s="55"/>
      <c r="E943" s="55"/>
    </row>
    <row r="944" spans="1:5" ht="13.2" x14ac:dyDescent="0.25">
      <c r="A944" s="55"/>
      <c r="B944" s="55"/>
      <c r="C944" s="55"/>
      <c r="D944" s="55"/>
      <c r="E944" s="55"/>
    </row>
    <row r="945" spans="1:5" ht="13.2" x14ac:dyDescent="0.25">
      <c r="A945" s="55"/>
      <c r="B945" s="55"/>
      <c r="C945" s="55"/>
      <c r="D945" s="55"/>
      <c r="E945" s="55"/>
    </row>
    <row r="946" spans="1:5" ht="13.2" x14ac:dyDescent="0.25">
      <c r="A946" s="55"/>
      <c r="B946" s="55"/>
      <c r="C946" s="55"/>
      <c r="D946" s="55"/>
      <c r="E946" s="55"/>
    </row>
    <row r="947" spans="1:5" ht="13.2" x14ac:dyDescent="0.25">
      <c r="A947" s="55"/>
      <c r="B947" s="55"/>
      <c r="C947" s="55"/>
      <c r="D947" s="55"/>
      <c r="E947" s="55"/>
    </row>
    <row r="948" spans="1:5" ht="13.2" x14ac:dyDescent="0.25">
      <c r="A948" s="55"/>
      <c r="B948" s="55"/>
      <c r="C948" s="55"/>
      <c r="D948" s="55"/>
      <c r="E948" s="55"/>
    </row>
    <row r="949" spans="1:5" ht="13.2" x14ac:dyDescent="0.25">
      <c r="A949" s="55"/>
      <c r="B949" s="55"/>
      <c r="C949" s="55"/>
      <c r="D949" s="55"/>
      <c r="E949" s="55"/>
    </row>
    <row r="950" spans="1:5" ht="13.2" x14ac:dyDescent="0.25">
      <c r="A950" s="55"/>
      <c r="B950" s="55"/>
      <c r="C950" s="55"/>
      <c r="D950" s="55"/>
      <c r="E950" s="55"/>
    </row>
    <row r="951" spans="1:5" ht="13.2" x14ac:dyDescent="0.25">
      <c r="A951" s="55"/>
      <c r="B951" s="55"/>
      <c r="C951" s="55"/>
      <c r="D951" s="55"/>
      <c r="E951" s="55"/>
    </row>
    <row r="952" spans="1:5" ht="13.2" x14ac:dyDescent="0.25">
      <c r="A952" s="55"/>
      <c r="B952" s="55"/>
      <c r="C952" s="55"/>
      <c r="D952" s="55"/>
      <c r="E952" s="55"/>
    </row>
    <row r="953" spans="1:5" ht="13.2" x14ac:dyDescent="0.25">
      <c r="A953" s="55"/>
      <c r="B953" s="55"/>
      <c r="C953" s="55"/>
      <c r="D953" s="55"/>
      <c r="E953" s="55"/>
    </row>
    <row r="954" spans="1:5" ht="13.2" x14ac:dyDescent="0.25">
      <c r="A954" s="55"/>
      <c r="B954" s="55"/>
      <c r="C954" s="55"/>
      <c r="D954" s="55"/>
      <c r="E954" s="55"/>
    </row>
    <row r="955" spans="1:5" ht="13.2" x14ac:dyDescent="0.25">
      <c r="A955" s="55"/>
      <c r="B955" s="55"/>
      <c r="C955" s="55"/>
      <c r="D955" s="55"/>
      <c r="E955" s="55"/>
    </row>
    <row r="956" spans="1:5" ht="13.2" x14ac:dyDescent="0.25">
      <c r="A956" s="55"/>
      <c r="B956" s="55"/>
      <c r="C956" s="55"/>
      <c r="D956" s="55"/>
      <c r="E956" s="55"/>
    </row>
    <row r="957" spans="1:5" ht="13.2" x14ac:dyDescent="0.25">
      <c r="A957" s="55"/>
      <c r="B957" s="55"/>
      <c r="C957" s="55"/>
      <c r="D957" s="55"/>
      <c r="E957" s="55"/>
    </row>
    <row r="958" spans="1:5" ht="13.2" x14ac:dyDescent="0.25">
      <c r="A958" s="55"/>
      <c r="B958" s="55"/>
      <c r="C958" s="55"/>
      <c r="D958" s="55"/>
      <c r="E958" s="55"/>
    </row>
    <row r="959" spans="1:5" ht="13.2" x14ac:dyDescent="0.25">
      <c r="A959" s="55"/>
      <c r="B959" s="55"/>
      <c r="C959" s="55"/>
      <c r="D959" s="55"/>
      <c r="E959" s="55"/>
    </row>
    <row r="960" spans="1:5" ht="13.2" x14ac:dyDescent="0.25">
      <c r="A960" s="55"/>
      <c r="B960" s="55"/>
      <c r="C960" s="55"/>
      <c r="D960" s="55"/>
      <c r="E960" s="55"/>
    </row>
    <row r="961" spans="1:5" ht="13.2" x14ac:dyDescent="0.25">
      <c r="A961" s="55"/>
      <c r="B961" s="55"/>
      <c r="C961" s="55"/>
      <c r="D961" s="55"/>
      <c r="E961" s="55"/>
    </row>
    <row r="962" spans="1:5" ht="13.2" x14ac:dyDescent="0.25">
      <c r="A962" s="55"/>
      <c r="B962" s="55"/>
      <c r="C962" s="55"/>
      <c r="D962" s="55"/>
      <c r="E962" s="55"/>
    </row>
    <row r="963" spans="1:5" ht="13.2" x14ac:dyDescent="0.25">
      <c r="A963" s="55"/>
      <c r="B963" s="55"/>
      <c r="C963" s="55"/>
      <c r="D963" s="55"/>
      <c r="E963" s="55"/>
    </row>
    <row r="964" spans="1:5" ht="13.2" x14ac:dyDescent="0.25">
      <c r="A964" s="55"/>
      <c r="B964" s="55"/>
      <c r="C964" s="55"/>
      <c r="D964" s="55"/>
      <c r="E964" s="55"/>
    </row>
    <row r="965" spans="1:5" ht="13.2" x14ac:dyDescent="0.25">
      <c r="A965" s="55"/>
      <c r="B965" s="55"/>
      <c r="C965" s="55"/>
      <c r="D965" s="55"/>
      <c r="E965" s="55"/>
    </row>
    <row r="966" spans="1:5" ht="13.2" x14ac:dyDescent="0.25">
      <c r="A966" s="55"/>
      <c r="B966" s="55"/>
      <c r="C966" s="55"/>
      <c r="D966" s="55"/>
      <c r="E966" s="55"/>
    </row>
    <row r="967" spans="1:5" ht="13.2" x14ac:dyDescent="0.25">
      <c r="A967" s="55"/>
      <c r="B967" s="55"/>
      <c r="C967" s="55"/>
      <c r="D967" s="55"/>
      <c r="E967" s="55"/>
    </row>
    <row r="968" spans="1:5" ht="13.2" x14ac:dyDescent="0.25">
      <c r="A968" s="55"/>
      <c r="B968" s="55"/>
      <c r="C968" s="55"/>
      <c r="D968" s="55"/>
      <c r="E968" s="55"/>
    </row>
    <row r="969" spans="1:5" ht="13.2" x14ac:dyDescent="0.25">
      <c r="A969" s="55"/>
      <c r="B969" s="55"/>
      <c r="C969" s="55"/>
      <c r="D969" s="55"/>
      <c r="E969" s="55"/>
    </row>
    <row r="970" spans="1:5" ht="13.2" x14ac:dyDescent="0.25">
      <c r="A970" s="55"/>
      <c r="B970" s="55"/>
      <c r="C970" s="55"/>
      <c r="D970" s="55"/>
      <c r="E970" s="55"/>
    </row>
    <row r="971" spans="1:5" ht="13.2" x14ac:dyDescent="0.25">
      <c r="A971" s="55"/>
      <c r="B971" s="55"/>
      <c r="C971" s="55"/>
      <c r="D971" s="55"/>
      <c r="E971" s="55"/>
    </row>
    <row r="972" spans="1:5" ht="13.2" x14ac:dyDescent="0.25">
      <c r="A972" s="55"/>
      <c r="B972" s="55"/>
      <c r="C972" s="55"/>
      <c r="D972" s="55"/>
      <c r="E972" s="55"/>
    </row>
    <row r="973" spans="1:5" ht="13.2" x14ac:dyDescent="0.25">
      <c r="A973" s="55"/>
      <c r="B973" s="55"/>
      <c r="C973" s="55"/>
      <c r="D973" s="55"/>
      <c r="E973" s="55"/>
    </row>
    <row r="974" spans="1:5" ht="13.2" x14ac:dyDescent="0.25">
      <c r="A974" s="55"/>
      <c r="B974" s="55"/>
      <c r="C974" s="55"/>
      <c r="D974" s="55"/>
      <c r="E974" s="55"/>
    </row>
    <row r="975" spans="1:5" ht="13.2" x14ac:dyDescent="0.25">
      <c r="A975" s="55"/>
      <c r="B975" s="55"/>
      <c r="C975" s="55"/>
      <c r="D975" s="55"/>
      <c r="E975" s="55"/>
    </row>
    <row r="976" spans="1:5" ht="13.2" x14ac:dyDescent="0.25">
      <c r="A976" s="55"/>
      <c r="B976" s="55"/>
      <c r="C976" s="55"/>
      <c r="D976" s="55"/>
      <c r="E976" s="55"/>
    </row>
    <row r="977" spans="1:5" ht="13.2" x14ac:dyDescent="0.25">
      <c r="A977" s="55"/>
      <c r="B977" s="55"/>
      <c r="C977" s="55"/>
      <c r="D977" s="55"/>
      <c r="E977" s="55"/>
    </row>
    <row r="978" spans="1:5" ht="13.2" x14ac:dyDescent="0.25">
      <c r="A978" s="55"/>
      <c r="B978" s="55"/>
      <c r="C978" s="55"/>
      <c r="D978" s="55"/>
      <c r="E978" s="55"/>
    </row>
    <row r="979" spans="1:5" ht="13.2" x14ac:dyDescent="0.25">
      <c r="A979" s="55"/>
      <c r="B979" s="55"/>
      <c r="C979" s="55"/>
      <c r="D979" s="55"/>
      <c r="E979" s="55"/>
    </row>
    <row r="980" spans="1:5" ht="13.2" x14ac:dyDescent="0.25">
      <c r="A980" s="55"/>
      <c r="B980" s="55"/>
      <c r="C980" s="55"/>
      <c r="D980" s="55"/>
      <c r="E980" s="55"/>
    </row>
    <row r="981" spans="1:5" ht="13.2" x14ac:dyDescent="0.25">
      <c r="A981" s="55"/>
      <c r="B981" s="55"/>
      <c r="C981" s="55"/>
      <c r="D981" s="55"/>
      <c r="E981" s="55"/>
    </row>
    <row r="982" spans="1:5" ht="13.2" x14ac:dyDescent="0.25">
      <c r="A982" s="55"/>
      <c r="B982" s="55"/>
      <c r="C982" s="55"/>
      <c r="D982" s="55"/>
      <c r="E982" s="55"/>
    </row>
    <row r="983" spans="1:5" ht="13.2" x14ac:dyDescent="0.25">
      <c r="A983" s="55"/>
      <c r="B983" s="55"/>
      <c r="C983" s="55"/>
      <c r="D983" s="55"/>
      <c r="E983" s="55"/>
    </row>
    <row r="984" spans="1:5" ht="13.2" x14ac:dyDescent="0.25">
      <c r="A984" s="55"/>
      <c r="B984" s="55"/>
      <c r="C984" s="55"/>
      <c r="D984" s="55"/>
      <c r="E984" s="55"/>
    </row>
    <row r="985" spans="1:5" ht="13.2" x14ac:dyDescent="0.25">
      <c r="A985" s="55"/>
      <c r="B985" s="55"/>
      <c r="C985" s="55"/>
      <c r="D985" s="55"/>
      <c r="E985" s="55"/>
    </row>
    <row r="986" spans="1:5" ht="13.2" x14ac:dyDescent="0.25">
      <c r="A986" s="55"/>
      <c r="B986" s="55"/>
      <c r="C986" s="55"/>
      <c r="D986" s="55"/>
      <c r="E986" s="55"/>
    </row>
    <row r="987" spans="1:5" ht="13.2" x14ac:dyDescent="0.25">
      <c r="A987" s="55"/>
      <c r="B987" s="55"/>
      <c r="C987" s="55"/>
      <c r="D987" s="55"/>
      <c r="E987" s="55"/>
    </row>
    <row r="988" spans="1:5" ht="13.2" x14ac:dyDescent="0.25">
      <c r="A988" s="55"/>
      <c r="B988" s="55"/>
      <c r="C988" s="55"/>
      <c r="D988" s="55"/>
      <c r="E988" s="55"/>
    </row>
    <row r="989" spans="1:5" ht="13.2" x14ac:dyDescent="0.25">
      <c r="A989" s="55"/>
      <c r="B989" s="55"/>
      <c r="C989" s="55"/>
      <c r="D989" s="55"/>
      <c r="E989" s="55"/>
    </row>
    <row r="990" spans="1:5" ht="13.2" x14ac:dyDescent="0.25">
      <c r="A990" s="55"/>
      <c r="B990" s="55"/>
      <c r="C990" s="55"/>
      <c r="D990" s="55"/>
      <c r="E990" s="55"/>
    </row>
    <row r="991" spans="1:5" ht="13.2" x14ac:dyDescent="0.25">
      <c r="A991" s="55"/>
      <c r="B991" s="55"/>
      <c r="C991" s="55"/>
      <c r="D991" s="55"/>
      <c r="E991" s="55"/>
    </row>
    <row r="992" spans="1:5" ht="13.2" x14ac:dyDescent="0.25">
      <c r="A992" s="55"/>
      <c r="B992" s="55"/>
      <c r="C992" s="55"/>
      <c r="D992" s="55"/>
      <c r="E992" s="55"/>
    </row>
    <row r="993" spans="1:5" ht="13.2" x14ac:dyDescent="0.25">
      <c r="A993" s="55"/>
      <c r="B993" s="55"/>
      <c r="C993" s="55"/>
      <c r="D993" s="55"/>
      <c r="E993" s="55"/>
    </row>
    <row r="994" spans="1:5" ht="13.2" x14ac:dyDescent="0.25">
      <c r="A994" s="55"/>
      <c r="B994" s="55"/>
      <c r="C994" s="55"/>
      <c r="D994" s="55"/>
      <c r="E994" s="55"/>
    </row>
    <row r="995" spans="1:5" ht="13.2" x14ac:dyDescent="0.25">
      <c r="A995" s="55"/>
      <c r="B995" s="55"/>
      <c r="C995" s="55"/>
      <c r="D995" s="55"/>
      <c r="E995" s="55"/>
    </row>
    <row r="996" spans="1:5" ht="13.2" x14ac:dyDescent="0.25">
      <c r="A996" s="55"/>
      <c r="B996" s="55"/>
      <c r="C996" s="55"/>
      <c r="D996" s="55"/>
      <c r="E996" s="55"/>
    </row>
    <row r="997" spans="1:5" ht="13.2" x14ac:dyDescent="0.25">
      <c r="A997" s="55"/>
      <c r="B997" s="55"/>
      <c r="C997" s="55"/>
      <c r="D997" s="55"/>
      <c r="E997" s="55"/>
    </row>
    <row r="998" spans="1:5" ht="13.2" x14ac:dyDescent="0.25">
      <c r="A998" s="55"/>
      <c r="B998" s="55"/>
      <c r="C998" s="55"/>
      <c r="D998" s="55"/>
      <c r="E998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I986"/>
  <sheetViews>
    <sheetView tabSelected="1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D14" sqref="D14"/>
    </sheetView>
  </sheetViews>
  <sheetFormatPr defaultColWidth="14.44140625" defaultRowHeight="15.75" customHeight="1" x14ac:dyDescent="0.25"/>
  <sheetData>
    <row r="1" spans="1:61" x14ac:dyDescent="0.25">
      <c r="A1" s="193" t="s">
        <v>0</v>
      </c>
      <c r="B1" s="195" t="s">
        <v>320</v>
      </c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2"/>
      <c r="AC1" s="197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2"/>
      <c r="BD1" s="132"/>
      <c r="BE1" s="132"/>
      <c r="BF1" s="198" t="s">
        <v>321</v>
      </c>
      <c r="BG1" s="196"/>
      <c r="BH1" s="196"/>
      <c r="BI1" s="192"/>
    </row>
    <row r="2" spans="1:61" x14ac:dyDescent="0.25">
      <c r="A2" s="194"/>
      <c r="B2" s="199" t="s">
        <v>322</v>
      </c>
      <c r="C2" s="196"/>
      <c r="D2" s="196"/>
      <c r="E2" s="196"/>
      <c r="F2" s="192"/>
      <c r="G2" s="199" t="s">
        <v>323</v>
      </c>
      <c r="H2" s="196"/>
      <c r="I2" s="196"/>
      <c r="J2" s="196"/>
      <c r="K2" s="192"/>
      <c r="L2" s="199" t="s">
        <v>324</v>
      </c>
      <c r="M2" s="196"/>
      <c r="N2" s="196"/>
      <c r="O2" s="196"/>
      <c r="P2" s="192"/>
      <c r="Q2" s="199" t="s">
        <v>73</v>
      </c>
      <c r="R2" s="196"/>
      <c r="S2" s="196"/>
      <c r="T2" s="196"/>
      <c r="U2" s="192"/>
      <c r="V2" s="199" t="s">
        <v>325</v>
      </c>
      <c r="W2" s="192"/>
      <c r="X2" s="199" t="s">
        <v>326</v>
      </c>
      <c r="Y2" s="196"/>
      <c r="Z2" s="196"/>
      <c r="AA2" s="196"/>
      <c r="AB2" s="192"/>
      <c r="AC2" s="199" t="s">
        <v>322</v>
      </c>
      <c r="AD2" s="196"/>
      <c r="AE2" s="196"/>
      <c r="AF2" s="196"/>
      <c r="AG2" s="192"/>
      <c r="AH2" s="199" t="s">
        <v>323</v>
      </c>
      <c r="AI2" s="196"/>
      <c r="AJ2" s="196"/>
      <c r="AK2" s="196"/>
      <c r="AL2" s="192"/>
      <c r="AM2" s="199" t="s">
        <v>324</v>
      </c>
      <c r="AN2" s="196"/>
      <c r="AO2" s="196"/>
      <c r="AP2" s="196"/>
      <c r="AQ2" s="192"/>
      <c r="AR2" s="199" t="s">
        <v>327</v>
      </c>
      <c r="AS2" s="196"/>
      <c r="AT2" s="196"/>
      <c r="AU2" s="196"/>
      <c r="AV2" s="192"/>
      <c r="AW2" s="199" t="s">
        <v>325</v>
      </c>
      <c r="AX2" s="192"/>
      <c r="AY2" s="199" t="s">
        <v>328</v>
      </c>
      <c r="AZ2" s="196"/>
      <c r="BA2" s="196"/>
      <c r="BB2" s="196"/>
      <c r="BC2" s="192"/>
      <c r="BD2" s="200" t="s">
        <v>329</v>
      </c>
      <c r="BE2" s="189" t="s">
        <v>330</v>
      </c>
      <c r="BF2" s="191" t="s">
        <v>331</v>
      </c>
      <c r="BG2" s="192"/>
      <c r="BH2" s="191" t="s">
        <v>332</v>
      </c>
      <c r="BI2" s="192"/>
    </row>
    <row r="3" spans="1:61" x14ac:dyDescent="0.25">
      <c r="A3" s="190"/>
      <c r="B3" s="133" t="s">
        <v>333</v>
      </c>
      <c r="C3" s="133" t="s">
        <v>334</v>
      </c>
      <c r="D3" s="133" t="s">
        <v>335</v>
      </c>
      <c r="E3" s="134" t="s">
        <v>336</v>
      </c>
      <c r="F3" s="134" t="s">
        <v>337</v>
      </c>
      <c r="G3" s="133" t="s">
        <v>333</v>
      </c>
      <c r="H3" s="133" t="s">
        <v>334</v>
      </c>
      <c r="I3" s="133" t="s">
        <v>335</v>
      </c>
      <c r="J3" s="134" t="s">
        <v>336</v>
      </c>
      <c r="K3" s="134" t="s">
        <v>337</v>
      </c>
      <c r="L3" s="133" t="s">
        <v>333</v>
      </c>
      <c r="M3" s="133" t="s">
        <v>334</v>
      </c>
      <c r="N3" s="133" t="s">
        <v>335</v>
      </c>
      <c r="O3" s="134" t="s">
        <v>336</v>
      </c>
      <c r="P3" s="134" t="s">
        <v>337</v>
      </c>
      <c r="Q3" s="133" t="s">
        <v>333</v>
      </c>
      <c r="R3" s="133" t="s">
        <v>334</v>
      </c>
      <c r="S3" s="133" t="s">
        <v>335</v>
      </c>
      <c r="T3" s="134" t="s">
        <v>336</v>
      </c>
      <c r="U3" s="134" t="s">
        <v>337</v>
      </c>
      <c r="V3" s="135" t="s">
        <v>334</v>
      </c>
      <c r="W3" s="135" t="s">
        <v>335</v>
      </c>
      <c r="X3" s="133" t="s">
        <v>333</v>
      </c>
      <c r="Y3" s="133" t="s">
        <v>334</v>
      </c>
      <c r="Z3" s="133" t="s">
        <v>335</v>
      </c>
      <c r="AA3" s="134" t="s">
        <v>336</v>
      </c>
      <c r="AB3" s="134" t="s">
        <v>337</v>
      </c>
      <c r="AC3" s="133" t="s">
        <v>333</v>
      </c>
      <c r="AD3" s="133" t="s">
        <v>334</v>
      </c>
      <c r="AE3" s="133" t="s">
        <v>335</v>
      </c>
      <c r="AF3" s="134" t="s">
        <v>336</v>
      </c>
      <c r="AG3" s="134" t="s">
        <v>337</v>
      </c>
      <c r="AH3" s="133" t="s">
        <v>333</v>
      </c>
      <c r="AI3" s="133" t="s">
        <v>334</v>
      </c>
      <c r="AJ3" s="133" t="s">
        <v>335</v>
      </c>
      <c r="AK3" s="134" t="s">
        <v>336</v>
      </c>
      <c r="AL3" s="134" t="s">
        <v>337</v>
      </c>
      <c r="AM3" s="133" t="s">
        <v>333</v>
      </c>
      <c r="AN3" s="133" t="s">
        <v>334</v>
      </c>
      <c r="AO3" s="133" t="s">
        <v>335</v>
      </c>
      <c r="AP3" s="134" t="s">
        <v>336</v>
      </c>
      <c r="AQ3" s="134" t="s">
        <v>337</v>
      </c>
      <c r="AR3" s="133" t="s">
        <v>333</v>
      </c>
      <c r="AS3" s="133" t="s">
        <v>334</v>
      </c>
      <c r="AT3" s="133" t="s">
        <v>335</v>
      </c>
      <c r="AU3" s="134" t="s">
        <v>336</v>
      </c>
      <c r="AV3" s="134" t="s">
        <v>337</v>
      </c>
      <c r="AW3" s="135" t="s">
        <v>334</v>
      </c>
      <c r="AX3" s="135" t="s">
        <v>335</v>
      </c>
      <c r="AY3" s="133" t="s">
        <v>333</v>
      </c>
      <c r="AZ3" s="133" t="s">
        <v>334</v>
      </c>
      <c r="BA3" s="133" t="s">
        <v>335</v>
      </c>
      <c r="BB3" s="134" t="s">
        <v>336</v>
      </c>
      <c r="BC3" s="134" t="s">
        <v>337</v>
      </c>
      <c r="BD3" s="190"/>
      <c r="BE3" s="190"/>
      <c r="BF3" s="132" t="s">
        <v>334</v>
      </c>
      <c r="BG3" s="132" t="s">
        <v>335</v>
      </c>
      <c r="BH3" s="132" t="s">
        <v>334</v>
      </c>
      <c r="BI3" s="132" t="s">
        <v>335</v>
      </c>
    </row>
    <row r="4" spans="1:61" x14ac:dyDescent="0.25">
      <c r="A4" s="136">
        <v>44260</v>
      </c>
      <c r="B4" s="137">
        <v>112301</v>
      </c>
      <c r="C4" s="137">
        <v>141425</v>
      </c>
      <c r="D4" s="137">
        <v>91078</v>
      </c>
      <c r="E4" s="138">
        <f t="shared" ref="E4:E119" si="0">C4/B4</f>
        <v>1.2593387414181529</v>
      </c>
      <c r="F4" s="138">
        <f t="shared" ref="F4:F119" si="1">D4/B4</f>
        <v>0.81101682086535298</v>
      </c>
      <c r="G4" s="137">
        <v>911631</v>
      </c>
      <c r="H4" s="137">
        <v>76451</v>
      </c>
      <c r="I4" s="137">
        <v>0</v>
      </c>
      <c r="J4" s="138">
        <f t="shared" ref="J4:J119" si="2">H4/G4</f>
        <v>8.386178179548523E-2</v>
      </c>
      <c r="K4" s="138">
        <f t="shared" ref="K4:K119" si="3">I4/G4</f>
        <v>0</v>
      </c>
      <c r="L4" s="137">
        <v>1976757</v>
      </c>
      <c r="M4" s="137">
        <v>64121</v>
      </c>
      <c r="N4" s="137">
        <v>0</v>
      </c>
      <c r="O4" s="138">
        <f t="shared" ref="O4:O119" si="4">M4/L4</f>
        <v>3.2437472081798625E-2</v>
      </c>
      <c r="P4" s="138">
        <f t="shared" ref="P4:P119" si="5">N4/L4</f>
        <v>0</v>
      </c>
      <c r="Q4" s="137">
        <f t="shared" ref="Q4:Q5" si="6">SUM(B4,G4,L4)</f>
        <v>3000689</v>
      </c>
      <c r="R4" s="137">
        <f t="shared" ref="R4:S4" si="7">C4+H4+M4</f>
        <v>281997</v>
      </c>
      <c r="S4" s="137">
        <f t="shared" si="7"/>
        <v>91078</v>
      </c>
      <c r="T4" s="139">
        <f t="shared" ref="T4:T119" si="8">R4/Q4</f>
        <v>9.3977416520005908E-2</v>
      </c>
      <c r="U4" s="139">
        <f t="shared" ref="U4:U119" si="9">S4/Q4</f>
        <v>3.0352362407433758E-2</v>
      </c>
      <c r="V4" s="139"/>
      <c r="W4" s="139"/>
      <c r="X4" s="139"/>
      <c r="Y4" s="139"/>
      <c r="Z4" s="139"/>
      <c r="AA4" s="139"/>
      <c r="AB4" s="139"/>
      <c r="AC4" s="137">
        <v>1468764</v>
      </c>
      <c r="AD4" s="137">
        <v>1692016</v>
      </c>
      <c r="AE4" s="137">
        <v>1111938</v>
      </c>
      <c r="AF4" s="138">
        <f t="shared" ref="AF4:AF110" si="10">AD4/AC4</f>
        <v>1.1519999128518945</v>
      </c>
      <c r="AG4" s="138">
        <f t="shared" ref="AG4:AG110" si="11">AE4/AC4</f>
        <v>0.7570569540103107</v>
      </c>
      <c r="AH4" s="140">
        <v>21553118</v>
      </c>
      <c r="AI4" s="140">
        <v>179711</v>
      </c>
      <c r="AJ4" s="140">
        <v>2</v>
      </c>
      <c r="AK4" s="138">
        <f t="shared" ref="AK4:AK110" si="12">AI4/AH4</f>
        <v>8.338051134875242E-3</v>
      </c>
      <c r="AL4" s="138">
        <f t="shared" ref="AL4:AL110" si="13">AJ4/AH4</f>
        <v>9.2793998529586303E-8</v>
      </c>
      <c r="AM4" s="137">
        <v>17327169</v>
      </c>
      <c r="AN4" s="137">
        <v>541888</v>
      </c>
      <c r="AO4" s="137">
        <v>2597</v>
      </c>
      <c r="AP4" s="138">
        <f t="shared" ref="AP4:AP110" si="14">AN4/AM4</f>
        <v>3.1273891309076512E-2</v>
      </c>
      <c r="AQ4" s="138">
        <f t="shared" ref="AQ4:AQ110" si="15">AO4/AM4</f>
        <v>1.4988022567333418E-4</v>
      </c>
      <c r="AR4" s="141">
        <f t="shared" ref="AR4:AR108" si="16">SUM(AC4,AH4,AM4)</f>
        <v>40349051</v>
      </c>
      <c r="AS4" s="142">
        <f t="shared" ref="AS4:AT4" si="17">AD4+AI4+AN4</f>
        <v>2413615</v>
      </c>
      <c r="AT4" s="142">
        <f t="shared" si="17"/>
        <v>1114537</v>
      </c>
      <c r="AU4" s="138">
        <f t="shared" ref="AU4:AU110" si="18">AS4/AR4</f>
        <v>5.981838333694639E-2</v>
      </c>
      <c r="AV4" s="138">
        <f t="shared" ref="AV4:AV110" si="19">AT4/AR4</f>
        <v>2.762238447689885E-2</v>
      </c>
      <c r="AW4" s="138"/>
      <c r="AX4" s="138"/>
      <c r="AY4" s="143"/>
      <c r="AZ4" s="143"/>
      <c r="BA4" s="143"/>
      <c r="BB4" s="143"/>
      <c r="BC4" s="143"/>
      <c r="BD4" s="143"/>
      <c r="BE4" s="143"/>
      <c r="BF4" s="143" t="s">
        <v>338</v>
      </c>
      <c r="BG4" s="143" t="s">
        <v>338</v>
      </c>
      <c r="BH4" s="143" t="s">
        <v>338</v>
      </c>
      <c r="BI4" s="143" t="s">
        <v>338</v>
      </c>
    </row>
    <row r="5" spans="1:61" x14ac:dyDescent="0.25">
      <c r="A5" s="136">
        <v>44261</v>
      </c>
      <c r="B5" s="137">
        <v>112301</v>
      </c>
      <c r="C5" s="140">
        <v>144046</v>
      </c>
      <c r="D5" s="140">
        <v>91379</v>
      </c>
      <c r="E5" s="138">
        <f t="shared" si="0"/>
        <v>1.2826778034033535</v>
      </c>
      <c r="F5" s="138">
        <f t="shared" si="1"/>
        <v>0.8136971175679647</v>
      </c>
      <c r="G5" s="137">
        <v>911631</v>
      </c>
      <c r="H5" s="140">
        <v>79421</v>
      </c>
      <c r="I5" s="140">
        <v>0</v>
      </c>
      <c r="J5" s="138">
        <f t="shared" si="2"/>
        <v>8.7119678905171055E-2</v>
      </c>
      <c r="K5" s="138">
        <f t="shared" si="3"/>
        <v>0</v>
      </c>
      <c r="L5" s="137">
        <v>1976757</v>
      </c>
      <c r="M5" s="140">
        <v>66484</v>
      </c>
      <c r="N5" s="140">
        <v>0</v>
      </c>
      <c r="O5" s="138">
        <f t="shared" si="4"/>
        <v>3.3632864332844147E-2</v>
      </c>
      <c r="P5" s="138">
        <f t="shared" si="5"/>
        <v>0</v>
      </c>
      <c r="Q5" s="137">
        <f t="shared" si="6"/>
        <v>3000689</v>
      </c>
      <c r="R5" s="137">
        <f t="shared" ref="R5:S5" si="20">C5+H5+M5</f>
        <v>289951</v>
      </c>
      <c r="S5" s="137">
        <f t="shared" si="20"/>
        <v>91379</v>
      </c>
      <c r="T5" s="139">
        <f t="shared" si="8"/>
        <v>9.6628141070267529E-2</v>
      </c>
      <c r="U5" s="139">
        <f t="shared" si="9"/>
        <v>3.0452672702835915E-2</v>
      </c>
      <c r="V5" s="139"/>
      <c r="W5" s="139"/>
      <c r="X5" s="139"/>
      <c r="Y5" s="139"/>
      <c r="Z5" s="139"/>
      <c r="AA5" s="139"/>
      <c r="AB5" s="139"/>
      <c r="AC5" s="137">
        <v>1468764</v>
      </c>
      <c r="AD5" s="140">
        <v>1741784</v>
      </c>
      <c r="AE5" s="140">
        <v>1126353</v>
      </c>
      <c r="AF5" s="138">
        <f t="shared" si="10"/>
        <v>1.1858841856145712</v>
      </c>
      <c r="AG5" s="138">
        <f t="shared" si="11"/>
        <v>0.76687132854563433</v>
      </c>
      <c r="AH5" s="140">
        <v>21553118</v>
      </c>
      <c r="AI5" s="140">
        <v>206025</v>
      </c>
      <c r="AJ5" s="140">
        <v>2</v>
      </c>
      <c r="AK5" s="138">
        <f t="shared" si="12"/>
        <v>9.5589417735290078E-3</v>
      </c>
      <c r="AL5" s="138">
        <f t="shared" si="13"/>
        <v>9.2793998529586303E-8</v>
      </c>
      <c r="AM5" s="137">
        <v>17327169</v>
      </c>
      <c r="AN5" s="140">
        <v>604456</v>
      </c>
      <c r="AO5" s="140">
        <v>4169</v>
      </c>
      <c r="AP5" s="138">
        <f t="shared" si="14"/>
        <v>3.4884867805006117E-2</v>
      </c>
      <c r="AQ5" s="138">
        <f t="shared" si="15"/>
        <v>2.4060479816408555E-4</v>
      </c>
      <c r="AR5" s="141">
        <f t="shared" si="16"/>
        <v>40349051</v>
      </c>
      <c r="AS5" s="140">
        <f t="shared" ref="AS5:AT5" si="21">AD5+AI5+AN5</f>
        <v>2552265</v>
      </c>
      <c r="AT5" s="144">
        <f t="shared" si="21"/>
        <v>1130524</v>
      </c>
      <c r="AU5" s="138">
        <f t="shared" si="18"/>
        <v>6.3254647550446727E-2</v>
      </c>
      <c r="AV5" s="138">
        <f t="shared" si="19"/>
        <v>2.801860197405882E-2</v>
      </c>
      <c r="AW5" s="138"/>
      <c r="AX5" s="138"/>
      <c r="AY5" s="143"/>
      <c r="AZ5" s="143"/>
      <c r="BA5" s="143"/>
      <c r="BB5" s="143"/>
      <c r="BC5" s="143"/>
      <c r="BD5" s="143"/>
      <c r="BE5" s="143"/>
      <c r="BF5" s="143" t="s">
        <v>338</v>
      </c>
      <c r="BG5" s="143" t="s">
        <v>338</v>
      </c>
      <c r="BH5" s="143" t="s">
        <v>338</v>
      </c>
      <c r="BI5" s="143" t="s">
        <v>338</v>
      </c>
    </row>
    <row r="6" spans="1:61" x14ac:dyDescent="0.25">
      <c r="A6" s="136">
        <v>44262</v>
      </c>
      <c r="B6" s="137">
        <v>112301</v>
      </c>
      <c r="C6" s="140">
        <v>177126</v>
      </c>
      <c r="D6" s="140">
        <v>91460</v>
      </c>
      <c r="E6" s="138">
        <f t="shared" si="0"/>
        <v>1.5772433014844036</v>
      </c>
      <c r="F6" s="138">
        <f t="shared" si="1"/>
        <v>0.8144183934248137</v>
      </c>
      <c r="G6" s="137">
        <v>911631</v>
      </c>
      <c r="H6" s="140">
        <v>83628</v>
      </c>
      <c r="I6" s="140">
        <v>0</v>
      </c>
      <c r="J6" s="138">
        <f t="shared" si="2"/>
        <v>9.173448467636576E-2</v>
      </c>
      <c r="K6" s="138">
        <f t="shared" si="3"/>
        <v>0</v>
      </c>
      <c r="L6" s="137">
        <v>1976757</v>
      </c>
      <c r="M6" s="140">
        <v>73752</v>
      </c>
      <c r="N6" s="140">
        <v>2514</v>
      </c>
      <c r="O6" s="138">
        <f t="shared" si="4"/>
        <v>3.7309593440164879E-2</v>
      </c>
      <c r="P6" s="138">
        <f t="shared" si="5"/>
        <v>1.2717799911673513E-3</v>
      </c>
      <c r="Q6" s="137">
        <v>3000689</v>
      </c>
      <c r="R6" s="137">
        <f t="shared" ref="R6:S6" si="22">C6+H6+M6</f>
        <v>334506</v>
      </c>
      <c r="S6" s="137">
        <f t="shared" si="22"/>
        <v>93974</v>
      </c>
      <c r="T6" s="139">
        <f t="shared" si="8"/>
        <v>0.1114763975873541</v>
      </c>
      <c r="U6" s="139">
        <f t="shared" si="9"/>
        <v>3.1317474086784737E-2</v>
      </c>
      <c r="V6" s="139"/>
      <c r="W6" s="139"/>
      <c r="X6" s="139"/>
      <c r="Y6" s="139"/>
      <c r="Z6" s="139"/>
      <c r="AA6" s="139"/>
      <c r="AB6" s="139"/>
      <c r="AC6" s="137">
        <v>1468764</v>
      </c>
      <c r="AD6" s="140">
        <v>2049651</v>
      </c>
      <c r="AE6" s="140">
        <v>1129340</v>
      </c>
      <c r="AF6" s="138">
        <f t="shared" si="10"/>
        <v>1.3954937621020123</v>
      </c>
      <c r="AG6" s="138">
        <f t="shared" si="11"/>
        <v>0.76890501128840305</v>
      </c>
      <c r="AH6" s="140">
        <v>21553118</v>
      </c>
      <c r="AI6" s="140">
        <v>215632</v>
      </c>
      <c r="AJ6" s="140">
        <v>2</v>
      </c>
      <c r="AK6" s="138">
        <f t="shared" si="12"/>
        <v>1.0004677745465877E-2</v>
      </c>
      <c r="AL6" s="138">
        <f t="shared" si="13"/>
        <v>9.2793998529586303E-8</v>
      </c>
      <c r="AM6" s="137">
        <v>17327169</v>
      </c>
      <c r="AN6" s="140">
        <v>623474</v>
      </c>
      <c r="AO6" s="140">
        <v>4445</v>
      </c>
      <c r="AP6" s="138">
        <f t="shared" si="14"/>
        <v>3.598245045108061E-2</v>
      </c>
      <c r="AQ6" s="138">
        <f t="shared" si="15"/>
        <v>2.5653353989910294E-4</v>
      </c>
      <c r="AR6" s="141">
        <f t="shared" si="16"/>
        <v>40349051</v>
      </c>
      <c r="AS6" s="140">
        <f t="shared" ref="AS6:AT6" si="23">AD6+AI6+AN6</f>
        <v>2888757</v>
      </c>
      <c r="AT6" s="144">
        <f t="shared" si="23"/>
        <v>1133787</v>
      </c>
      <c r="AU6" s="138">
        <f t="shared" si="18"/>
        <v>7.1594174544526462E-2</v>
      </c>
      <c r="AV6" s="138">
        <f t="shared" si="19"/>
        <v>2.8099471286201997E-2</v>
      </c>
      <c r="AW6" s="138"/>
      <c r="AX6" s="138"/>
      <c r="AY6" s="143"/>
      <c r="AZ6" s="143"/>
      <c r="BA6" s="143"/>
      <c r="BB6" s="143"/>
      <c r="BC6" s="143"/>
      <c r="BD6" s="143"/>
      <c r="BE6" s="143"/>
      <c r="BF6" s="143" t="s">
        <v>338</v>
      </c>
      <c r="BG6" s="143" t="s">
        <v>338</v>
      </c>
      <c r="BH6" s="143" t="s">
        <v>338</v>
      </c>
      <c r="BI6" s="143" t="s">
        <v>338</v>
      </c>
    </row>
    <row r="7" spans="1:61" x14ac:dyDescent="0.25">
      <c r="A7" s="136">
        <v>44263</v>
      </c>
      <c r="B7" s="137">
        <v>112301</v>
      </c>
      <c r="C7" s="140">
        <v>181237</v>
      </c>
      <c r="D7" s="140">
        <v>92988</v>
      </c>
      <c r="E7" s="138">
        <f t="shared" si="0"/>
        <v>1.6138502773795425</v>
      </c>
      <c r="F7" s="138">
        <f t="shared" si="1"/>
        <v>0.82802468366265658</v>
      </c>
      <c r="G7" s="137">
        <v>911631</v>
      </c>
      <c r="H7" s="140">
        <v>95140</v>
      </c>
      <c r="I7" s="140">
        <v>1</v>
      </c>
      <c r="J7" s="138">
        <f t="shared" si="2"/>
        <v>0.10436240101532308</v>
      </c>
      <c r="K7" s="138">
        <f t="shared" si="3"/>
        <v>1.0969350537662716E-6</v>
      </c>
      <c r="L7" s="137">
        <v>1976757</v>
      </c>
      <c r="M7" s="140">
        <v>85333</v>
      </c>
      <c r="N7" s="140">
        <v>3989</v>
      </c>
      <c r="O7" s="138">
        <f t="shared" si="4"/>
        <v>4.3168178992157358E-2</v>
      </c>
      <c r="P7" s="138">
        <f t="shared" si="5"/>
        <v>2.0179516248077026E-3</v>
      </c>
      <c r="Q7" s="137">
        <v>3000689</v>
      </c>
      <c r="R7" s="137">
        <f t="shared" ref="R7:S7" si="24">C7+H7+M7</f>
        <v>361710</v>
      </c>
      <c r="S7" s="137">
        <f t="shared" si="24"/>
        <v>96978</v>
      </c>
      <c r="T7" s="139">
        <f t="shared" si="8"/>
        <v>0.12054231544821872</v>
      </c>
      <c r="U7" s="139">
        <f t="shared" si="9"/>
        <v>3.2318577500034161E-2</v>
      </c>
      <c r="V7" s="139"/>
      <c r="W7" s="139"/>
      <c r="X7" s="139"/>
      <c r="Y7" s="139"/>
      <c r="Z7" s="139"/>
      <c r="AA7" s="139"/>
      <c r="AB7" s="139"/>
      <c r="AC7" s="137">
        <v>1468764</v>
      </c>
      <c r="AD7" s="140">
        <v>2114655</v>
      </c>
      <c r="AE7" s="140">
        <v>1149547</v>
      </c>
      <c r="AF7" s="138">
        <f t="shared" si="10"/>
        <v>1.4397513827953299</v>
      </c>
      <c r="AG7" s="138">
        <f t="shared" si="11"/>
        <v>0.78266283759678201</v>
      </c>
      <c r="AH7" s="140">
        <v>21553118</v>
      </c>
      <c r="AI7" s="140">
        <v>267603</v>
      </c>
      <c r="AJ7" s="140">
        <v>5</v>
      </c>
      <c r="AK7" s="138">
        <f t="shared" si="12"/>
        <v>1.2415976194256441E-2</v>
      </c>
      <c r="AL7" s="138">
        <f t="shared" si="13"/>
        <v>2.3198499632396576E-7</v>
      </c>
      <c r="AM7" s="137">
        <v>17327169</v>
      </c>
      <c r="AN7" s="140">
        <v>715767</v>
      </c>
      <c r="AO7" s="140">
        <v>8880</v>
      </c>
      <c r="AP7" s="138">
        <f t="shared" si="14"/>
        <v>4.1308940889305111E-2</v>
      </c>
      <c r="AQ7" s="138">
        <f t="shared" si="15"/>
        <v>5.1248995147447341E-4</v>
      </c>
      <c r="AR7" s="141">
        <f t="shared" si="16"/>
        <v>40349051</v>
      </c>
      <c r="AS7" s="140">
        <f t="shared" ref="AS7:AT7" si="25">AD7+AI7+AN7</f>
        <v>3098025</v>
      </c>
      <c r="AT7" s="144">
        <f t="shared" si="25"/>
        <v>1158432</v>
      </c>
      <c r="AU7" s="138">
        <f t="shared" si="18"/>
        <v>7.6780616228123932E-2</v>
      </c>
      <c r="AV7" s="138">
        <f t="shared" si="19"/>
        <v>2.8710266320761794E-2</v>
      </c>
      <c r="AW7" s="138"/>
      <c r="AX7" s="138"/>
      <c r="AY7" s="143"/>
      <c r="AZ7" s="143"/>
      <c r="BA7" s="143"/>
      <c r="BB7" s="143"/>
      <c r="BC7" s="143"/>
      <c r="BD7" s="143"/>
      <c r="BE7" s="143"/>
      <c r="BF7" s="143" t="s">
        <v>338</v>
      </c>
      <c r="BG7" s="143" t="s">
        <v>338</v>
      </c>
      <c r="BH7" s="143" t="s">
        <v>338</v>
      </c>
      <c r="BI7" s="143" t="s">
        <v>338</v>
      </c>
    </row>
    <row r="8" spans="1:61" x14ac:dyDescent="0.25">
      <c r="A8" s="136">
        <v>44264</v>
      </c>
      <c r="B8" s="137">
        <v>112301</v>
      </c>
      <c r="C8" s="140">
        <v>113326</v>
      </c>
      <c r="D8" s="140">
        <v>89984</v>
      </c>
      <c r="E8" s="138">
        <f t="shared" si="0"/>
        <v>1.0091272562132128</v>
      </c>
      <c r="F8" s="138">
        <f t="shared" si="1"/>
        <v>0.80127514447778736</v>
      </c>
      <c r="G8" s="137">
        <v>911631</v>
      </c>
      <c r="H8" s="140">
        <v>135128</v>
      </c>
      <c r="I8" s="140">
        <v>675</v>
      </c>
      <c r="J8" s="138">
        <f t="shared" si="2"/>
        <v>0.14822663994532875</v>
      </c>
      <c r="K8" s="138">
        <f t="shared" si="3"/>
        <v>7.4043116129223342E-4</v>
      </c>
      <c r="L8" s="137">
        <v>1976757</v>
      </c>
      <c r="M8" s="140">
        <v>174685</v>
      </c>
      <c r="N8" s="140">
        <v>29195</v>
      </c>
      <c r="O8" s="138">
        <f t="shared" si="4"/>
        <v>8.8369485981332055E-2</v>
      </c>
      <c r="P8" s="138">
        <f t="shared" si="5"/>
        <v>1.4769139555342412E-2</v>
      </c>
      <c r="Q8" s="137">
        <v>3000689</v>
      </c>
      <c r="R8" s="137">
        <f t="shared" ref="R8:S8" si="26">C8+H8+M8</f>
        <v>423139</v>
      </c>
      <c r="S8" s="137">
        <f t="shared" si="26"/>
        <v>119854</v>
      </c>
      <c r="T8" s="139">
        <f t="shared" si="8"/>
        <v>0.14101394713014245</v>
      </c>
      <c r="U8" s="139">
        <f t="shared" si="9"/>
        <v>3.9942159950598015E-2</v>
      </c>
      <c r="V8" s="139"/>
      <c r="W8" s="139"/>
      <c r="X8" s="139"/>
      <c r="Y8" s="139"/>
      <c r="Z8" s="139"/>
      <c r="AA8" s="139"/>
      <c r="AB8" s="139"/>
      <c r="AC8" s="137">
        <v>1468764</v>
      </c>
      <c r="AD8" s="140">
        <v>1395498</v>
      </c>
      <c r="AE8" s="140">
        <v>1127633</v>
      </c>
      <c r="AF8" s="138">
        <f t="shared" si="10"/>
        <v>0.95011724143565612</v>
      </c>
      <c r="AG8" s="138">
        <f t="shared" si="11"/>
        <v>0.76774280960045316</v>
      </c>
      <c r="AH8" s="140">
        <v>21553118</v>
      </c>
      <c r="AI8" s="140">
        <v>430591</v>
      </c>
      <c r="AJ8" s="140">
        <v>1612</v>
      </c>
      <c r="AK8" s="138">
        <f t="shared" si="12"/>
        <v>1.9978130310426546E-2</v>
      </c>
      <c r="AL8" s="138">
        <f t="shared" si="13"/>
        <v>7.4791962814846564E-5</v>
      </c>
      <c r="AM8" s="137">
        <v>17327169</v>
      </c>
      <c r="AN8" s="140">
        <v>1510937</v>
      </c>
      <c r="AO8" s="140">
        <v>68527</v>
      </c>
      <c r="AP8" s="138">
        <f t="shared" si="14"/>
        <v>8.7200453807543515E-2</v>
      </c>
      <c r="AQ8" s="138">
        <f t="shared" si="15"/>
        <v>3.9548872640418065E-3</v>
      </c>
      <c r="AR8" s="141">
        <f t="shared" si="16"/>
        <v>40349051</v>
      </c>
      <c r="AS8" s="140">
        <f t="shared" ref="AS8:AT8" si="27">AD8+AI8+AN8</f>
        <v>3337026</v>
      </c>
      <c r="AT8" s="144">
        <f t="shared" si="27"/>
        <v>1197772</v>
      </c>
      <c r="AU8" s="138">
        <f t="shared" si="18"/>
        <v>8.2703952566319336E-2</v>
      </c>
      <c r="AV8" s="138">
        <f t="shared" si="19"/>
        <v>2.9685258272864955E-2</v>
      </c>
      <c r="AW8" s="138"/>
      <c r="AX8" s="138"/>
      <c r="AY8" s="143"/>
      <c r="AZ8" s="143"/>
      <c r="BA8" s="143"/>
      <c r="BB8" s="143"/>
      <c r="BC8" s="143"/>
      <c r="BD8" s="143"/>
      <c r="BE8" s="143"/>
      <c r="BF8" s="143" t="s">
        <v>338</v>
      </c>
      <c r="BG8" s="143" t="s">
        <v>338</v>
      </c>
      <c r="BH8" s="143" t="s">
        <v>338</v>
      </c>
      <c r="BI8" s="143" t="s">
        <v>338</v>
      </c>
    </row>
    <row r="9" spans="1:61" x14ac:dyDescent="0.25">
      <c r="A9" s="136">
        <v>44265</v>
      </c>
      <c r="B9" s="137">
        <v>112301</v>
      </c>
      <c r="C9" s="140">
        <v>116791</v>
      </c>
      <c r="D9" s="140">
        <v>90681</v>
      </c>
      <c r="E9" s="138">
        <f t="shared" si="0"/>
        <v>1.0399818345339757</v>
      </c>
      <c r="F9" s="138">
        <f t="shared" si="1"/>
        <v>0.80748167870277199</v>
      </c>
      <c r="G9" s="137">
        <v>911631</v>
      </c>
      <c r="H9" s="140">
        <v>154251</v>
      </c>
      <c r="I9" s="140">
        <v>1100</v>
      </c>
      <c r="J9" s="138">
        <f t="shared" si="2"/>
        <v>0.16920332897850118</v>
      </c>
      <c r="K9" s="138">
        <f t="shared" si="3"/>
        <v>1.2066285591428988E-3</v>
      </c>
      <c r="L9" s="137">
        <v>1976757</v>
      </c>
      <c r="M9" s="140">
        <v>202452</v>
      </c>
      <c r="N9" s="140">
        <v>17773</v>
      </c>
      <c r="O9" s="138">
        <f t="shared" si="4"/>
        <v>0.10241623021949588</v>
      </c>
      <c r="P9" s="138">
        <f t="shared" si="5"/>
        <v>8.9909887760609934E-3</v>
      </c>
      <c r="Q9" s="137">
        <v>3000689</v>
      </c>
      <c r="R9" s="137">
        <f t="shared" ref="R9:S9" si="28">C9+H9+M9</f>
        <v>473494</v>
      </c>
      <c r="S9" s="137">
        <f t="shared" si="28"/>
        <v>109554</v>
      </c>
      <c r="T9" s="139">
        <f t="shared" si="8"/>
        <v>0.15779509306029382</v>
      </c>
      <c r="U9" s="139">
        <f t="shared" si="9"/>
        <v>3.6509614958431212E-2</v>
      </c>
      <c r="V9" s="139"/>
      <c r="W9" s="139"/>
      <c r="X9" s="139"/>
      <c r="Y9" s="139"/>
      <c r="Z9" s="139"/>
      <c r="AA9" s="139"/>
      <c r="AB9" s="139"/>
      <c r="AC9" s="137">
        <v>1468764</v>
      </c>
      <c r="AD9" s="140">
        <v>1395498</v>
      </c>
      <c r="AE9" s="140">
        <v>1127633</v>
      </c>
      <c r="AF9" s="138">
        <f t="shared" si="10"/>
        <v>0.95011724143565612</v>
      </c>
      <c r="AG9" s="138">
        <f t="shared" si="11"/>
        <v>0.76774280960045316</v>
      </c>
      <c r="AH9" s="140">
        <v>21553118</v>
      </c>
      <c r="AI9" s="140">
        <v>494125</v>
      </c>
      <c r="AJ9" s="140">
        <v>2694</v>
      </c>
      <c r="AK9" s="138">
        <f t="shared" si="12"/>
        <v>2.2925917261715913E-2</v>
      </c>
      <c r="AL9" s="138">
        <f t="shared" si="13"/>
        <v>1.2499351601935274E-4</v>
      </c>
      <c r="AM9" s="137">
        <v>17327169</v>
      </c>
      <c r="AN9" s="140">
        <v>1682896</v>
      </c>
      <c r="AO9" s="140">
        <v>119495</v>
      </c>
      <c r="AP9" s="138">
        <f t="shared" si="14"/>
        <v>9.7124694749615478E-2</v>
      </c>
      <c r="AQ9" s="138">
        <f t="shared" si="15"/>
        <v>6.8963949044416892E-3</v>
      </c>
      <c r="AR9" s="141">
        <f t="shared" si="16"/>
        <v>40349051</v>
      </c>
      <c r="AS9" s="140">
        <f t="shared" ref="AS9:AT9" si="29">AD9+AI9+AN9</f>
        <v>3572519</v>
      </c>
      <c r="AT9" s="144">
        <f t="shared" si="29"/>
        <v>1249822</v>
      </c>
      <c r="AU9" s="138">
        <f t="shared" si="18"/>
        <v>8.8540347578434986E-2</v>
      </c>
      <c r="AV9" s="138">
        <f t="shared" si="19"/>
        <v>3.0975251437759962E-2</v>
      </c>
      <c r="AW9" s="138"/>
      <c r="AX9" s="138"/>
      <c r="AY9" s="143"/>
      <c r="AZ9" s="143"/>
      <c r="BA9" s="143"/>
      <c r="BB9" s="143"/>
      <c r="BC9" s="143"/>
      <c r="BD9" s="143"/>
      <c r="BE9" s="143"/>
      <c r="BF9" s="143" t="s">
        <v>338</v>
      </c>
      <c r="BG9" s="143" t="s">
        <v>338</v>
      </c>
      <c r="BH9" s="143" t="s">
        <v>338</v>
      </c>
      <c r="BI9" s="143" t="s">
        <v>338</v>
      </c>
    </row>
    <row r="10" spans="1:61" x14ac:dyDescent="0.25">
      <c r="A10" s="136">
        <v>44266</v>
      </c>
      <c r="B10" s="137">
        <v>112301</v>
      </c>
      <c r="C10" s="140">
        <v>116823</v>
      </c>
      <c r="D10" s="140">
        <v>90693</v>
      </c>
      <c r="E10" s="138">
        <f t="shared" si="0"/>
        <v>1.040266783020632</v>
      </c>
      <c r="F10" s="138">
        <f t="shared" si="1"/>
        <v>0.80758853438526812</v>
      </c>
      <c r="G10" s="137">
        <v>911631</v>
      </c>
      <c r="H10" s="140">
        <v>154915</v>
      </c>
      <c r="I10" s="140">
        <v>1103</v>
      </c>
      <c r="J10" s="138">
        <f t="shared" si="2"/>
        <v>0.16993169385420198</v>
      </c>
      <c r="K10" s="138">
        <f t="shared" si="3"/>
        <v>1.2099193643041975E-3</v>
      </c>
      <c r="L10" s="137">
        <v>1976757</v>
      </c>
      <c r="M10" s="140">
        <v>211754</v>
      </c>
      <c r="N10" s="140">
        <v>17903</v>
      </c>
      <c r="O10" s="138">
        <f t="shared" si="4"/>
        <v>0.1071219173626298</v>
      </c>
      <c r="P10" s="138">
        <f t="shared" si="5"/>
        <v>9.0567530556360746E-3</v>
      </c>
      <c r="Q10" s="137">
        <v>3000689</v>
      </c>
      <c r="R10" s="137">
        <f t="shared" ref="R10:S10" si="30">C10+H10+M10</f>
        <v>483492</v>
      </c>
      <c r="S10" s="137">
        <f t="shared" si="30"/>
        <v>109699</v>
      </c>
      <c r="T10" s="139">
        <f t="shared" si="8"/>
        <v>0.1611269945002631</v>
      </c>
      <c r="U10" s="139">
        <f t="shared" si="9"/>
        <v>3.6557937193757835E-2</v>
      </c>
      <c r="V10" s="139"/>
      <c r="W10" s="139"/>
      <c r="X10" s="139"/>
      <c r="Y10" s="139"/>
      <c r="Z10" s="139"/>
      <c r="AA10" s="139"/>
      <c r="AB10" s="139"/>
      <c r="AC10" s="137">
        <v>1468764</v>
      </c>
      <c r="AD10" s="140">
        <v>1402959</v>
      </c>
      <c r="AE10" s="140">
        <v>1147846</v>
      </c>
      <c r="AF10" s="138">
        <f t="shared" si="10"/>
        <v>0.95519702280284646</v>
      </c>
      <c r="AG10" s="138">
        <f t="shared" si="11"/>
        <v>0.78150472097627666</v>
      </c>
      <c r="AH10" s="140">
        <v>21553118</v>
      </c>
      <c r="AI10" s="140">
        <v>525891</v>
      </c>
      <c r="AJ10" s="140">
        <v>3080</v>
      </c>
      <c r="AK10" s="138">
        <f t="shared" si="12"/>
        <v>2.4399764340361334E-2</v>
      </c>
      <c r="AL10" s="138">
        <f t="shared" si="13"/>
        <v>1.4290275773556289E-4</v>
      </c>
      <c r="AM10" s="137">
        <v>17327169</v>
      </c>
      <c r="AN10" s="140">
        <v>1767209</v>
      </c>
      <c r="AO10" s="140">
        <v>144689</v>
      </c>
      <c r="AP10" s="138">
        <f t="shared" si="14"/>
        <v>0.10199063678550142</v>
      </c>
      <c r="AQ10" s="138">
        <f t="shared" si="15"/>
        <v>8.3504120032533886E-3</v>
      </c>
      <c r="AR10" s="141">
        <f t="shared" si="16"/>
        <v>40349051</v>
      </c>
      <c r="AS10" s="140">
        <f t="shared" ref="AS10:AT10" si="31">AD10+AI10+AN10</f>
        <v>3696059</v>
      </c>
      <c r="AT10" s="144">
        <f t="shared" si="31"/>
        <v>1295615</v>
      </c>
      <c r="AU10" s="138">
        <f t="shared" si="18"/>
        <v>9.1602129626295298E-2</v>
      </c>
      <c r="AV10" s="138">
        <f t="shared" si="19"/>
        <v>3.2110172801833682E-2</v>
      </c>
      <c r="AW10" s="138"/>
      <c r="AX10" s="138"/>
      <c r="AY10" s="143"/>
      <c r="AZ10" s="143"/>
      <c r="BA10" s="143"/>
      <c r="BB10" s="143"/>
      <c r="BC10" s="143"/>
      <c r="BD10" s="143"/>
      <c r="BE10" s="143"/>
      <c r="BF10" s="143" t="s">
        <v>338</v>
      </c>
      <c r="BG10" s="143" t="s">
        <v>338</v>
      </c>
      <c r="BH10" s="143" t="s">
        <v>338</v>
      </c>
      <c r="BI10" s="143" t="s">
        <v>338</v>
      </c>
    </row>
    <row r="11" spans="1:61" x14ac:dyDescent="0.25">
      <c r="A11" s="136">
        <v>44267</v>
      </c>
      <c r="B11" s="137">
        <v>112301</v>
      </c>
      <c r="C11" s="140">
        <v>118086</v>
      </c>
      <c r="D11" s="140">
        <v>91521</v>
      </c>
      <c r="E11" s="138">
        <f t="shared" si="0"/>
        <v>1.0515133436033517</v>
      </c>
      <c r="F11" s="138">
        <f t="shared" si="1"/>
        <v>0.81496157647750245</v>
      </c>
      <c r="G11" s="137">
        <v>911631</v>
      </c>
      <c r="H11" s="140">
        <v>167086</v>
      </c>
      <c r="I11" s="140">
        <v>1291</v>
      </c>
      <c r="J11" s="138">
        <f t="shared" si="2"/>
        <v>0.18328249039359126</v>
      </c>
      <c r="K11" s="138">
        <f t="shared" si="3"/>
        <v>1.4161431544122568E-3</v>
      </c>
      <c r="L11" s="137">
        <v>1976757</v>
      </c>
      <c r="M11" s="140">
        <v>234403</v>
      </c>
      <c r="N11" s="140">
        <v>20226</v>
      </c>
      <c r="O11" s="138">
        <f t="shared" si="4"/>
        <v>0.11857957250183002</v>
      </c>
      <c r="P11" s="138">
        <f t="shared" si="5"/>
        <v>1.0231910143735421E-2</v>
      </c>
      <c r="Q11" s="137">
        <v>3000689</v>
      </c>
      <c r="R11" s="137">
        <f t="shared" ref="R11:S11" si="32">C11+H11+M11</f>
        <v>519575</v>
      </c>
      <c r="S11" s="137">
        <f t="shared" si="32"/>
        <v>113038</v>
      </c>
      <c r="T11" s="139">
        <f t="shared" si="8"/>
        <v>0.17315189944709364</v>
      </c>
      <c r="U11" s="139">
        <f t="shared" si="9"/>
        <v>3.7670681633451518E-2</v>
      </c>
      <c r="V11" s="139"/>
      <c r="W11" s="139"/>
      <c r="X11" s="139"/>
      <c r="Y11" s="139"/>
      <c r="Z11" s="139"/>
      <c r="AA11" s="139"/>
      <c r="AB11" s="139"/>
      <c r="AC11" s="137">
        <v>1468764</v>
      </c>
      <c r="AD11" s="140">
        <v>1402959</v>
      </c>
      <c r="AE11" s="140">
        <v>1147846</v>
      </c>
      <c r="AF11" s="138">
        <f t="shared" si="10"/>
        <v>0.95519702280284646</v>
      </c>
      <c r="AG11" s="138">
        <f t="shared" si="11"/>
        <v>0.78150472097627666</v>
      </c>
      <c r="AH11" s="140">
        <v>21553118</v>
      </c>
      <c r="AI11" s="140">
        <v>525891</v>
      </c>
      <c r="AJ11" s="140">
        <v>3080</v>
      </c>
      <c r="AK11" s="138">
        <f t="shared" si="12"/>
        <v>2.4399764340361334E-2</v>
      </c>
      <c r="AL11" s="138">
        <f t="shared" si="13"/>
        <v>1.4290275773556289E-4</v>
      </c>
      <c r="AM11" s="137">
        <v>17327169</v>
      </c>
      <c r="AN11" s="140">
        <v>1767209</v>
      </c>
      <c r="AO11" s="140">
        <v>144689</v>
      </c>
      <c r="AP11" s="138">
        <f t="shared" si="14"/>
        <v>0.10199063678550142</v>
      </c>
      <c r="AQ11" s="138">
        <f t="shared" si="15"/>
        <v>8.3504120032533886E-3</v>
      </c>
      <c r="AR11" s="141">
        <f t="shared" si="16"/>
        <v>40349051</v>
      </c>
      <c r="AS11" s="140">
        <f t="shared" ref="AS11:AT11" si="33">AD11+AI11+AN11</f>
        <v>3696059</v>
      </c>
      <c r="AT11" s="144">
        <f t="shared" si="33"/>
        <v>1295615</v>
      </c>
      <c r="AU11" s="138">
        <f t="shared" si="18"/>
        <v>9.1602129626295298E-2</v>
      </c>
      <c r="AV11" s="138">
        <f t="shared" si="19"/>
        <v>3.2110172801833682E-2</v>
      </c>
      <c r="AW11" s="138"/>
      <c r="AX11" s="138"/>
      <c r="AY11" s="143"/>
      <c r="AZ11" s="143"/>
      <c r="BA11" s="143"/>
      <c r="BB11" s="143"/>
      <c r="BC11" s="143"/>
      <c r="BD11" s="143"/>
      <c r="BE11" s="143"/>
      <c r="BF11" s="143" t="s">
        <v>338</v>
      </c>
      <c r="BG11" s="143" t="s">
        <v>338</v>
      </c>
      <c r="BH11" s="143" t="s">
        <v>338</v>
      </c>
      <c r="BI11" s="143" t="s">
        <v>338</v>
      </c>
    </row>
    <row r="12" spans="1:61" x14ac:dyDescent="0.25">
      <c r="A12" s="136">
        <v>44268</v>
      </c>
      <c r="B12" s="137">
        <v>112301</v>
      </c>
      <c r="C12" s="140">
        <v>118283</v>
      </c>
      <c r="D12" s="140">
        <v>91748</v>
      </c>
      <c r="E12" s="138">
        <f t="shared" si="0"/>
        <v>1.0532675577243302</v>
      </c>
      <c r="F12" s="138">
        <f t="shared" si="1"/>
        <v>0.8169829298047212</v>
      </c>
      <c r="G12" s="137">
        <v>911631</v>
      </c>
      <c r="H12" s="140">
        <v>174327</v>
      </c>
      <c r="I12" s="140">
        <v>1444</v>
      </c>
      <c r="J12" s="138">
        <f t="shared" si="2"/>
        <v>0.19122539711791284</v>
      </c>
      <c r="K12" s="138">
        <f t="shared" si="3"/>
        <v>1.5839742176384963E-3</v>
      </c>
      <c r="L12" s="137">
        <v>1976757</v>
      </c>
      <c r="M12" s="140">
        <v>245355</v>
      </c>
      <c r="N12" s="140">
        <v>21272</v>
      </c>
      <c r="O12" s="138">
        <f t="shared" si="4"/>
        <v>0.12411996011649383</v>
      </c>
      <c r="P12" s="138">
        <f t="shared" si="5"/>
        <v>1.0761059654778003E-2</v>
      </c>
      <c r="Q12" s="137">
        <v>3000689</v>
      </c>
      <c r="R12" s="137">
        <f t="shared" ref="R12:S12" si="34">C12+H12+M12</f>
        <v>537965</v>
      </c>
      <c r="S12" s="137">
        <f t="shared" si="34"/>
        <v>114464</v>
      </c>
      <c r="T12" s="139">
        <f t="shared" si="8"/>
        <v>0.1792804919136905</v>
      </c>
      <c r="U12" s="139">
        <f t="shared" si="9"/>
        <v>3.8145905823629173E-2</v>
      </c>
      <c r="V12" s="139"/>
      <c r="W12" s="139"/>
      <c r="X12" s="139"/>
      <c r="Y12" s="139"/>
      <c r="Z12" s="139"/>
      <c r="AA12" s="139"/>
      <c r="AB12" s="139"/>
      <c r="AC12" s="137">
        <v>1468764</v>
      </c>
      <c r="AD12" s="140">
        <v>1412736</v>
      </c>
      <c r="AE12" s="140">
        <v>1171385</v>
      </c>
      <c r="AF12" s="138">
        <f t="shared" si="10"/>
        <v>0.96185364020359976</v>
      </c>
      <c r="AG12" s="138">
        <f t="shared" si="11"/>
        <v>0.7975311214054811</v>
      </c>
      <c r="AH12" s="140">
        <v>21553118</v>
      </c>
      <c r="AI12" s="140">
        <v>625665</v>
      </c>
      <c r="AJ12" s="140">
        <v>4497</v>
      </c>
      <c r="AK12" s="138">
        <f t="shared" si="12"/>
        <v>2.9028978545006807E-2</v>
      </c>
      <c r="AL12" s="138">
        <f t="shared" si="13"/>
        <v>2.086473056937748E-4</v>
      </c>
      <c r="AM12" s="137">
        <v>17327169</v>
      </c>
      <c r="AN12" s="140">
        <v>1947195</v>
      </c>
      <c r="AO12" s="140">
        <v>278954</v>
      </c>
      <c r="AP12" s="138">
        <f t="shared" si="14"/>
        <v>0.11237813863303348</v>
      </c>
      <c r="AQ12" s="138">
        <f t="shared" si="15"/>
        <v>1.6099225441848001E-2</v>
      </c>
      <c r="AR12" s="141">
        <f t="shared" si="16"/>
        <v>40349051</v>
      </c>
      <c r="AS12" s="140">
        <f t="shared" ref="AS12:AT12" si="35">AD12+AI12+AN12</f>
        <v>3985596</v>
      </c>
      <c r="AT12" s="144">
        <f t="shared" si="35"/>
        <v>1454836</v>
      </c>
      <c r="AU12" s="138">
        <f t="shared" si="18"/>
        <v>9.8777936561630655E-2</v>
      </c>
      <c r="AV12" s="138">
        <f t="shared" si="19"/>
        <v>3.605626313243402E-2</v>
      </c>
      <c r="AW12" s="138"/>
      <c r="AX12" s="138"/>
      <c r="AY12" s="143"/>
      <c r="AZ12" s="143"/>
      <c r="BA12" s="143"/>
      <c r="BB12" s="143"/>
      <c r="BC12" s="143"/>
      <c r="BD12" s="143"/>
      <c r="BE12" s="143"/>
      <c r="BF12" s="143" t="s">
        <v>338</v>
      </c>
      <c r="BG12" s="143" t="s">
        <v>338</v>
      </c>
      <c r="BH12" s="143" t="s">
        <v>338</v>
      </c>
      <c r="BI12" s="143" t="s">
        <v>338</v>
      </c>
    </row>
    <row r="13" spans="1:61" x14ac:dyDescent="0.25">
      <c r="A13" s="136">
        <v>44269</v>
      </c>
      <c r="B13" s="137">
        <v>112301</v>
      </c>
      <c r="C13" s="140">
        <v>118301</v>
      </c>
      <c r="D13" s="140">
        <v>91764</v>
      </c>
      <c r="E13" s="138">
        <f t="shared" si="0"/>
        <v>1.0534278412480744</v>
      </c>
      <c r="F13" s="138">
        <f t="shared" si="1"/>
        <v>0.81712540404804945</v>
      </c>
      <c r="G13" s="137">
        <v>911631</v>
      </c>
      <c r="H13" s="140">
        <v>179024</v>
      </c>
      <c r="I13" s="140">
        <v>1444</v>
      </c>
      <c r="J13" s="138">
        <f t="shared" si="2"/>
        <v>0.19637770106545302</v>
      </c>
      <c r="K13" s="138">
        <f t="shared" si="3"/>
        <v>1.5839742176384963E-3</v>
      </c>
      <c r="L13" s="137">
        <v>1976757</v>
      </c>
      <c r="M13" s="140">
        <v>252763</v>
      </c>
      <c r="N13" s="140">
        <v>21413</v>
      </c>
      <c r="O13" s="138">
        <f t="shared" si="4"/>
        <v>0.12786751229412618</v>
      </c>
      <c r="P13" s="138">
        <f t="shared" si="5"/>
        <v>1.0832388604163284E-2</v>
      </c>
      <c r="Q13" s="137">
        <v>3000689</v>
      </c>
      <c r="R13" s="137">
        <f t="shared" ref="R13:S13" si="36">C13+H13+M13</f>
        <v>550088</v>
      </c>
      <c r="S13" s="137">
        <f t="shared" si="36"/>
        <v>114621</v>
      </c>
      <c r="T13" s="139">
        <f t="shared" si="8"/>
        <v>0.18332056404379127</v>
      </c>
      <c r="U13" s="139">
        <f t="shared" si="9"/>
        <v>3.8198227140500064E-2</v>
      </c>
      <c r="V13" s="139"/>
      <c r="W13" s="139"/>
      <c r="X13" s="139"/>
      <c r="Y13" s="139"/>
      <c r="Z13" s="139"/>
      <c r="AA13" s="139"/>
      <c r="AB13" s="139"/>
      <c r="AC13" s="137">
        <v>1468764</v>
      </c>
      <c r="AD13" s="140">
        <v>1413684</v>
      </c>
      <c r="AE13" s="140">
        <v>1172848</v>
      </c>
      <c r="AF13" s="138">
        <f t="shared" si="10"/>
        <v>0.96249908085982494</v>
      </c>
      <c r="AG13" s="138">
        <f t="shared" si="11"/>
        <v>0.79852719701735608</v>
      </c>
      <c r="AH13" s="140">
        <v>21553118</v>
      </c>
      <c r="AI13" s="140">
        <v>638492</v>
      </c>
      <c r="AJ13" s="140">
        <v>4530</v>
      </c>
      <c r="AK13" s="138">
        <f t="shared" si="12"/>
        <v>2.9624112854576307E-2</v>
      </c>
      <c r="AL13" s="138">
        <f t="shared" si="13"/>
        <v>2.1017840666951297E-4</v>
      </c>
      <c r="AM13" s="137">
        <v>17327169</v>
      </c>
      <c r="AN13" s="140">
        <v>1967948</v>
      </c>
      <c r="AO13" s="140">
        <v>282844</v>
      </c>
      <c r="AP13" s="138">
        <f t="shared" si="14"/>
        <v>0.11357585304327557</v>
      </c>
      <c r="AQ13" s="138">
        <f t="shared" si="15"/>
        <v>1.6323728359779952E-2</v>
      </c>
      <c r="AR13" s="141">
        <f t="shared" si="16"/>
        <v>40349051</v>
      </c>
      <c r="AS13" s="140">
        <f t="shared" ref="AS13:AT13" si="37">AD13+AI13+AN13</f>
        <v>4020124</v>
      </c>
      <c r="AT13" s="144">
        <f t="shared" si="37"/>
        <v>1460222</v>
      </c>
      <c r="AU13" s="138">
        <f t="shared" si="18"/>
        <v>9.9633669203273212E-2</v>
      </c>
      <c r="AV13" s="138">
        <f t="shared" si="19"/>
        <v>3.6189748304117489E-2</v>
      </c>
      <c r="AW13" s="138"/>
      <c r="AX13" s="138"/>
      <c r="AY13" s="143"/>
      <c r="AZ13" s="143"/>
      <c r="BA13" s="143"/>
      <c r="BB13" s="143"/>
      <c r="BC13" s="143"/>
      <c r="BD13" s="143"/>
      <c r="BE13" s="143"/>
      <c r="BF13" s="143" t="s">
        <v>338</v>
      </c>
      <c r="BG13" s="143" t="s">
        <v>338</v>
      </c>
      <c r="BH13" s="143" t="s">
        <v>338</v>
      </c>
      <c r="BI13" s="143" t="s">
        <v>338</v>
      </c>
    </row>
    <row r="14" spans="1:61" x14ac:dyDescent="0.25">
      <c r="A14" s="136">
        <v>44270</v>
      </c>
      <c r="B14" s="137">
        <v>112301</v>
      </c>
      <c r="C14" s="140">
        <v>118983</v>
      </c>
      <c r="D14" s="140">
        <v>92579</v>
      </c>
      <c r="E14" s="138">
        <f t="shared" si="0"/>
        <v>1.0595008058699389</v>
      </c>
      <c r="F14" s="138">
        <f t="shared" si="1"/>
        <v>0.82438268581757956</v>
      </c>
      <c r="G14" s="137">
        <v>911631</v>
      </c>
      <c r="H14" s="140">
        <v>197743</v>
      </c>
      <c r="I14" s="140">
        <v>1620</v>
      </c>
      <c r="J14" s="138">
        <f t="shared" si="2"/>
        <v>0.21691122833690385</v>
      </c>
      <c r="K14" s="138">
        <f t="shared" si="3"/>
        <v>1.77703478710136E-3</v>
      </c>
      <c r="L14" s="137">
        <v>1976757</v>
      </c>
      <c r="M14" s="140">
        <v>282970</v>
      </c>
      <c r="N14" s="140">
        <v>29871</v>
      </c>
      <c r="O14" s="138">
        <f t="shared" si="4"/>
        <v>0.14314860147200692</v>
      </c>
      <c r="P14" s="138">
        <f t="shared" si="5"/>
        <v>1.5111113809132838E-2</v>
      </c>
      <c r="Q14" s="137">
        <v>3000689</v>
      </c>
      <c r="R14" s="137">
        <f t="shared" ref="R14:S14" si="38">C14+H14+M14</f>
        <v>599696</v>
      </c>
      <c r="S14" s="137">
        <f t="shared" si="38"/>
        <v>124070</v>
      </c>
      <c r="T14" s="139">
        <f t="shared" si="8"/>
        <v>0.19985276714781172</v>
      </c>
      <c r="U14" s="139">
        <f t="shared" si="9"/>
        <v>4.1347170599818905E-2</v>
      </c>
      <c r="V14" s="139"/>
      <c r="W14" s="139"/>
      <c r="X14" s="139"/>
      <c r="Y14" s="139"/>
      <c r="Z14" s="139"/>
      <c r="AA14" s="139"/>
      <c r="AB14" s="139"/>
      <c r="AC14" s="137">
        <v>1468764</v>
      </c>
      <c r="AD14" s="140">
        <v>1418620</v>
      </c>
      <c r="AE14" s="140">
        <v>1183715</v>
      </c>
      <c r="AF14" s="138">
        <f t="shared" si="10"/>
        <v>0.96585972967747036</v>
      </c>
      <c r="AG14" s="138">
        <f t="shared" si="11"/>
        <v>0.80592593500385357</v>
      </c>
      <c r="AH14" s="140">
        <v>21553118</v>
      </c>
      <c r="AI14" s="140">
        <v>701583</v>
      </c>
      <c r="AJ14" s="140">
        <v>5151</v>
      </c>
      <c r="AK14" s="138">
        <f t="shared" si="12"/>
        <v>3.2551345935191371E-2</v>
      </c>
      <c r="AL14" s="138">
        <f t="shared" si="13"/>
        <v>2.3899094321294952E-4</v>
      </c>
      <c r="AM14" s="137">
        <v>17327169</v>
      </c>
      <c r="AN14" s="140">
        <v>2046659</v>
      </c>
      <c r="AO14" s="140">
        <v>383920</v>
      </c>
      <c r="AP14" s="138">
        <f t="shared" si="14"/>
        <v>0.11811848779220656</v>
      </c>
      <c r="AQ14" s="138">
        <f t="shared" si="15"/>
        <v>2.2157110604738722E-2</v>
      </c>
      <c r="AR14" s="141">
        <f t="shared" si="16"/>
        <v>40349051</v>
      </c>
      <c r="AS14" s="140">
        <f t="shared" ref="AS14:AT14" si="39">AD14+AI14+AN14</f>
        <v>4166862</v>
      </c>
      <c r="AT14" s="144">
        <f t="shared" si="39"/>
        <v>1572786</v>
      </c>
      <c r="AU14" s="138">
        <f t="shared" si="18"/>
        <v>0.10327038422787192</v>
      </c>
      <c r="AV14" s="138">
        <f t="shared" si="19"/>
        <v>3.8979504127618761E-2</v>
      </c>
      <c r="AW14" s="138"/>
      <c r="AX14" s="138"/>
      <c r="AY14" s="143"/>
      <c r="AZ14" s="143"/>
      <c r="BA14" s="143"/>
      <c r="BB14" s="143"/>
      <c r="BC14" s="143"/>
      <c r="BD14" s="143"/>
      <c r="BE14" s="143"/>
      <c r="BF14" s="143" t="s">
        <v>338</v>
      </c>
      <c r="BG14" s="143" t="s">
        <v>338</v>
      </c>
      <c r="BH14" s="143" t="s">
        <v>338</v>
      </c>
      <c r="BI14" s="143" t="s">
        <v>338</v>
      </c>
    </row>
    <row r="15" spans="1:61" x14ac:dyDescent="0.25">
      <c r="A15" s="136">
        <v>44271</v>
      </c>
      <c r="B15" s="137">
        <v>112301</v>
      </c>
      <c r="C15" s="140">
        <v>119531</v>
      </c>
      <c r="D15" s="140">
        <v>93559</v>
      </c>
      <c r="E15" s="138">
        <f t="shared" si="0"/>
        <v>1.0643805487039295</v>
      </c>
      <c r="F15" s="138">
        <f t="shared" si="1"/>
        <v>0.83310923322143171</v>
      </c>
      <c r="G15" s="137">
        <v>911631</v>
      </c>
      <c r="H15" s="140">
        <v>216011</v>
      </c>
      <c r="I15" s="140">
        <v>1754</v>
      </c>
      <c r="J15" s="138">
        <f t="shared" si="2"/>
        <v>0.2369500378991061</v>
      </c>
      <c r="K15" s="138">
        <f t="shared" si="3"/>
        <v>1.9240240843060405E-3</v>
      </c>
      <c r="L15" s="137">
        <v>1976757</v>
      </c>
      <c r="M15" s="140">
        <v>312415</v>
      </c>
      <c r="N15" s="140">
        <v>43891</v>
      </c>
      <c r="O15" s="138">
        <f t="shared" si="4"/>
        <v>0.15804421079576295</v>
      </c>
      <c r="P15" s="138">
        <f t="shared" si="5"/>
        <v>2.2203538421768584E-2</v>
      </c>
      <c r="Q15" s="137">
        <v>3000689</v>
      </c>
      <c r="R15" s="137">
        <f t="shared" ref="R15:S15" si="40">C15+H15+M15</f>
        <v>647957</v>
      </c>
      <c r="S15" s="137">
        <f t="shared" si="40"/>
        <v>139204</v>
      </c>
      <c r="T15" s="139">
        <f t="shared" si="8"/>
        <v>0.21593607334848763</v>
      </c>
      <c r="U15" s="139">
        <f t="shared" si="9"/>
        <v>4.6390678940736611E-2</v>
      </c>
      <c r="V15" s="139"/>
      <c r="W15" s="139"/>
      <c r="X15" s="139"/>
      <c r="Y15" s="139"/>
      <c r="Z15" s="139"/>
      <c r="AA15" s="139"/>
      <c r="AB15" s="139"/>
      <c r="AC15" s="137">
        <v>1468764</v>
      </c>
      <c r="AD15" s="140">
        <v>1425885</v>
      </c>
      <c r="AE15" s="140">
        <v>1196387</v>
      </c>
      <c r="AF15" s="138">
        <f t="shared" si="10"/>
        <v>0.97080606550814152</v>
      </c>
      <c r="AG15" s="138">
        <f t="shared" si="11"/>
        <v>0.81455359744656053</v>
      </c>
      <c r="AH15" s="140">
        <v>21553118</v>
      </c>
      <c r="AI15" s="140">
        <v>770545</v>
      </c>
      <c r="AJ15" s="140">
        <v>5844</v>
      </c>
      <c r="AK15" s="138">
        <f t="shared" si="12"/>
        <v>3.5750975798490035E-2</v>
      </c>
      <c r="AL15" s="138">
        <f t="shared" si="13"/>
        <v>2.7114406370345117E-4</v>
      </c>
      <c r="AM15" s="137">
        <v>17327169</v>
      </c>
      <c r="AN15" s="140">
        <v>2272399</v>
      </c>
      <c r="AO15" s="140">
        <v>514516</v>
      </c>
      <c r="AP15" s="138">
        <f t="shared" si="14"/>
        <v>0.13114658257214437</v>
      </c>
      <c r="AQ15" s="138">
        <f t="shared" si="15"/>
        <v>2.9694175661355873E-2</v>
      </c>
      <c r="AR15" s="141">
        <f t="shared" si="16"/>
        <v>40349051</v>
      </c>
      <c r="AS15" s="140">
        <f t="shared" ref="AS15:AT15" si="41">AD15+AI15+AN15</f>
        <v>4468829</v>
      </c>
      <c r="AT15" s="144">
        <f t="shared" si="41"/>
        <v>1716747</v>
      </c>
      <c r="AU15" s="138">
        <f t="shared" si="18"/>
        <v>0.11075425293150018</v>
      </c>
      <c r="AV15" s="138">
        <f t="shared" si="19"/>
        <v>4.2547394733026066E-2</v>
      </c>
      <c r="AW15" s="138"/>
      <c r="AX15" s="138"/>
      <c r="AY15" s="143"/>
      <c r="AZ15" s="143"/>
      <c r="BA15" s="143"/>
      <c r="BB15" s="143"/>
      <c r="BC15" s="143"/>
      <c r="BD15" s="143"/>
      <c r="BE15" s="143"/>
      <c r="BF15" s="143" t="s">
        <v>338</v>
      </c>
      <c r="BG15" s="143" t="s">
        <v>338</v>
      </c>
      <c r="BH15" s="143" t="s">
        <v>338</v>
      </c>
      <c r="BI15" s="143" t="s">
        <v>338</v>
      </c>
    </row>
    <row r="16" spans="1:61" x14ac:dyDescent="0.25">
      <c r="A16" s="136">
        <v>44272</v>
      </c>
      <c r="B16" s="137">
        <v>112301</v>
      </c>
      <c r="C16" s="140">
        <v>120003</v>
      </c>
      <c r="D16" s="140">
        <v>94619</v>
      </c>
      <c r="E16" s="138">
        <f t="shared" si="0"/>
        <v>1.0685835388821114</v>
      </c>
      <c r="F16" s="138">
        <f t="shared" si="1"/>
        <v>0.84254815184192478</v>
      </c>
      <c r="G16" s="137">
        <v>911631</v>
      </c>
      <c r="H16" s="140">
        <v>236230</v>
      </c>
      <c r="I16" s="140">
        <v>1963</v>
      </c>
      <c r="J16" s="138">
        <f t="shared" si="2"/>
        <v>0.25912896775120636</v>
      </c>
      <c r="K16" s="138">
        <f t="shared" si="3"/>
        <v>2.1532835105431913E-3</v>
      </c>
      <c r="L16" s="137">
        <v>1976757</v>
      </c>
      <c r="M16" s="140">
        <v>336132</v>
      </c>
      <c r="N16" s="140">
        <v>63154</v>
      </c>
      <c r="O16" s="138">
        <f t="shared" si="4"/>
        <v>0.17004214478562615</v>
      </c>
      <c r="P16" s="138">
        <f t="shared" si="5"/>
        <v>3.1948287017574746E-2</v>
      </c>
      <c r="Q16" s="137">
        <v>3000689</v>
      </c>
      <c r="R16" s="137">
        <f t="shared" ref="R16:S16" si="42">C16+H16+M16</f>
        <v>692365</v>
      </c>
      <c r="S16" s="137">
        <f t="shared" si="42"/>
        <v>159736</v>
      </c>
      <c r="T16" s="139">
        <f t="shared" si="8"/>
        <v>0.23073534111665686</v>
      </c>
      <c r="U16" s="139">
        <f t="shared" si="9"/>
        <v>5.3233107462985998E-2</v>
      </c>
      <c r="V16" s="139"/>
      <c r="W16" s="139"/>
      <c r="X16" s="139"/>
      <c r="Y16" s="139"/>
      <c r="Z16" s="139"/>
      <c r="AA16" s="139"/>
      <c r="AB16" s="139"/>
      <c r="AC16" s="137">
        <v>1468764</v>
      </c>
      <c r="AD16" s="140">
        <v>1431713</v>
      </c>
      <c r="AE16" s="140">
        <v>1208113</v>
      </c>
      <c r="AF16" s="138">
        <f t="shared" si="10"/>
        <v>0.97477402768586374</v>
      </c>
      <c r="AG16" s="138">
        <f t="shared" si="11"/>
        <v>0.82253718092219041</v>
      </c>
      <c r="AH16" s="140">
        <v>21553118</v>
      </c>
      <c r="AI16" s="140">
        <v>836628</v>
      </c>
      <c r="AJ16" s="140">
        <v>6600</v>
      </c>
      <c r="AK16" s="138">
        <f t="shared" si="12"/>
        <v>3.8817028700905365E-2</v>
      </c>
      <c r="AL16" s="138">
        <f t="shared" si="13"/>
        <v>3.0622019514763477E-4</v>
      </c>
      <c r="AM16" s="137">
        <v>17327169</v>
      </c>
      <c r="AN16" s="140">
        <v>2436907</v>
      </c>
      <c r="AO16" s="140">
        <v>661427</v>
      </c>
      <c r="AP16" s="138">
        <f t="shared" si="14"/>
        <v>0.14064080520020322</v>
      </c>
      <c r="AQ16" s="138">
        <f t="shared" si="15"/>
        <v>3.8172825578142625E-2</v>
      </c>
      <c r="AR16" s="141">
        <f t="shared" si="16"/>
        <v>40349051</v>
      </c>
      <c r="AS16" s="140">
        <f t="shared" ref="AS16:AT16" si="43">AD16+AI16+AN16</f>
        <v>4705248</v>
      </c>
      <c r="AT16" s="144">
        <f t="shared" si="43"/>
        <v>1876140</v>
      </c>
      <c r="AU16" s="138">
        <f t="shared" si="18"/>
        <v>0.11661359767792308</v>
      </c>
      <c r="AV16" s="138">
        <f t="shared" si="19"/>
        <v>4.6497747865247192E-2</v>
      </c>
      <c r="AW16" s="138"/>
      <c r="AX16" s="138"/>
      <c r="AY16" s="143"/>
      <c r="AZ16" s="143"/>
      <c r="BA16" s="143"/>
      <c r="BB16" s="143"/>
      <c r="BC16" s="143"/>
      <c r="BD16" s="143"/>
      <c r="BE16" s="143"/>
      <c r="BF16" s="143" t="s">
        <v>338</v>
      </c>
      <c r="BG16" s="143" t="s">
        <v>338</v>
      </c>
      <c r="BH16" s="143" t="s">
        <v>338</v>
      </c>
      <c r="BI16" s="143" t="s">
        <v>338</v>
      </c>
    </row>
    <row r="17" spans="1:61" x14ac:dyDescent="0.25">
      <c r="A17" s="136">
        <v>44273</v>
      </c>
      <c r="B17" s="137">
        <v>112301</v>
      </c>
      <c r="C17" s="140">
        <v>120608</v>
      </c>
      <c r="D17" s="140">
        <v>99980</v>
      </c>
      <c r="E17" s="138">
        <f t="shared" si="0"/>
        <v>1.0739708462079589</v>
      </c>
      <c r="F17" s="138">
        <f t="shared" si="1"/>
        <v>0.89028592799707928</v>
      </c>
      <c r="G17" s="137">
        <v>911631</v>
      </c>
      <c r="H17" s="140">
        <v>257159</v>
      </c>
      <c r="I17" s="140">
        <v>2040</v>
      </c>
      <c r="J17" s="138">
        <f t="shared" si="2"/>
        <v>0.28208672149148067</v>
      </c>
      <c r="K17" s="138">
        <f t="shared" si="3"/>
        <v>2.2377475096831941E-3</v>
      </c>
      <c r="L17" s="137">
        <v>1976757</v>
      </c>
      <c r="M17" s="140">
        <v>356592</v>
      </c>
      <c r="N17" s="140">
        <v>82412</v>
      </c>
      <c r="O17" s="138">
        <f t="shared" si="4"/>
        <v>0.18039243063259672</v>
      </c>
      <c r="P17" s="138">
        <f t="shared" si="5"/>
        <v>4.1690506218012631E-2</v>
      </c>
      <c r="Q17" s="137">
        <v>3000689</v>
      </c>
      <c r="R17" s="137">
        <f t="shared" ref="R17:S17" si="44">C17+H17+M17</f>
        <v>734359</v>
      </c>
      <c r="S17" s="137">
        <f t="shared" si="44"/>
        <v>184432</v>
      </c>
      <c r="T17" s="139">
        <f t="shared" si="8"/>
        <v>0.24473012698083674</v>
      </c>
      <c r="U17" s="139">
        <f t="shared" si="9"/>
        <v>6.1463217281097778E-2</v>
      </c>
      <c r="V17" s="139"/>
      <c r="W17" s="139"/>
      <c r="X17" s="139"/>
      <c r="Y17" s="139"/>
      <c r="Z17" s="139"/>
      <c r="AA17" s="139"/>
      <c r="AB17" s="139"/>
      <c r="AC17" s="137">
        <v>1468764</v>
      </c>
      <c r="AD17" s="140">
        <v>1437642</v>
      </c>
      <c r="AE17" s="140">
        <v>1221179</v>
      </c>
      <c r="AF17" s="138">
        <f t="shared" si="10"/>
        <v>0.97881075516556781</v>
      </c>
      <c r="AG17" s="138">
        <f t="shared" si="11"/>
        <v>0.83143309612708372</v>
      </c>
      <c r="AH17" s="140">
        <v>21553118</v>
      </c>
      <c r="AI17" s="140">
        <v>905102</v>
      </c>
      <c r="AJ17" s="140">
        <v>7106</v>
      </c>
      <c r="AK17" s="138">
        <f t="shared" si="12"/>
        <v>4.1994016828562811E-2</v>
      </c>
      <c r="AL17" s="138">
        <f t="shared" si="13"/>
        <v>3.2969707677562015E-4</v>
      </c>
      <c r="AM17" s="137">
        <v>17327169</v>
      </c>
      <c r="AN17" s="140">
        <v>2616319</v>
      </c>
      <c r="AO17" s="140">
        <v>840115</v>
      </c>
      <c r="AP17" s="138">
        <f t="shared" si="14"/>
        <v>0.15099517988195302</v>
      </c>
      <c r="AQ17" s="138">
        <f t="shared" si="15"/>
        <v>4.848541616925419E-2</v>
      </c>
      <c r="AR17" s="141">
        <f t="shared" si="16"/>
        <v>40349051</v>
      </c>
      <c r="AS17" s="140">
        <f t="shared" ref="AS17:AT17" si="45">AD17+AI17+AN17</f>
        <v>4959063</v>
      </c>
      <c r="AT17" s="144">
        <f t="shared" si="45"/>
        <v>2068400</v>
      </c>
      <c r="AU17" s="138">
        <f t="shared" si="18"/>
        <v>0.12290408019757391</v>
      </c>
      <c r="AV17" s="138">
        <f t="shared" si="19"/>
        <v>5.1262667862993855E-2</v>
      </c>
      <c r="AW17" s="138"/>
      <c r="AX17" s="138"/>
      <c r="AY17" s="143"/>
      <c r="AZ17" s="143"/>
      <c r="BA17" s="143"/>
      <c r="BB17" s="143"/>
      <c r="BC17" s="143"/>
      <c r="BD17" s="143"/>
      <c r="BE17" s="143"/>
      <c r="BF17" s="143" t="s">
        <v>338</v>
      </c>
      <c r="BG17" s="143" t="s">
        <v>338</v>
      </c>
      <c r="BH17" s="143" t="s">
        <v>338</v>
      </c>
      <c r="BI17" s="143" t="s">
        <v>338</v>
      </c>
    </row>
    <row r="18" spans="1:61" x14ac:dyDescent="0.25">
      <c r="A18" s="136">
        <v>44274</v>
      </c>
      <c r="B18" s="137">
        <v>112301</v>
      </c>
      <c r="C18" s="140">
        <v>121260</v>
      </c>
      <c r="D18" s="140">
        <v>97465</v>
      </c>
      <c r="E18" s="138">
        <f t="shared" si="0"/>
        <v>1.079776671623583</v>
      </c>
      <c r="F18" s="138">
        <f t="shared" si="1"/>
        <v>0.86789075787392811</v>
      </c>
      <c r="G18" s="137">
        <v>911631</v>
      </c>
      <c r="H18" s="140">
        <v>280221</v>
      </c>
      <c r="I18" s="140">
        <v>2168</v>
      </c>
      <c r="J18" s="138">
        <f t="shared" si="2"/>
        <v>0.30738423770143841</v>
      </c>
      <c r="K18" s="138">
        <f t="shared" si="3"/>
        <v>2.3781551965652769E-3</v>
      </c>
      <c r="L18" s="137">
        <v>1976757</v>
      </c>
      <c r="M18" s="140">
        <v>409121</v>
      </c>
      <c r="N18" s="140">
        <v>99709</v>
      </c>
      <c r="O18" s="138">
        <f t="shared" si="4"/>
        <v>0.20696575249259266</v>
      </c>
      <c r="P18" s="138">
        <f t="shared" si="5"/>
        <v>5.0440696555014097E-2</v>
      </c>
      <c r="Q18" s="137">
        <v>3000689</v>
      </c>
      <c r="R18" s="137">
        <f t="shared" ref="R18:S18" si="46">C18+H18+M18</f>
        <v>810602</v>
      </c>
      <c r="S18" s="137">
        <f t="shared" si="46"/>
        <v>199342</v>
      </c>
      <c r="T18" s="139">
        <f t="shared" si="8"/>
        <v>0.27013862482916423</v>
      </c>
      <c r="U18" s="139">
        <f t="shared" si="9"/>
        <v>6.6432076099855727E-2</v>
      </c>
      <c r="V18" s="139"/>
      <c r="W18" s="139"/>
      <c r="X18" s="139"/>
      <c r="Y18" s="139"/>
      <c r="Z18" s="139"/>
      <c r="AA18" s="139"/>
      <c r="AB18" s="139"/>
      <c r="AC18" s="137">
        <v>1468764</v>
      </c>
      <c r="AD18" s="140">
        <v>1442440</v>
      </c>
      <c r="AE18" s="140">
        <v>1231104</v>
      </c>
      <c r="AF18" s="138">
        <f t="shared" si="10"/>
        <v>0.98207744743199044</v>
      </c>
      <c r="AG18" s="138">
        <f t="shared" si="11"/>
        <v>0.83819047852480044</v>
      </c>
      <c r="AH18" s="140">
        <v>21553118</v>
      </c>
      <c r="AI18" s="140">
        <v>954828</v>
      </c>
      <c r="AJ18" s="140">
        <v>7590</v>
      </c>
      <c r="AK18" s="138">
        <f t="shared" si="12"/>
        <v>4.4301154014003911E-2</v>
      </c>
      <c r="AL18" s="138">
        <f t="shared" si="13"/>
        <v>3.5215322441978003E-4</v>
      </c>
      <c r="AM18" s="137">
        <v>17327169</v>
      </c>
      <c r="AN18" s="140">
        <v>2727680</v>
      </c>
      <c r="AO18" s="140">
        <v>982506</v>
      </c>
      <c r="AP18" s="138">
        <f t="shared" si="14"/>
        <v>0.15742213860787069</v>
      </c>
      <c r="AQ18" s="138">
        <f t="shared" si="15"/>
        <v>5.6703204083713848E-2</v>
      </c>
      <c r="AR18" s="141">
        <f t="shared" si="16"/>
        <v>40349051</v>
      </c>
      <c r="AS18" s="140">
        <f t="shared" ref="AS18:AT18" si="47">AD18+AI18+AN18</f>
        <v>5124948</v>
      </c>
      <c r="AT18" s="144">
        <f t="shared" si="47"/>
        <v>2221200</v>
      </c>
      <c r="AU18" s="138">
        <f t="shared" si="18"/>
        <v>0.12701532930724937</v>
      </c>
      <c r="AV18" s="138">
        <f t="shared" si="19"/>
        <v>5.5049621860994949E-2</v>
      </c>
      <c r="AW18" s="138"/>
      <c r="AX18" s="138"/>
      <c r="AY18" s="143"/>
      <c r="AZ18" s="143"/>
      <c r="BA18" s="143"/>
      <c r="BB18" s="143"/>
      <c r="BC18" s="143"/>
      <c r="BD18" s="143"/>
      <c r="BE18" s="143"/>
      <c r="BF18" s="143" t="s">
        <v>338</v>
      </c>
      <c r="BG18" s="143" t="s">
        <v>338</v>
      </c>
      <c r="BH18" s="143" t="s">
        <v>338</v>
      </c>
      <c r="BI18" s="143" t="s">
        <v>338</v>
      </c>
    </row>
    <row r="19" spans="1:61" x14ac:dyDescent="0.25">
      <c r="A19" s="136">
        <v>44275</v>
      </c>
      <c r="B19" s="137">
        <v>112301</v>
      </c>
      <c r="C19" s="140">
        <v>121373</v>
      </c>
      <c r="D19" s="140">
        <v>97612</v>
      </c>
      <c r="E19" s="138">
        <f t="shared" si="0"/>
        <v>1.0807828959670884</v>
      </c>
      <c r="F19" s="138">
        <f t="shared" si="1"/>
        <v>0.86919973998450595</v>
      </c>
      <c r="G19" s="137">
        <v>911631</v>
      </c>
      <c r="H19" s="140">
        <v>287749</v>
      </c>
      <c r="I19" s="140">
        <v>2585</v>
      </c>
      <c r="J19" s="138">
        <f t="shared" si="2"/>
        <v>0.31564196478619089</v>
      </c>
      <c r="K19" s="138">
        <f t="shared" si="3"/>
        <v>2.8355771139858123E-3</v>
      </c>
      <c r="L19" s="137">
        <v>1976757</v>
      </c>
      <c r="M19" s="140">
        <v>415447</v>
      </c>
      <c r="N19" s="140">
        <v>103069</v>
      </c>
      <c r="O19" s="138">
        <f t="shared" si="4"/>
        <v>0.21016594351253087</v>
      </c>
      <c r="P19" s="138">
        <f t="shared" si="5"/>
        <v>5.2140450242493135E-2</v>
      </c>
      <c r="Q19" s="137">
        <v>3000689</v>
      </c>
      <c r="R19" s="137">
        <f t="shared" ref="R19:S19" si="48">C19+H19+M19</f>
        <v>824569</v>
      </c>
      <c r="S19" s="137">
        <f t="shared" si="48"/>
        <v>203266</v>
      </c>
      <c r="T19" s="139">
        <f t="shared" si="8"/>
        <v>0.27479322248990151</v>
      </c>
      <c r="U19" s="139">
        <f t="shared" si="9"/>
        <v>6.7739775764832671E-2</v>
      </c>
      <c r="V19" s="139"/>
      <c r="W19" s="139"/>
      <c r="X19" s="139"/>
      <c r="Y19" s="139"/>
      <c r="Z19" s="139"/>
      <c r="AA19" s="139"/>
      <c r="AB19" s="139"/>
      <c r="AC19" s="137">
        <v>1468764</v>
      </c>
      <c r="AD19" s="140">
        <v>1442440</v>
      </c>
      <c r="AE19" s="140">
        <v>1231104</v>
      </c>
      <c r="AF19" s="138">
        <f t="shared" si="10"/>
        <v>0.98207744743199044</v>
      </c>
      <c r="AG19" s="138">
        <f t="shared" si="11"/>
        <v>0.83819047852480044</v>
      </c>
      <c r="AH19" s="140">
        <v>21553118</v>
      </c>
      <c r="AI19" s="140">
        <v>954828</v>
      </c>
      <c r="AJ19" s="140">
        <v>7590</v>
      </c>
      <c r="AK19" s="138">
        <f t="shared" si="12"/>
        <v>4.4301154014003911E-2</v>
      </c>
      <c r="AL19" s="138">
        <f t="shared" si="13"/>
        <v>3.5215322441978003E-4</v>
      </c>
      <c r="AM19" s="137">
        <v>17327169</v>
      </c>
      <c r="AN19" s="140">
        <v>2727680</v>
      </c>
      <c r="AO19" s="140">
        <v>982506</v>
      </c>
      <c r="AP19" s="138">
        <f t="shared" si="14"/>
        <v>0.15742213860787069</v>
      </c>
      <c r="AQ19" s="138">
        <f t="shared" si="15"/>
        <v>5.6703204083713848E-2</v>
      </c>
      <c r="AR19" s="141">
        <f t="shared" si="16"/>
        <v>40349051</v>
      </c>
      <c r="AS19" s="140">
        <f t="shared" ref="AS19:AT19" si="49">AD19+AI19+AN19</f>
        <v>5124948</v>
      </c>
      <c r="AT19" s="144">
        <f t="shared" si="49"/>
        <v>2221200</v>
      </c>
      <c r="AU19" s="138">
        <f t="shared" si="18"/>
        <v>0.12701532930724937</v>
      </c>
      <c r="AV19" s="138">
        <f t="shared" si="19"/>
        <v>5.5049621860994949E-2</v>
      </c>
      <c r="AW19" s="138"/>
      <c r="AX19" s="138"/>
      <c r="AY19" s="143"/>
      <c r="AZ19" s="143"/>
      <c r="BA19" s="143"/>
      <c r="BB19" s="143"/>
      <c r="BC19" s="143"/>
      <c r="BD19" s="143"/>
      <c r="BE19" s="143"/>
      <c r="BF19" s="143" t="s">
        <v>338</v>
      </c>
      <c r="BG19" s="143" t="s">
        <v>338</v>
      </c>
      <c r="BH19" s="143" t="s">
        <v>338</v>
      </c>
      <c r="BI19" s="143" t="s">
        <v>338</v>
      </c>
    </row>
    <row r="20" spans="1:61" x14ac:dyDescent="0.25">
      <c r="A20" s="136">
        <v>44276</v>
      </c>
      <c r="B20" s="137">
        <v>112301</v>
      </c>
      <c r="C20" s="140">
        <v>121483</v>
      </c>
      <c r="D20" s="140">
        <v>97660</v>
      </c>
      <c r="E20" s="138">
        <f t="shared" si="0"/>
        <v>1.0817624063899698</v>
      </c>
      <c r="F20" s="138">
        <f t="shared" si="1"/>
        <v>0.86962716271449048</v>
      </c>
      <c r="G20" s="137">
        <v>911631</v>
      </c>
      <c r="H20" s="140">
        <v>296700</v>
      </c>
      <c r="I20" s="140">
        <v>2696</v>
      </c>
      <c r="J20" s="138">
        <f t="shared" si="2"/>
        <v>0.32546063045245283</v>
      </c>
      <c r="K20" s="138">
        <f t="shared" si="3"/>
        <v>2.9573369049538684E-3</v>
      </c>
      <c r="L20" s="137">
        <v>1976757</v>
      </c>
      <c r="M20" s="140">
        <v>428256</v>
      </c>
      <c r="N20" s="140">
        <v>103939</v>
      </c>
      <c r="O20" s="138">
        <f t="shared" si="4"/>
        <v>0.21664574856697105</v>
      </c>
      <c r="P20" s="138">
        <f t="shared" si="5"/>
        <v>5.2580565036572526E-2</v>
      </c>
      <c r="Q20" s="137">
        <v>3000689</v>
      </c>
      <c r="R20" s="137">
        <f t="shared" ref="R20:S20" si="50">C20+H20+M20</f>
        <v>846439</v>
      </c>
      <c r="S20" s="137">
        <f t="shared" si="50"/>
        <v>204295</v>
      </c>
      <c r="T20" s="139">
        <f t="shared" si="8"/>
        <v>0.28208154860433721</v>
      </c>
      <c r="U20" s="139">
        <f t="shared" si="9"/>
        <v>6.8082697007254001E-2</v>
      </c>
      <c r="V20" s="139"/>
      <c r="W20" s="139"/>
      <c r="X20" s="139"/>
      <c r="Y20" s="139"/>
      <c r="Z20" s="139"/>
      <c r="AA20" s="139"/>
      <c r="AB20" s="139"/>
      <c r="AC20" s="137">
        <v>1468764</v>
      </c>
      <c r="AD20" s="140">
        <v>1446141</v>
      </c>
      <c r="AE20" s="140">
        <v>1236791</v>
      </c>
      <c r="AF20" s="138">
        <f t="shared" si="10"/>
        <v>0.98459725320065039</v>
      </c>
      <c r="AG20" s="138">
        <f t="shared" si="11"/>
        <v>0.84206244161757782</v>
      </c>
      <c r="AH20" s="140">
        <v>21553118</v>
      </c>
      <c r="AI20" s="140">
        <v>1011483</v>
      </c>
      <c r="AJ20" s="140">
        <v>8534</v>
      </c>
      <c r="AK20" s="138">
        <f t="shared" si="12"/>
        <v>4.6929776007350772E-2</v>
      </c>
      <c r="AL20" s="138">
        <f t="shared" si="13"/>
        <v>3.9595199172574473E-4</v>
      </c>
      <c r="AM20" s="137">
        <v>17327169</v>
      </c>
      <c r="AN20" s="140">
        <v>3109656</v>
      </c>
      <c r="AO20" s="140">
        <v>1067271</v>
      </c>
      <c r="AP20" s="138">
        <f t="shared" si="14"/>
        <v>0.17946705546647579</v>
      </c>
      <c r="AQ20" s="138">
        <f t="shared" si="15"/>
        <v>6.1595232319832514E-2</v>
      </c>
      <c r="AR20" s="141">
        <f t="shared" si="16"/>
        <v>40349051</v>
      </c>
      <c r="AS20" s="140">
        <f t="shared" ref="AS20:AT20" si="51">AD20+AI20+AN20</f>
        <v>5567280</v>
      </c>
      <c r="AT20" s="144">
        <f t="shared" si="51"/>
        <v>2312596</v>
      </c>
      <c r="AU20" s="138">
        <f t="shared" si="18"/>
        <v>0.13797796632193407</v>
      </c>
      <c r="AV20" s="138">
        <f t="shared" si="19"/>
        <v>5.731475568037523E-2</v>
      </c>
      <c r="AW20" s="138"/>
      <c r="AX20" s="138"/>
      <c r="AY20" s="143"/>
      <c r="AZ20" s="143"/>
      <c r="BA20" s="143"/>
      <c r="BB20" s="143"/>
      <c r="BC20" s="143"/>
      <c r="BD20" s="143"/>
      <c r="BE20" s="143"/>
      <c r="BF20" s="143" t="s">
        <v>338</v>
      </c>
      <c r="BG20" s="143" t="s">
        <v>338</v>
      </c>
      <c r="BH20" s="143" t="s">
        <v>338</v>
      </c>
      <c r="BI20" s="143" t="s">
        <v>338</v>
      </c>
    </row>
    <row r="21" spans="1:61" x14ac:dyDescent="0.25">
      <c r="A21" s="136">
        <v>44277</v>
      </c>
      <c r="B21" s="137">
        <v>112301</v>
      </c>
      <c r="C21" s="140">
        <v>121834</v>
      </c>
      <c r="D21" s="140">
        <v>98956</v>
      </c>
      <c r="E21" s="138">
        <f t="shared" si="0"/>
        <v>1.0848879351029821</v>
      </c>
      <c r="F21" s="138">
        <f t="shared" si="1"/>
        <v>0.88116757642407462</v>
      </c>
      <c r="G21" s="137">
        <v>911631</v>
      </c>
      <c r="H21" s="140">
        <v>314312</v>
      </c>
      <c r="I21" s="140">
        <v>5263</v>
      </c>
      <c r="J21" s="138">
        <f t="shared" si="2"/>
        <v>0.34477985061938438</v>
      </c>
      <c r="K21" s="138">
        <f t="shared" si="3"/>
        <v>5.7731691879718879E-3</v>
      </c>
      <c r="L21" s="137">
        <v>1976757</v>
      </c>
      <c r="M21" s="140">
        <v>443083</v>
      </c>
      <c r="N21" s="140">
        <v>124036</v>
      </c>
      <c r="O21" s="138">
        <f t="shared" si="4"/>
        <v>0.22414641759204595</v>
      </c>
      <c r="P21" s="138">
        <f t="shared" si="5"/>
        <v>6.2747216779806519E-2</v>
      </c>
      <c r="Q21" s="137">
        <v>3000689</v>
      </c>
      <c r="R21" s="137">
        <f t="shared" ref="R21:S21" si="52">C21+H21+M21</f>
        <v>879229</v>
      </c>
      <c r="S21" s="137">
        <f t="shared" si="52"/>
        <v>228255</v>
      </c>
      <c r="T21" s="139">
        <f t="shared" si="8"/>
        <v>0.29300903892406044</v>
      </c>
      <c r="U21" s="139">
        <f t="shared" si="9"/>
        <v>7.6067529823983765E-2</v>
      </c>
      <c r="V21" s="139"/>
      <c r="W21" s="139"/>
      <c r="X21" s="139"/>
      <c r="Y21" s="139"/>
      <c r="Z21" s="139"/>
      <c r="AA21" s="139"/>
      <c r="AB21" s="139"/>
      <c r="AC21" s="137">
        <v>1468764</v>
      </c>
      <c r="AD21" s="140">
        <v>1449757</v>
      </c>
      <c r="AE21" s="140">
        <v>1245055</v>
      </c>
      <c r="AF21" s="138">
        <f t="shared" si="10"/>
        <v>0.98705918718051366</v>
      </c>
      <c r="AG21" s="138">
        <f t="shared" si="11"/>
        <v>0.84768894117775218</v>
      </c>
      <c r="AH21" s="140">
        <v>21553118</v>
      </c>
      <c r="AI21" s="140">
        <v>1011483</v>
      </c>
      <c r="AJ21" s="140">
        <v>8534</v>
      </c>
      <c r="AK21" s="138">
        <f t="shared" si="12"/>
        <v>4.6929776007350772E-2</v>
      </c>
      <c r="AL21" s="138">
        <f t="shared" si="13"/>
        <v>3.9595199172574473E-4</v>
      </c>
      <c r="AM21" s="137">
        <v>17327169</v>
      </c>
      <c r="AN21" s="140">
        <v>3221959</v>
      </c>
      <c r="AO21" s="140">
        <v>1237961</v>
      </c>
      <c r="AP21" s="138">
        <f t="shared" si="14"/>
        <v>0.18594837968048905</v>
      </c>
      <c r="AQ21" s="138">
        <f t="shared" si="15"/>
        <v>7.1446235677622816E-2</v>
      </c>
      <c r="AR21" s="141">
        <f t="shared" si="16"/>
        <v>40349051</v>
      </c>
      <c r="AS21" s="140">
        <f t="shared" ref="AS21:AT21" si="53">AD21+AI21+AN21</f>
        <v>5683199</v>
      </c>
      <c r="AT21" s="144">
        <f t="shared" si="53"/>
        <v>2491550</v>
      </c>
      <c r="AU21" s="138">
        <f t="shared" si="18"/>
        <v>0.14085087156077103</v>
      </c>
      <c r="AV21" s="138">
        <f t="shared" si="19"/>
        <v>6.1749903362039421E-2</v>
      </c>
      <c r="AW21" s="138"/>
      <c r="AX21" s="138"/>
      <c r="AY21" s="143"/>
      <c r="AZ21" s="143"/>
      <c r="BA21" s="143"/>
      <c r="BB21" s="143"/>
      <c r="BC21" s="143"/>
      <c r="BD21" s="143"/>
      <c r="BE21" s="143"/>
      <c r="BF21" s="143" t="s">
        <v>338</v>
      </c>
      <c r="BG21" s="143" t="s">
        <v>338</v>
      </c>
      <c r="BH21" s="143" t="s">
        <v>338</v>
      </c>
      <c r="BI21" s="143" t="s">
        <v>338</v>
      </c>
    </row>
    <row r="22" spans="1:61" x14ac:dyDescent="0.25">
      <c r="A22" s="136">
        <v>44278</v>
      </c>
      <c r="B22" s="137">
        <v>112301</v>
      </c>
      <c r="C22" s="140">
        <v>122199</v>
      </c>
      <c r="D22" s="140">
        <v>100218</v>
      </c>
      <c r="E22" s="138">
        <f t="shared" si="0"/>
        <v>1.0881381287789067</v>
      </c>
      <c r="F22" s="138">
        <f t="shared" si="1"/>
        <v>0.8924052323665862</v>
      </c>
      <c r="G22" s="137">
        <v>911631</v>
      </c>
      <c r="H22" s="140">
        <v>337760</v>
      </c>
      <c r="I22" s="140">
        <v>9693</v>
      </c>
      <c r="J22" s="138">
        <f t="shared" si="2"/>
        <v>0.37050078376009593</v>
      </c>
      <c r="K22" s="138">
        <f t="shared" si="3"/>
        <v>1.063259147615647E-2</v>
      </c>
      <c r="L22" s="137">
        <v>1976757</v>
      </c>
      <c r="M22" s="140">
        <v>465428</v>
      </c>
      <c r="N22" s="140">
        <v>148494</v>
      </c>
      <c r="O22" s="138">
        <f t="shared" si="4"/>
        <v>0.23545028549285521</v>
      </c>
      <c r="P22" s="138">
        <f t="shared" si="5"/>
        <v>7.5120007163247682E-2</v>
      </c>
      <c r="Q22" s="137">
        <v>3000689</v>
      </c>
      <c r="R22" s="137">
        <f t="shared" ref="R22:S22" si="54">C22+H22+M22</f>
        <v>925387</v>
      </c>
      <c r="S22" s="137">
        <f t="shared" si="54"/>
        <v>258405</v>
      </c>
      <c r="T22" s="139">
        <f t="shared" si="8"/>
        <v>0.30839150608410271</v>
      </c>
      <c r="U22" s="139">
        <f t="shared" si="9"/>
        <v>8.6115222203967154E-2</v>
      </c>
      <c r="V22" s="139"/>
      <c r="W22" s="139"/>
      <c r="X22" s="139"/>
      <c r="Y22" s="139"/>
      <c r="Z22" s="139"/>
      <c r="AA22" s="139"/>
      <c r="AB22" s="139"/>
      <c r="AC22" s="137">
        <v>1468764</v>
      </c>
      <c r="AD22" s="140">
        <v>1453841</v>
      </c>
      <c r="AE22" s="140">
        <v>1254761</v>
      </c>
      <c r="AF22" s="138">
        <f t="shared" si="10"/>
        <v>0.98983975642104516</v>
      </c>
      <c r="AG22" s="138">
        <f t="shared" si="11"/>
        <v>0.85429721861374597</v>
      </c>
      <c r="AH22" s="140">
        <v>21553118</v>
      </c>
      <c r="AI22" s="140">
        <v>1125037</v>
      </c>
      <c r="AJ22" s="140">
        <v>22286</v>
      </c>
      <c r="AK22" s="138">
        <f t="shared" si="12"/>
        <v>5.2198340861865089E-2</v>
      </c>
      <c r="AL22" s="138">
        <f t="shared" si="13"/>
        <v>1.0340035256151802E-3</v>
      </c>
      <c r="AM22" s="137">
        <v>17327169</v>
      </c>
      <c r="AN22" s="140">
        <v>3399373</v>
      </c>
      <c r="AO22" s="140">
        <v>1432498</v>
      </c>
      <c r="AP22" s="138">
        <f t="shared" si="14"/>
        <v>0.19618744412315711</v>
      </c>
      <c r="AQ22" s="138">
        <f t="shared" si="15"/>
        <v>8.2673516949018047E-2</v>
      </c>
      <c r="AR22" s="141">
        <f t="shared" si="16"/>
        <v>40349051</v>
      </c>
      <c r="AS22" s="140">
        <f t="shared" ref="AS22:AT22" si="55">AD22+AI22+AN22</f>
        <v>5978251</v>
      </c>
      <c r="AT22" s="144">
        <f t="shared" si="55"/>
        <v>2709545</v>
      </c>
      <c r="AU22" s="138">
        <f t="shared" si="18"/>
        <v>0.14816336076900544</v>
      </c>
      <c r="AV22" s="138">
        <f t="shared" si="19"/>
        <v>6.7152632660431102E-2</v>
      </c>
      <c r="AW22" s="138"/>
      <c r="AX22" s="138"/>
      <c r="AY22" s="143"/>
      <c r="AZ22" s="143"/>
      <c r="BA22" s="143"/>
      <c r="BB22" s="143"/>
      <c r="BC22" s="143"/>
      <c r="BD22" s="143"/>
      <c r="BE22" s="143"/>
      <c r="BF22" s="143" t="s">
        <v>338</v>
      </c>
      <c r="BG22" s="143" t="s">
        <v>338</v>
      </c>
      <c r="BH22" s="143" t="s">
        <v>338</v>
      </c>
      <c r="BI22" s="143" t="s">
        <v>338</v>
      </c>
    </row>
    <row r="23" spans="1:61" x14ac:dyDescent="0.25">
      <c r="A23" s="136">
        <v>44279</v>
      </c>
      <c r="B23" s="137">
        <v>112301</v>
      </c>
      <c r="C23" s="140">
        <v>122616</v>
      </c>
      <c r="D23" s="140">
        <v>101248</v>
      </c>
      <c r="E23" s="138">
        <f t="shared" si="0"/>
        <v>1.091851363745648</v>
      </c>
      <c r="F23" s="138">
        <f t="shared" si="1"/>
        <v>0.90157701178083904</v>
      </c>
      <c r="G23" s="137">
        <v>911631</v>
      </c>
      <c r="H23" s="140">
        <v>373557</v>
      </c>
      <c r="I23" s="140">
        <v>15380</v>
      </c>
      <c r="J23" s="138">
        <f t="shared" si="2"/>
        <v>0.40976776787976715</v>
      </c>
      <c r="K23" s="138">
        <f t="shared" si="3"/>
        <v>1.6870861126925259E-2</v>
      </c>
      <c r="L23" s="137">
        <v>1976757</v>
      </c>
      <c r="M23" s="140">
        <v>501557</v>
      </c>
      <c r="N23" s="140">
        <v>177455</v>
      </c>
      <c r="O23" s="138">
        <f t="shared" si="4"/>
        <v>0.25372719054491777</v>
      </c>
      <c r="P23" s="138">
        <f t="shared" si="5"/>
        <v>8.9770771015354953E-2</v>
      </c>
      <c r="Q23" s="137">
        <v>3000689</v>
      </c>
      <c r="R23" s="137">
        <f t="shared" ref="R23:S23" si="56">C23+H23+M23</f>
        <v>997730</v>
      </c>
      <c r="S23" s="137">
        <f t="shared" si="56"/>
        <v>294083</v>
      </c>
      <c r="T23" s="139">
        <f t="shared" si="8"/>
        <v>0.33250030243054179</v>
      </c>
      <c r="U23" s="139">
        <f t="shared" si="9"/>
        <v>9.8005158148678523E-2</v>
      </c>
      <c r="V23" s="139"/>
      <c r="W23" s="139"/>
      <c r="X23" s="139"/>
      <c r="Y23" s="139"/>
      <c r="Z23" s="139"/>
      <c r="AA23" s="139"/>
      <c r="AB23" s="139"/>
      <c r="AC23" s="137">
        <v>1468764</v>
      </c>
      <c r="AD23" s="140">
        <v>1458033</v>
      </c>
      <c r="AE23" s="140">
        <v>1263152</v>
      </c>
      <c r="AF23" s="138">
        <f t="shared" si="10"/>
        <v>0.99269385687557699</v>
      </c>
      <c r="AG23" s="138">
        <f t="shared" si="11"/>
        <v>0.86001018543482821</v>
      </c>
      <c r="AH23" s="140">
        <v>21553118</v>
      </c>
      <c r="AI23" s="140">
        <v>1225564</v>
      </c>
      <c r="AJ23" s="140">
        <v>38904</v>
      </c>
      <c r="AK23" s="138">
        <f t="shared" si="12"/>
        <v>5.6862492006956949E-2</v>
      </c>
      <c r="AL23" s="138">
        <f t="shared" si="13"/>
        <v>1.8050288593975128E-3</v>
      </c>
      <c r="AM23" s="137">
        <v>17327169</v>
      </c>
      <c r="AN23" s="140">
        <v>3706240</v>
      </c>
      <c r="AO23" s="140">
        <v>1638960</v>
      </c>
      <c r="AP23" s="138">
        <f t="shared" si="14"/>
        <v>0.21389760785503967</v>
      </c>
      <c r="AQ23" s="138">
        <f t="shared" si="15"/>
        <v>9.4589023746464301E-2</v>
      </c>
      <c r="AR23" s="141">
        <f t="shared" si="16"/>
        <v>40349051</v>
      </c>
      <c r="AS23" s="140">
        <f t="shared" ref="AS23:AT23" si="57">AD23+AI23+AN23</f>
        <v>6389837</v>
      </c>
      <c r="AT23" s="144">
        <f t="shared" si="57"/>
        <v>2941016</v>
      </c>
      <c r="AU23" s="138">
        <f t="shared" si="18"/>
        <v>0.15836399721024419</v>
      </c>
      <c r="AV23" s="138">
        <f t="shared" si="19"/>
        <v>7.2889347509065325E-2</v>
      </c>
      <c r="AW23" s="138"/>
      <c r="AX23" s="138"/>
      <c r="AY23" s="143"/>
      <c r="AZ23" s="143"/>
      <c r="BA23" s="143"/>
      <c r="BB23" s="143"/>
      <c r="BC23" s="143"/>
      <c r="BD23" s="143"/>
      <c r="BE23" s="143"/>
      <c r="BF23" s="143" t="s">
        <v>338</v>
      </c>
      <c r="BG23" s="143" t="s">
        <v>338</v>
      </c>
      <c r="BH23" s="143" t="s">
        <v>338</v>
      </c>
      <c r="BI23" s="143" t="s">
        <v>338</v>
      </c>
    </row>
    <row r="24" spans="1:61" x14ac:dyDescent="0.25">
      <c r="A24" s="136">
        <v>44280</v>
      </c>
      <c r="B24" s="137">
        <v>112301</v>
      </c>
      <c r="C24" s="140">
        <v>122916</v>
      </c>
      <c r="D24" s="140">
        <v>101602</v>
      </c>
      <c r="E24" s="138">
        <f t="shared" si="0"/>
        <v>1.0945227558080515</v>
      </c>
      <c r="F24" s="138">
        <f t="shared" si="1"/>
        <v>0.90472925441447538</v>
      </c>
      <c r="G24" s="137">
        <v>911631</v>
      </c>
      <c r="H24" s="140">
        <v>394412</v>
      </c>
      <c r="I24" s="140">
        <v>22109</v>
      </c>
      <c r="J24" s="138">
        <f t="shared" si="2"/>
        <v>0.43264434842606275</v>
      </c>
      <c r="K24" s="138">
        <f t="shared" si="3"/>
        <v>2.4252137103718499E-2</v>
      </c>
      <c r="L24" s="137">
        <v>1976757</v>
      </c>
      <c r="M24" s="140">
        <v>529155</v>
      </c>
      <c r="N24" s="140">
        <v>187424</v>
      </c>
      <c r="O24" s="138">
        <f t="shared" si="4"/>
        <v>0.26768844121963398</v>
      </c>
      <c r="P24" s="138">
        <f t="shared" si="5"/>
        <v>9.4813879500616413E-2</v>
      </c>
      <c r="Q24" s="137">
        <v>3000689</v>
      </c>
      <c r="R24" s="137">
        <f t="shared" ref="R24:S24" si="58">C24+H24+M24</f>
        <v>1046483</v>
      </c>
      <c r="S24" s="137">
        <f t="shared" si="58"/>
        <v>311135</v>
      </c>
      <c r="T24" s="139">
        <f t="shared" si="8"/>
        <v>0.34874757097453285</v>
      </c>
      <c r="U24" s="139">
        <f t="shared" si="9"/>
        <v>0.10368785302308903</v>
      </c>
      <c r="V24" s="139"/>
      <c r="W24" s="139"/>
      <c r="X24" s="139"/>
      <c r="Y24" s="139"/>
      <c r="Z24" s="139"/>
      <c r="AA24" s="139"/>
      <c r="AB24" s="139"/>
      <c r="AC24" s="137">
        <v>1468764</v>
      </c>
      <c r="AD24" s="140">
        <v>1461489</v>
      </c>
      <c r="AE24" s="140">
        <v>1266029</v>
      </c>
      <c r="AF24" s="138">
        <f t="shared" si="10"/>
        <v>0.99504685572358798</v>
      </c>
      <c r="AG24" s="138">
        <f t="shared" si="11"/>
        <v>0.86196897527444849</v>
      </c>
      <c r="AH24" s="140">
        <v>21553118</v>
      </c>
      <c r="AI24" s="140">
        <v>1301782</v>
      </c>
      <c r="AJ24" s="140">
        <v>57227</v>
      </c>
      <c r="AK24" s="138">
        <f t="shared" si="12"/>
        <v>6.0398778496920956E-2</v>
      </c>
      <c r="AL24" s="138">
        <f t="shared" si="13"/>
        <v>2.6551610769263174E-3</v>
      </c>
      <c r="AM24" s="137">
        <v>17327169</v>
      </c>
      <c r="AN24" s="140">
        <v>3967185</v>
      </c>
      <c r="AO24" s="140">
        <v>1691934</v>
      </c>
      <c r="AP24" s="138">
        <f t="shared" si="14"/>
        <v>0.22895748289867779</v>
      </c>
      <c r="AQ24" s="138">
        <f t="shared" si="15"/>
        <v>9.7646303328604925E-2</v>
      </c>
      <c r="AR24" s="141">
        <f t="shared" si="16"/>
        <v>40349051</v>
      </c>
      <c r="AS24" s="140">
        <f t="shared" ref="AS24:AT24" si="59">AD24+AI24+AN24</f>
        <v>6730456</v>
      </c>
      <c r="AT24" s="144">
        <f t="shared" si="59"/>
        <v>3015190</v>
      </c>
      <c r="AU24" s="138">
        <f t="shared" si="18"/>
        <v>0.16680580665949243</v>
      </c>
      <c r="AV24" s="138">
        <f t="shared" si="19"/>
        <v>7.4727655924299183E-2</v>
      </c>
      <c r="AW24" s="138"/>
      <c r="AX24" s="138"/>
      <c r="AY24" s="143"/>
      <c r="AZ24" s="143"/>
      <c r="BA24" s="143"/>
      <c r="BB24" s="143"/>
      <c r="BC24" s="143"/>
      <c r="BD24" s="143"/>
      <c r="BE24" s="143"/>
      <c r="BF24" s="143" t="s">
        <v>338</v>
      </c>
      <c r="BG24" s="143" t="s">
        <v>338</v>
      </c>
      <c r="BH24" s="143" t="s">
        <v>338</v>
      </c>
      <c r="BI24" s="143" t="s">
        <v>338</v>
      </c>
    </row>
    <row r="25" spans="1:61" x14ac:dyDescent="0.25">
      <c r="A25" s="136">
        <v>44281</v>
      </c>
      <c r="B25" s="137">
        <v>112301</v>
      </c>
      <c r="C25" s="140">
        <v>123199</v>
      </c>
      <c r="D25" s="140">
        <v>102584</v>
      </c>
      <c r="E25" s="138">
        <f t="shared" si="0"/>
        <v>1.0970427689869191</v>
      </c>
      <c r="F25" s="138">
        <f t="shared" si="1"/>
        <v>0.91347361109874359</v>
      </c>
      <c r="G25" s="137">
        <v>911631</v>
      </c>
      <c r="H25" s="140">
        <v>414506</v>
      </c>
      <c r="I25" s="140">
        <v>29341</v>
      </c>
      <c r="J25" s="138">
        <f t="shared" si="2"/>
        <v>0.45468616139644219</v>
      </c>
      <c r="K25" s="138">
        <f t="shared" si="3"/>
        <v>3.2185171412556175E-2</v>
      </c>
      <c r="L25" s="137">
        <v>1976757</v>
      </c>
      <c r="M25" s="140">
        <v>554981</v>
      </c>
      <c r="N25" s="140">
        <v>211347</v>
      </c>
      <c r="O25" s="138">
        <f t="shared" si="4"/>
        <v>0.28075327417583446</v>
      </c>
      <c r="P25" s="138">
        <f t="shared" si="5"/>
        <v>0.10691602457965244</v>
      </c>
      <c r="Q25" s="137">
        <v>3000689</v>
      </c>
      <c r="R25" s="137">
        <f t="shared" ref="R25:S25" si="60">C25+H25+M25</f>
        <v>1092686</v>
      </c>
      <c r="S25" s="137">
        <f t="shared" si="60"/>
        <v>343272</v>
      </c>
      <c r="T25" s="139">
        <f t="shared" si="8"/>
        <v>0.36414503469036613</v>
      </c>
      <c r="U25" s="139">
        <f t="shared" si="9"/>
        <v>0.1143977266554448</v>
      </c>
      <c r="V25" s="139"/>
      <c r="W25" s="139"/>
      <c r="X25" s="139"/>
      <c r="Y25" s="139"/>
      <c r="Z25" s="139"/>
      <c r="AA25" s="139"/>
      <c r="AB25" s="139"/>
      <c r="AC25" s="137">
        <v>1468764</v>
      </c>
      <c r="AD25" s="140">
        <v>1464650</v>
      </c>
      <c r="AE25" s="140">
        <v>1270999</v>
      </c>
      <c r="AF25" s="138">
        <f t="shared" si="10"/>
        <v>0.99719900542224615</v>
      </c>
      <c r="AG25" s="138">
        <f t="shared" si="11"/>
        <v>0.86535277280761236</v>
      </c>
      <c r="AH25" s="140">
        <v>21553118</v>
      </c>
      <c r="AI25" s="140">
        <v>1356432</v>
      </c>
      <c r="AJ25" s="140">
        <v>78322</v>
      </c>
      <c r="AK25" s="138">
        <f t="shared" si="12"/>
        <v>6.29343745067419E-2</v>
      </c>
      <c r="AL25" s="138">
        <f t="shared" si="13"/>
        <v>3.6339057764171291E-3</v>
      </c>
      <c r="AM25" s="137">
        <v>17327169</v>
      </c>
      <c r="AN25" s="140">
        <v>4169000</v>
      </c>
      <c r="AO25" s="140">
        <v>1803291</v>
      </c>
      <c r="AP25" s="138">
        <f t="shared" si="14"/>
        <v>0.24060479816408556</v>
      </c>
      <c r="AQ25" s="138">
        <f t="shared" si="15"/>
        <v>0.10407303120319308</v>
      </c>
      <c r="AR25" s="141">
        <f t="shared" si="16"/>
        <v>40349051</v>
      </c>
      <c r="AS25" s="140">
        <f t="shared" ref="AS25:AT25" si="61">AD25+AI25+AN25</f>
        <v>6990082</v>
      </c>
      <c r="AT25" s="144">
        <f t="shared" si="61"/>
        <v>3152612</v>
      </c>
      <c r="AU25" s="138">
        <f t="shared" si="18"/>
        <v>0.17324030743622693</v>
      </c>
      <c r="AV25" s="138">
        <f t="shared" si="19"/>
        <v>7.8133485716925535E-2</v>
      </c>
      <c r="AW25" s="138"/>
      <c r="AX25" s="138"/>
      <c r="AY25" s="143"/>
      <c r="AZ25" s="143"/>
      <c r="BA25" s="143"/>
      <c r="BB25" s="143"/>
      <c r="BC25" s="143"/>
      <c r="BD25" s="143"/>
      <c r="BE25" s="143"/>
      <c r="BF25" s="143" t="s">
        <v>338</v>
      </c>
      <c r="BG25" s="143" t="s">
        <v>338</v>
      </c>
      <c r="BH25" s="143" t="s">
        <v>338</v>
      </c>
      <c r="BI25" s="143" t="s">
        <v>338</v>
      </c>
    </row>
    <row r="26" spans="1:61" x14ac:dyDescent="0.25">
      <c r="A26" s="136">
        <v>44282</v>
      </c>
      <c r="B26" s="137">
        <v>112301</v>
      </c>
      <c r="C26" s="140">
        <v>123199</v>
      </c>
      <c r="D26" s="140">
        <v>102672</v>
      </c>
      <c r="E26" s="138">
        <f t="shared" si="0"/>
        <v>1.0970427689869191</v>
      </c>
      <c r="F26" s="138">
        <f t="shared" si="1"/>
        <v>0.91425721943704863</v>
      </c>
      <c r="G26" s="137">
        <v>911631</v>
      </c>
      <c r="H26" s="140">
        <v>425054</v>
      </c>
      <c r="I26" s="140">
        <v>31070</v>
      </c>
      <c r="J26" s="138">
        <f t="shared" si="2"/>
        <v>0.46625663234356884</v>
      </c>
      <c r="K26" s="138">
        <f t="shared" si="3"/>
        <v>3.4081772120518057E-2</v>
      </c>
      <c r="L26" s="137">
        <v>1976757</v>
      </c>
      <c r="M26" s="140">
        <v>573482</v>
      </c>
      <c r="N26" s="140">
        <v>217379</v>
      </c>
      <c r="O26" s="138">
        <f t="shared" si="4"/>
        <v>0.29011254291751593</v>
      </c>
      <c r="P26" s="138">
        <f t="shared" si="5"/>
        <v>0.10996748715193623</v>
      </c>
      <c r="Q26" s="137">
        <v>3000689</v>
      </c>
      <c r="R26" s="137">
        <f t="shared" ref="R26:S26" si="62">C26+H26+M26</f>
        <v>1121735</v>
      </c>
      <c r="S26" s="137">
        <f t="shared" si="62"/>
        <v>351121</v>
      </c>
      <c r="T26" s="139">
        <f t="shared" si="8"/>
        <v>0.37382581133866255</v>
      </c>
      <c r="U26" s="139">
        <f t="shared" si="9"/>
        <v>0.11701345924219404</v>
      </c>
      <c r="V26" s="139"/>
      <c r="W26" s="139"/>
      <c r="X26" s="139"/>
      <c r="Y26" s="139"/>
      <c r="Z26" s="139"/>
      <c r="AA26" s="139"/>
      <c r="AB26" s="139"/>
      <c r="AC26" s="137">
        <v>1468764</v>
      </c>
      <c r="AD26" s="140">
        <v>1429532</v>
      </c>
      <c r="AE26" s="140">
        <v>1272381</v>
      </c>
      <c r="AF26" s="138">
        <f t="shared" si="10"/>
        <v>0.97328910566980131</v>
      </c>
      <c r="AG26" s="138">
        <f t="shared" si="11"/>
        <v>0.8662937000089872</v>
      </c>
      <c r="AH26" s="140">
        <v>21553118</v>
      </c>
      <c r="AI26" s="140">
        <v>1394731</v>
      </c>
      <c r="AJ26" s="140">
        <v>93529</v>
      </c>
      <c r="AK26" s="138">
        <f t="shared" si="12"/>
        <v>6.4711333181584216E-2</v>
      </c>
      <c r="AL26" s="138">
        <f t="shared" si="13"/>
        <v>4.3394649442368384E-3</v>
      </c>
      <c r="AM26" s="137">
        <v>17327169</v>
      </c>
      <c r="AN26" s="140">
        <v>4312074</v>
      </c>
      <c r="AO26" s="140">
        <v>1857872</v>
      </c>
      <c r="AP26" s="138">
        <f t="shared" si="14"/>
        <v>0.24886200394305613</v>
      </c>
      <c r="AQ26" s="138">
        <f t="shared" si="15"/>
        <v>0.10722305530695753</v>
      </c>
      <c r="AR26" s="141">
        <f t="shared" si="16"/>
        <v>40349051</v>
      </c>
      <c r="AS26" s="140">
        <f t="shared" ref="AS26:AT26" si="63">AD26+AI26+AN26</f>
        <v>7136337</v>
      </c>
      <c r="AT26" s="144">
        <f t="shared" si="63"/>
        <v>3223782</v>
      </c>
      <c r="AU26" s="138">
        <f t="shared" si="18"/>
        <v>0.17686505191906496</v>
      </c>
      <c r="AV26" s="138">
        <f t="shared" si="19"/>
        <v>7.9897343806177745E-2</v>
      </c>
      <c r="AW26" s="138"/>
      <c r="AX26" s="138"/>
      <c r="AY26" s="143"/>
      <c r="AZ26" s="143"/>
      <c r="BA26" s="143"/>
      <c r="BB26" s="143"/>
      <c r="BC26" s="143"/>
      <c r="BD26" s="143"/>
      <c r="BE26" s="143"/>
      <c r="BF26" s="143" t="s">
        <v>338</v>
      </c>
      <c r="BG26" s="143" t="s">
        <v>338</v>
      </c>
      <c r="BH26" s="143" t="s">
        <v>338</v>
      </c>
      <c r="BI26" s="143" t="s">
        <v>338</v>
      </c>
    </row>
    <row r="27" spans="1:61" x14ac:dyDescent="0.25">
      <c r="A27" s="136">
        <v>44283</v>
      </c>
      <c r="B27" s="137">
        <v>112301</v>
      </c>
      <c r="C27" s="140">
        <v>123199</v>
      </c>
      <c r="D27" s="140">
        <v>102692</v>
      </c>
      <c r="E27" s="138">
        <f t="shared" si="0"/>
        <v>1.0970427689869191</v>
      </c>
      <c r="F27" s="138">
        <f t="shared" si="1"/>
        <v>0.91443531224120889</v>
      </c>
      <c r="G27" s="137">
        <v>911631</v>
      </c>
      <c r="H27" s="140">
        <v>431190</v>
      </c>
      <c r="I27" s="140">
        <v>31149</v>
      </c>
      <c r="J27" s="138">
        <f t="shared" si="2"/>
        <v>0.47298742583347869</v>
      </c>
      <c r="K27" s="138">
        <f t="shared" si="3"/>
        <v>3.4168429989765596E-2</v>
      </c>
      <c r="L27" s="137">
        <v>1976757</v>
      </c>
      <c r="M27" s="140">
        <v>585999</v>
      </c>
      <c r="N27" s="140">
        <v>219264</v>
      </c>
      <c r="O27" s="138">
        <f t="shared" si="4"/>
        <v>0.29644463128244897</v>
      </c>
      <c r="P27" s="138">
        <f t="shared" si="5"/>
        <v>0.11092106920577491</v>
      </c>
      <c r="Q27" s="137">
        <v>3000689</v>
      </c>
      <c r="R27" s="137">
        <f t="shared" ref="R27:S27" si="64">C27+H27+M27</f>
        <v>1140388</v>
      </c>
      <c r="S27" s="137">
        <f t="shared" si="64"/>
        <v>353105</v>
      </c>
      <c r="T27" s="139">
        <f t="shared" si="8"/>
        <v>0.38004205034243804</v>
      </c>
      <c r="U27" s="139">
        <f t="shared" si="9"/>
        <v>0.11767464072418035</v>
      </c>
      <c r="V27" s="139"/>
      <c r="W27" s="139"/>
      <c r="X27" s="139"/>
      <c r="Y27" s="139"/>
      <c r="Z27" s="139"/>
      <c r="AA27" s="139"/>
      <c r="AB27" s="139"/>
      <c r="AC27" s="137">
        <v>1468764</v>
      </c>
      <c r="AD27" s="140">
        <v>1430428</v>
      </c>
      <c r="AE27" s="140">
        <v>1273417</v>
      </c>
      <c r="AF27" s="138">
        <f t="shared" si="10"/>
        <v>0.97389914240817455</v>
      </c>
      <c r="AG27" s="138">
        <f t="shared" si="11"/>
        <v>0.86699905498773122</v>
      </c>
      <c r="AH27" s="140">
        <v>21553118</v>
      </c>
      <c r="AI27" s="140">
        <v>1414656</v>
      </c>
      <c r="AJ27" s="140">
        <v>101709</v>
      </c>
      <c r="AK27" s="138">
        <f t="shared" si="12"/>
        <v>6.5635793391935218E-2</v>
      </c>
      <c r="AL27" s="138">
        <f t="shared" si="13"/>
        <v>4.7189923982228462E-3</v>
      </c>
      <c r="AM27" s="137">
        <v>17327169</v>
      </c>
      <c r="AN27" s="140">
        <v>4405955</v>
      </c>
      <c r="AO27" s="140">
        <v>1871683</v>
      </c>
      <c r="AP27" s="138">
        <f t="shared" si="14"/>
        <v>0.25428014235908936</v>
      </c>
      <c r="AQ27" s="138">
        <f t="shared" si="15"/>
        <v>0.10802012723486451</v>
      </c>
      <c r="AR27" s="141">
        <f t="shared" si="16"/>
        <v>40349051</v>
      </c>
      <c r="AS27" s="140">
        <f t="shared" ref="AS27:AT27" si="65">AD27+AI27+AN27</f>
        <v>7251039</v>
      </c>
      <c r="AT27" s="144">
        <f t="shared" si="65"/>
        <v>3246809</v>
      </c>
      <c r="AU27" s="138">
        <f t="shared" si="18"/>
        <v>0.17970779535806183</v>
      </c>
      <c r="AV27" s="138">
        <f t="shared" si="19"/>
        <v>8.0468038765025729E-2</v>
      </c>
      <c r="AW27" s="138"/>
      <c r="AX27" s="138"/>
      <c r="AY27" s="143"/>
      <c r="AZ27" s="143"/>
      <c r="BA27" s="143"/>
      <c r="BB27" s="143"/>
      <c r="BC27" s="143"/>
      <c r="BD27" s="143"/>
      <c r="BE27" s="143"/>
      <c r="BF27" s="143" t="s">
        <v>338</v>
      </c>
      <c r="BG27" s="143" t="s">
        <v>338</v>
      </c>
      <c r="BH27" s="143" t="s">
        <v>338</v>
      </c>
      <c r="BI27" s="143" t="s">
        <v>338</v>
      </c>
    </row>
    <row r="28" spans="1:61" x14ac:dyDescent="0.25">
      <c r="A28" s="136">
        <v>44284</v>
      </c>
      <c r="B28" s="137">
        <v>112301</v>
      </c>
      <c r="C28" s="140">
        <v>123199</v>
      </c>
      <c r="D28" s="140">
        <v>103537</v>
      </c>
      <c r="E28" s="138">
        <f t="shared" si="0"/>
        <v>1.0970427689869191</v>
      </c>
      <c r="F28" s="138">
        <f t="shared" si="1"/>
        <v>0.92195973321697933</v>
      </c>
      <c r="G28" s="137">
        <v>911631</v>
      </c>
      <c r="H28" s="140">
        <v>444817</v>
      </c>
      <c r="I28" s="140">
        <v>42494</v>
      </c>
      <c r="J28" s="138">
        <f t="shared" si="2"/>
        <v>0.48793535981115166</v>
      </c>
      <c r="K28" s="138">
        <f t="shared" si="3"/>
        <v>4.661315817474395E-2</v>
      </c>
      <c r="L28" s="137">
        <v>1976757</v>
      </c>
      <c r="M28" s="140">
        <v>610227</v>
      </c>
      <c r="N28" s="140">
        <v>242034</v>
      </c>
      <c r="O28" s="138">
        <f t="shared" si="4"/>
        <v>0.3087010694789496</v>
      </c>
      <c r="P28" s="138">
        <f t="shared" si="5"/>
        <v>0.12243993571288732</v>
      </c>
      <c r="Q28" s="137">
        <v>3000689</v>
      </c>
      <c r="R28" s="137">
        <f t="shared" ref="R28:S28" si="66">C28+H28+M28</f>
        <v>1178243</v>
      </c>
      <c r="S28" s="137">
        <f t="shared" si="66"/>
        <v>388065</v>
      </c>
      <c r="T28" s="139">
        <f t="shared" si="8"/>
        <v>0.3926574863306394</v>
      </c>
      <c r="U28" s="139">
        <f t="shared" si="9"/>
        <v>0.12932529828982611</v>
      </c>
      <c r="V28" s="139"/>
      <c r="W28" s="139"/>
      <c r="X28" s="139"/>
      <c r="Y28" s="139"/>
      <c r="Z28" s="139"/>
      <c r="AA28" s="139"/>
      <c r="AB28" s="139"/>
      <c r="AC28" s="137">
        <v>1468764</v>
      </c>
      <c r="AD28" s="140">
        <v>1432153</v>
      </c>
      <c r="AE28" s="140">
        <v>1275981</v>
      </c>
      <c r="AF28" s="138">
        <f t="shared" si="10"/>
        <v>0.97507359929845772</v>
      </c>
      <c r="AG28" s="138">
        <f t="shared" si="11"/>
        <v>0.8687447404756653</v>
      </c>
      <c r="AH28" s="140">
        <v>21553118</v>
      </c>
      <c r="AI28" s="140">
        <v>1453977</v>
      </c>
      <c r="AJ28" s="140">
        <v>118546</v>
      </c>
      <c r="AK28" s="138">
        <f t="shared" si="12"/>
        <v>6.7460169800026143E-2</v>
      </c>
      <c r="AL28" s="138">
        <f t="shared" si="13"/>
        <v>5.5001786748441689E-3</v>
      </c>
      <c r="AM28" s="137">
        <v>17327169</v>
      </c>
      <c r="AN28" s="140">
        <v>4549721</v>
      </c>
      <c r="AO28" s="140">
        <v>1936112</v>
      </c>
      <c r="AP28" s="138">
        <f t="shared" si="14"/>
        <v>0.26257728541806225</v>
      </c>
      <c r="AQ28" s="138">
        <f t="shared" si="15"/>
        <v>0.11173850731184073</v>
      </c>
      <c r="AR28" s="141">
        <f t="shared" si="16"/>
        <v>40349051</v>
      </c>
      <c r="AS28" s="140">
        <f t="shared" ref="AS28:AT28" si="67">AD28+AI28+AN28</f>
        <v>7435851</v>
      </c>
      <c r="AT28" s="144">
        <f t="shared" si="67"/>
        <v>3330639</v>
      </c>
      <c r="AU28" s="138">
        <f t="shared" si="18"/>
        <v>0.1842881261321363</v>
      </c>
      <c r="AV28" s="138">
        <f t="shared" si="19"/>
        <v>8.2545658880552111E-2</v>
      </c>
      <c r="AW28" s="138"/>
      <c r="AX28" s="138"/>
      <c r="AY28" s="143"/>
      <c r="AZ28" s="143"/>
      <c r="BA28" s="143"/>
      <c r="BB28" s="143"/>
      <c r="BC28" s="143"/>
      <c r="BD28" s="143"/>
      <c r="BE28" s="143"/>
      <c r="BF28" s="143" t="s">
        <v>338</v>
      </c>
      <c r="BG28" s="143" t="s">
        <v>338</v>
      </c>
      <c r="BH28" s="143" t="s">
        <v>338</v>
      </c>
      <c r="BI28" s="143" t="s">
        <v>338</v>
      </c>
    </row>
    <row r="29" spans="1:61" x14ac:dyDescent="0.25">
      <c r="A29" s="136">
        <v>44285</v>
      </c>
      <c r="B29" s="137">
        <v>112301</v>
      </c>
      <c r="C29" s="140">
        <v>123199</v>
      </c>
      <c r="D29" s="140">
        <v>104246</v>
      </c>
      <c r="E29" s="138">
        <f t="shared" si="0"/>
        <v>1.0970427689869191</v>
      </c>
      <c r="F29" s="138">
        <f t="shared" si="1"/>
        <v>0.9282731231244602</v>
      </c>
      <c r="G29" s="137">
        <v>911631</v>
      </c>
      <c r="H29" s="140">
        <v>460787</v>
      </c>
      <c r="I29" s="140">
        <v>54834</v>
      </c>
      <c r="J29" s="138">
        <f t="shared" si="2"/>
        <v>0.50545341261979904</v>
      </c>
      <c r="K29" s="138">
        <f t="shared" si="3"/>
        <v>6.014933673821974E-2</v>
      </c>
      <c r="L29" s="137">
        <v>1976757</v>
      </c>
      <c r="M29" s="140">
        <v>636631</v>
      </c>
      <c r="N29" s="140">
        <v>266245</v>
      </c>
      <c r="O29" s="138">
        <f t="shared" si="4"/>
        <v>0.3220583005397224</v>
      </c>
      <c r="P29" s="138">
        <f t="shared" si="5"/>
        <v>0.13468777396513582</v>
      </c>
      <c r="Q29" s="137">
        <v>3000689</v>
      </c>
      <c r="R29" s="137">
        <f t="shared" ref="R29:S29" si="68">C29+H29+M29</f>
        <v>1220617</v>
      </c>
      <c r="S29" s="137">
        <f t="shared" si="68"/>
        <v>425325</v>
      </c>
      <c r="T29" s="139">
        <f t="shared" si="8"/>
        <v>0.40677890977705455</v>
      </c>
      <c r="U29" s="139">
        <f t="shared" si="9"/>
        <v>0.14174244648479065</v>
      </c>
      <c r="V29" s="139"/>
      <c r="W29" s="139"/>
      <c r="X29" s="139"/>
      <c r="Y29" s="139"/>
      <c r="Z29" s="139"/>
      <c r="AA29" s="139"/>
      <c r="AB29" s="139"/>
      <c r="AC29" s="137">
        <v>1468764</v>
      </c>
      <c r="AD29" s="140">
        <v>1435351</v>
      </c>
      <c r="AE29" s="140">
        <v>1282214</v>
      </c>
      <c r="AF29" s="138">
        <f t="shared" si="10"/>
        <v>0.97725094024635684</v>
      </c>
      <c r="AG29" s="138">
        <f t="shared" si="11"/>
        <v>0.87298844470588877</v>
      </c>
      <c r="AH29" s="140">
        <v>21553118</v>
      </c>
      <c r="AI29" s="140">
        <v>1546269</v>
      </c>
      <c r="AJ29" s="140">
        <v>159823</v>
      </c>
      <c r="AK29" s="138">
        <f t="shared" si="12"/>
        <v>7.1742241656172434E-2</v>
      </c>
      <c r="AL29" s="138">
        <f t="shared" si="13"/>
        <v>7.4153076134970356E-3</v>
      </c>
      <c r="AM29" s="137">
        <v>17327169</v>
      </c>
      <c r="AN29" s="140">
        <v>4858404</v>
      </c>
      <c r="AO29" s="140">
        <v>2119155</v>
      </c>
      <c r="AP29" s="138">
        <f t="shared" si="14"/>
        <v>0.28039225565353465</v>
      </c>
      <c r="AQ29" s="138">
        <f t="shared" si="15"/>
        <v>0.1223024372879378</v>
      </c>
      <c r="AR29" s="141">
        <f t="shared" si="16"/>
        <v>40349051</v>
      </c>
      <c r="AS29" s="140">
        <f t="shared" ref="AS29:AT29" si="69">AD29+AI29+AN29</f>
        <v>7840024</v>
      </c>
      <c r="AT29" s="144">
        <f t="shared" si="69"/>
        <v>3561192</v>
      </c>
      <c r="AU29" s="138">
        <f t="shared" si="18"/>
        <v>0.1943050407802652</v>
      </c>
      <c r="AV29" s="138">
        <f t="shared" si="19"/>
        <v>8.8259622264721907E-2</v>
      </c>
      <c r="AW29" s="138"/>
      <c r="AX29" s="138"/>
      <c r="AY29" s="143"/>
      <c r="AZ29" s="143"/>
      <c r="BA29" s="143"/>
      <c r="BB29" s="143"/>
      <c r="BC29" s="143"/>
      <c r="BD29" s="143"/>
      <c r="BE29" s="143"/>
      <c r="BF29" s="143" t="s">
        <v>338</v>
      </c>
      <c r="BG29" s="143" t="s">
        <v>338</v>
      </c>
      <c r="BH29" s="143" t="s">
        <v>338</v>
      </c>
      <c r="BI29" s="143" t="s">
        <v>338</v>
      </c>
    </row>
    <row r="30" spans="1:61" x14ac:dyDescent="0.25">
      <c r="A30" s="136">
        <v>44286</v>
      </c>
      <c r="B30" s="137">
        <v>112301</v>
      </c>
      <c r="C30" s="140">
        <v>123199</v>
      </c>
      <c r="D30" s="140">
        <v>104773</v>
      </c>
      <c r="E30" s="138">
        <f t="shared" si="0"/>
        <v>1.0970427689869191</v>
      </c>
      <c r="F30" s="138">
        <f t="shared" si="1"/>
        <v>0.9329658685140827</v>
      </c>
      <c r="G30" s="137">
        <v>911631</v>
      </c>
      <c r="H30" s="140">
        <v>475190</v>
      </c>
      <c r="I30" s="140">
        <v>66739</v>
      </c>
      <c r="J30" s="138">
        <f t="shared" si="2"/>
        <v>0.52125256819919463</v>
      </c>
      <c r="K30" s="138">
        <f t="shared" si="3"/>
        <v>7.3208348553307198E-2</v>
      </c>
      <c r="L30" s="137">
        <v>1976757</v>
      </c>
      <c r="M30" s="140">
        <v>668989</v>
      </c>
      <c r="N30" s="140">
        <v>287470</v>
      </c>
      <c r="O30" s="138">
        <f t="shared" si="4"/>
        <v>0.33842753560503391</v>
      </c>
      <c r="P30" s="138">
        <f t="shared" si="5"/>
        <v>0.14542505730345207</v>
      </c>
      <c r="Q30" s="137">
        <v>3000689</v>
      </c>
      <c r="R30" s="137">
        <f t="shared" ref="R30:S30" si="70">C30+H30+M30</f>
        <v>1267378</v>
      </c>
      <c r="S30" s="137">
        <f t="shared" si="70"/>
        <v>458982</v>
      </c>
      <c r="T30" s="139">
        <f t="shared" si="8"/>
        <v>0.42236233078469643</v>
      </c>
      <c r="U30" s="139">
        <f t="shared" si="9"/>
        <v>0.15295887044608755</v>
      </c>
      <c r="V30" s="139"/>
      <c r="W30" s="139"/>
      <c r="X30" s="139"/>
      <c r="Y30" s="139"/>
      <c r="Z30" s="139"/>
      <c r="AA30" s="139"/>
      <c r="AB30" s="139"/>
      <c r="AC30" s="137">
        <v>1468764</v>
      </c>
      <c r="AD30" s="140">
        <v>1438016</v>
      </c>
      <c r="AE30" s="140">
        <v>1286168</v>
      </c>
      <c r="AF30" s="138">
        <f t="shared" si="10"/>
        <v>0.97906539103627266</v>
      </c>
      <c r="AG30" s="138">
        <f t="shared" si="11"/>
        <v>0.87568050415179022</v>
      </c>
      <c r="AH30" s="140">
        <v>21553118</v>
      </c>
      <c r="AI30" s="140">
        <v>1616340</v>
      </c>
      <c r="AJ30" s="140">
        <v>183141</v>
      </c>
      <c r="AK30" s="138">
        <f t="shared" si="12"/>
        <v>7.4993325791655754E-2</v>
      </c>
      <c r="AL30" s="138">
        <f t="shared" si="13"/>
        <v>8.4971928423534827E-3</v>
      </c>
      <c r="AM30" s="137">
        <v>17327169</v>
      </c>
      <c r="AN30" s="140">
        <v>5061358</v>
      </c>
      <c r="AO30" s="140">
        <v>2247772</v>
      </c>
      <c r="AP30" s="138">
        <f t="shared" si="14"/>
        <v>0.29210530583501554</v>
      </c>
      <c r="AQ30" s="138">
        <f t="shared" si="15"/>
        <v>0.12972528864928828</v>
      </c>
      <c r="AR30" s="141">
        <f t="shared" si="16"/>
        <v>40349051</v>
      </c>
      <c r="AS30" s="140">
        <f t="shared" ref="AS30:AT30" si="71">AD30+AI30+AN30</f>
        <v>8115714</v>
      </c>
      <c r="AT30" s="144">
        <f t="shared" si="71"/>
        <v>3717081</v>
      </c>
      <c r="AU30" s="138">
        <f t="shared" si="18"/>
        <v>0.20113766740139688</v>
      </c>
      <c r="AV30" s="138">
        <f t="shared" si="19"/>
        <v>9.2123133205784691E-2</v>
      </c>
      <c r="AW30" s="138"/>
      <c r="AX30" s="138"/>
      <c r="AY30" s="143"/>
      <c r="AZ30" s="143"/>
      <c r="BA30" s="143"/>
      <c r="BB30" s="143"/>
      <c r="BC30" s="143"/>
      <c r="BD30" s="143"/>
      <c r="BE30" s="143"/>
      <c r="BF30" s="143" t="s">
        <v>338</v>
      </c>
      <c r="BG30" s="143" t="s">
        <v>338</v>
      </c>
      <c r="BH30" s="143" t="s">
        <v>338</v>
      </c>
      <c r="BI30" s="143" t="s">
        <v>338</v>
      </c>
    </row>
    <row r="31" spans="1:61" x14ac:dyDescent="0.25">
      <c r="A31" s="136">
        <v>44287</v>
      </c>
      <c r="B31" s="137">
        <v>112301</v>
      </c>
      <c r="C31" s="140">
        <v>124396</v>
      </c>
      <c r="D31" s="140">
        <v>107368</v>
      </c>
      <c r="E31" s="138">
        <f t="shared" si="0"/>
        <v>1.1077016233159098</v>
      </c>
      <c r="F31" s="138">
        <f t="shared" si="1"/>
        <v>0.9560734098538749</v>
      </c>
      <c r="G31" s="137">
        <v>911631</v>
      </c>
      <c r="H31" s="140">
        <v>477295</v>
      </c>
      <c r="I31" s="140">
        <v>77431</v>
      </c>
      <c r="J31" s="138">
        <f t="shared" si="2"/>
        <v>0.52356161648737265</v>
      </c>
      <c r="K31" s="138">
        <f t="shared" si="3"/>
        <v>8.4936778148176184E-2</v>
      </c>
      <c r="L31" s="137">
        <v>1976757</v>
      </c>
      <c r="M31" s="140">
        <v>699688</v>
      </c>
      <c r="N31" s="140">
        <v>300935</v>
      </c>
      <c r="O31" s="138">
        <f t="shared" si="4"/>
        <v>0.35395751728715263</v>
      </c>
      <c r="P31" s="138">
        <f t="shared" si="5"/>
        <v>0.15223671903020958</v>
      </c>
      <c r="Q31" s="137">
        <v>3000689</v>
      </c>
      <c r="R31" s="137">
        <f t="shared" ref="R31:S31" si="72">C31+H31+M31</f>
        <v>1301379</v>
      </c>
      <c r="S31" s="137">
        <f t="shared" si="72"/>
        <v>485734</v>
      </c>
      <c r="T31" s="139">
        <f t="shared" si="8"/>
        <v>0.43369339508359578</v>
      </c>
      <c r="U31" s="139">
        <f t="shared" si="9"/>
        <v>0.16187415623545126</v>
      </c>
      <c r="V31" s="139"/>
      <c r="W31" s="139"/>
      <c r="X31" s="139"/>
      <c r="Y31" s="139"/>
      <c r="Z31" s="139"/>
      <c r="AA31" s="139"/>
      <c r="AB31" s="139"/>
      <c r="AC31" s="137">
        <v>1468764</v>
      </c>
      <c r="AD31" s="140">
        <v>1440648</v>
      </c>
      <c r="AE31" s="140">
        <v>1289711</v>
      </c>
      <c r="AF31" s="138">
        <f t="shared" si="10"/>
        <v>0.98085737395524397</v>
      </c>
      <c r="AG31" s="138">
        <f t="shared" si="11"/>
        <v>0.87809273647774588</v>
      </c>
      <c r="AH31" s="140">
        <v>21553118</v>
      </c>
      <c r="AI31" s="140">
        <v>1672730</v>
      </c>
      <c r="AJ31" s="140">
        <v>213333</v>
      </c>
      <c r="AK31" s="138">
        <f t="shared" si="12"/>
        <v>7.7609652580197447E-2</v>
      </c>
      <c r="AL31" s="138">
        <f t="shared" si="13"/>
        <v>9.8980110441561162E-3</v>
      </c>
      <c r="AM31" s="137">
        <v>17327169</v>
      </c>
      <c r="AN31" s="140">
        <v>5258199</v>
      </c>
      <c r="AO31" s="140">
        <v>2351407</v>
      </c>
      <c r="AP31" s="138">
        <f t="shared" si="14"/>
        <v>0.30346555747219872</v>
      </c>
      <c r="AQ31" s="138">
        <f t="shared" si="15"/>
        <v>0.13570635803229023</v>
      </c>
      <c r="AR31" s="141">
        <f t="shared" si="16"/>
        <v>40349051</v>
      </c>
      <c r="AS31" s="140">
        <f t="shared" ref="AS31:AT31" si="73">AD31+AI31+AN31</f>
        <v>8371577</v>
      </c>
      <c r="AT31" s="144">
        <f t="shared" si="73"/>
        <v>3854451</v>
      </c>
      <c r="AU31" s="138">
        <f t="shared" si="18"/>
        <v>0.20747890700081148</v>
      </c>
      <c r="AV31" s="138">
        <f t="shared" si="19"/>
        <v>9.5527674244432662E-2</v>
      </c>
      <c r="AW31" s="138"/>
      <c r="AX31" s="138"/>
      <c r="AY31" s="143"/>
      <c r="AZ31" s="143"/>
      <c r="BA31" s="143"/>
      <c r="BB31" s="143"/>
      <c r="BC31" s="143"/>
      <c r="BD31" s="143"/>
      <c r="BE31" s="143"/>
      <c r="BF31" s="143" t="s">
        <v>338</v>
      </c>
      <c r="BG31" s="143" t="s">
        <v>338</v>
      </c>
      <c r="BH31" s="143" t="s">
        <v>338</v>
      </c>
      <c r="BI31" s="143" t="s">
        <v>338</v>
      </c>
    </row>
    <row r="32" spans="1:61" x14ac:dyDescent="0.25">
      <c r="A32" s="136">
        <v>44288</v>
      </c>
      <c r="B32" s="137">
        <v>112301</v>
      </c>
      <c r="C32" s="140">
        <v>124396</v>
      </c>
      <c r="D32" s="140">
        <v>107368</v>
      </c>
      <c r="E32" s="138">
        <f t="shared" si="0"/>
        <v>1.1077016233159098</v>
      </c>
      <c r="F32" s="138">
        <f t="shared" si="1"/>
        <v>0.9560734098538749</v>
      </c>
      <c r="G32" s="137">
        <v>911631</v>
      </c>
      <c r="H32" s="140">
        <v>485807</v>
      </c>
      <c r="I32" s="140">
        <v>80541</v>
      </c>
      <c r="J32" s="138">
        <f t="shared" si="2"/>
        <v>0.5328987276650311</v>
      </c>
      <c r="K32" s="138">
        <f t="shared" si="3"/>
        <v>8.8348246165389291E-2</v>
      </c>
      <c r="L32" s="137">
        <v>1976757</v>
      </c>
      <c r="M32" s="140">
        <v>715419</v>
      </c>
      <c r="N32" s="140">
        <v>302306</v>
      </c>
      <c r="O32" s="138">
        <f t="shared" si="4"/>
        <v>0.36191550099481118</v>
      </c>
      <c r="P32" s="138">
        <f t="shared" si="5"/>
        <v>0.15293027924018987</v>
      </c>
      <c r="Q32" s="137">
        <v>3000689</v>
      </c>
      <c r="R32" s="137">
        <f t="shared" ref="R32:S32" si="74">C32+H32+M32</f>
        <v>1325622</v>
      </c>
      <c r="S32" s="137">
        <f t="shared" si="74"/>
        <v>490215</v>
      </c>
      <c r="T32" s="139">
        <f t="shared" si="8"/>
        <v>0.44177253957341128</v>
      </c>
      <c r="U32" s="139">
        <f t="shared" si="9"/>
        <v>0.16336747993544148</v>
      </c>
      <c r="V32" s="139"/>
      <c r="W32" s="139"/>
      <c r="X32" s="139"/>
      <c r="Y32" s="139"/>
      <c r="Z32" s="139"/>
      <c r="AA32" s="139"/>
      <c r="AB32" s="139"/>
      <c r="AC32" s="137">
        <v>1468764</v>
      </c>
      <c r="AD32" s="140">
        <v>1441069</v>
      </c>
      <c r="AE32" s="140">
        <v>1290437</v>
      </c>
      <c r="AF32" s="138">
        <f t="shared" si="10"/>
        <v>0.9811440095209305</v>
      </c>
      <c r="AG32" s="138">
        <f t="shared" si="11"/>
        <v>0.87858702963852597</v>
      </c>
      <c r="AH32" s="140">
        <v>21553118</v>
      </c>
      <c r="AI32" s="140">
        <v>1679615</v>
      </c>
      <c r="AJ32" s="140">
        <v>217777</v>
      </c>
      <c r="AK32" s="138">
        <f t="shared" si="12"/>
        <v>7.7929095920135541E-2</v>
      </c>
      <c r="AL32" s="138">
        <f t="shared" si="13"/>
        <v>1.0104199308888858E-2</v>
      </c>
      <c r="AM32" s="137">
        <v>17327169</v>
      </c>
      <c r="AN32" s="140">
        <v>5304045</v>
      </c>
      <c r="AO32" s="140">
        <v>2359548</v>
      </c>
      <c r="AP32" s="138">
        <f t="shared" si="14"/>
        <v>0.3061114599851828</v>
      </c>
      <c r="AQ32" s="138">
        <f t="shared" si="15"/>
        <v>0.13617619820064086</v>
      </c>
      <c r="AR32" s="141">
        <f t="shared" si="16"/>
        <v>40349051</v>
      </c>
      <c r="AS32" s="140">
        <f t="shared" ref="AS32:AT32" si="75">AD32+AI32+AN32</f>
        <v>8424729</v>
      </c>
      <c r="AT32" s="144">
        <f t="shared" si="75"/>
        <v>3867762</v>
      </c>
      <c r="AU32" s="138">
        <f t="shared" si="18"/>
        <v>0.20879621183655594</v>
      </c>
      <c r="AV32" s="138">
        <f t="shared" si="19"/>
        <v>9.5857570479166904E-2</v>
      </c>
      <c r="AW32" s="138"/>
      <c r="AX32" s="138"/>
      <c r="AY32" s="143"/>
      <c r="AZ32" s="143"/>
      <c r="BA32" s="143"/>
      <c r="BB32" s="143"/>
      <c r="BC32" s="143"/>
      <c r="BD32" s="143"/>
      <c r="BE32" s="143"/>
      <c r="BF32" s="143" t="s">
        <v>338</v>
      </c>
      <c r="BG32" s="143" t="s">
        <v>338</v>
      </c>
      <c r="BH32" s="143" t="s">
        <v>338</v>
      </c>
      <c r="BI32" s="143" t="s">
        <v>338</v>
      </c>
    </row>
    <row r="33" spans="1:61" x14ac:dyDescent="0.25">
      <c r="A33" s="136">
        <v>44289</v>
      </c>
      <c r="B33" s="137">
        <v>112301</v>
      </c>
      <c r="C33" s="140">
        <v>121845</v>
      </c>
      <c r="D33" s="140">
        <v>105485</v>
      </c>
      <c r="E33" s="138">
        <f t="shared" si="0"/>
        <v>1.0849858861452704</v>
      </c>
      <c r="F33" s="138">
        <f t="shared" si="1"/>
        <v>0.93930597234218749</v>
      </c>
      <c r="G33" s="137">
        <v>911631</v>
      </c>
      <c r="H33" s="140">
        <v>487262</v>
      </c>
      <c r="I33" s="140">
        <v>83140</v>
      </c>
      <c r="J33" s="138">
        <f t="shared" si="2"/>
        <v>0.53449476816826103</v>
      </c>
      <c r="K33" s="138">
        <f t="shared" si="3"/>
        <v>9.1199180370127822E-2</v>
      </c>
      <c r="L33" s="137">
        <v>1976757</v>
      </c>
      <c r="M33" s="140">
        <v>730364</v>
      </c>
      <c r="N33" s="140">
        <v>305602</v>
      </c>
      <c r="O33" s="138">
        <f t="shared" si="4"/>
        <v>0.36947586375057734</v>
      </c>
      <c r="P33" s="138">
        <f t="shared" si="5"/>
        <v>0.15459765666695502</v>
      </c>
      <c r="Q33" s="137">
        <v>3000689</v>
      </c>
      <c r="R33" s="137">
        <f t="shared" ref="R33:S33" si="76">C33+H33+M33</f>
        <v>1339471</v>
      </c>
      <c r="S33" s="137">
        <f t="shared" si="76"/>
        <v>494227</v>
      </c>
      <c r="T33" s="139">
        <f t="shared" si="8"/>
        <v>0.44638781293229657</v>
      </c>
      <c r="U33" s="139">
        <f t="shared" si="9"/>
        <v>0.16470450619840976</v>
      </c>
      <c r="V33" s="139"/>
      <c r="W33" s="139"/>
      <c r="X33" s="139"/>
      <c r="Y33" s="139"/>
      <c r="Z33" s="139"/>
      <c r="AA33" s="139"/>
      <c r="AB33" s="139"/>
      <c r="AC33" s="137">
        <v>1468764</v>
      </c>
      <c r="AD33" s="140">
        <v>1441529</v>
      </c>
      <c r="AE33" s="140">
        <v>1292170</v>
      </c>
      <c r="AF33" s="138">
        <f t="shared" si="10"/>
        <v>0.98145719802500608</v>
      </c>
      <c r="AG33" s="138">
        <f t="shared" si="11"/>
        <v>0.8797669332854019</v>
      </c>
      <c r="AH33" s="140">
        <v>21553118</v>
      </c>
      <c r="AI33" s="140">
        <v>1706928</v>
      </c>
      <c r="AJ33" s="140">
        <v>254973</v>
      </c>
      <c r="AK33" s="138">
        <f t="shared" si="12"/>
        <v>7.9196337161054842E-2</v>
      </c>
      <c r="AL33" s="138">
        <f t="shared" si="13"/>
        <v>1.1829982093542104E-2</v>
      </c>
      <c r="AM33" s="137">
        <v>17327169</v>
      </c>
      <c r="AN33" s="140">
        <v>5396453</v>
      </c>
      <c r="AO33" s="140">
        <v>2407200</v>
      </c>
      <c r="AP33" s="138">
        <f t="shared" si="14"/>
        <v>0.31144458739913022</v>
      </c>
      <c r="AQ33" s="138">
        <f t="shared" si="15"/>
        <v>0.13892633008889105</v>
      </c>
      <c r="AR33" s="141">
        <f t="shared" si="16"/>
        <v>40349051</v>
      </c>
      <c r="AS33" s="140">
        <f t="shared" ref="AS33:AT33" si="77">AD33+AI33+AN33</f>
        <v>8544910</v>
      </c>
      <c r="AT33" s="144">
        <f t="shared" si="77"/>
        <v>3954343</v>
      </c>
      <c r="AU33" s="138">
        <f t="shared" si="18"/>
        <v>0.21177474533415916</v>
      </c>
      <c r="AV33" s="138">
        <f t="shared" si="19"/>
        <v>9.8003370636895529E-2</v>
      </c>
      <c r="AW33" s="138"/>
      <c r="AX33" s="138"/>
      <c r="AY33" s="143"/>
      <c r="AZ33" s="143"/>
      <c r="BA33" s="143"/>
      <c r="BB33" s="143"/>
      <c r="BC33" s="143"/>
      <c r="BD33" s="143"/>
      <c r="BE33" s="143"/>
      <c r="BF33" s="143" t="s">
        <v>338</v>
      </c>
      <c r="BG33" s="143" t="s">
        <v>338</v>
      </c>
      <c r="BH33" s="143" t="s">
        <v>338</v>
      </c>
      <c r="BI33" s="143" t="s">
        <v>338</v>
      </c>
    </row>
    <row r="34" spans="1:61" x14ac:dyDescent="0.25">
      <c r="A34" s="136">
        <v>44290</v>
      </c>
      <c r="B34" s="137">
        <v>112301</v>
      </c>
      <c r="C34" s="140">
        <v>121850</v>
      </c>
      <c r="D34" s="140">
        <v>105514</v>
      </c>
      <c r="E34" s="138">
        <f t="shared" si="0"/>
        <v>1.0850304093463103</v>
      </c>
      <c r="F34" s="138">
        <f t="shared" si="1"/>
        <v>0.93956420690821985</v>
      </c>
      <c r="G34" s="137">
        <v>911631</v>
      </c>
      <c r="H34" s="140">
        <v>488136</v>
      </c>
      <c r="I34" s="140">
        <v>83786</v>
      </c>
      <c r="J34" s="138">
        <f t="shared" si="2"/>
        <v>0.53545348940525284</v>
      </c>
      <c r="K34" s="138">
        <f t="shared" si="3"/>
        <v>9.1907800414860838E-2</v>
      </c>
      <c r="L34" s="137">
        <v>1976757</v>
      </c>
      <c r="M34" s="140">
        <v>742355</v>
      </c>
      <c r="N34" s="140">
        <v>308776</v>
      </c>
      <c r="O34" s="138">
        <f t="shared" si="4"/>
        <v>0.37554185972276816</v>
      </c>
      <c r="P34" s="138">
        <f t="shared" si="5"/>
        <v>0.15620331684673433</v>
      </c>
      <c r="Q34" s="137">
        <v>3000689</v>
      </c>
      <c r="R34" s="137">
        <f t="shared" ref="R34:S34" si="78">C34+H34+M34</f>
        <v>1352341</v>
      </c>
      <c r="S34" s="137">
        <f t="shared" si="78"/>
        <v>498076</v>
      </c>
      <c r="T34" s="139">
        <f t="shared" si="8"/>
        <v>0.45067682788852825</v>
      </c>
      <c r="U34" s="139">
        <f t="shared" si="9"/>
        <v>0.165987211603735</v>
      </c>
      <c r="V34" s="139"/>
      <c r="W34" s="139"/>
      <c r="X34" s="139"/>
      <c r="Y34" s="139"/>
      <c r="Z34" s="139"/>
      <c r="AA34" s="139"/>
      <c r="AB34" s="139"/>
      <c r="AC34" s="137">
        <v>1468764</v>
      </c>
      <c r="AD34" s="140">
        <v>1441914</v>
      </c>
      <c r="AE34" s="140">
        <v>1293500</v>
      </c>
      <c r="AF34" s="138">
        <f t="shared" si="10"/>
        <v>0.98171932318602584</v>
      </c>
      <c r="AG34" s="138">
        <f t="shared" si="11"/>
        <v>0.88067245656892457</v>
      </c>
      <c r="AH34" s="140">
        <v>21553118</v>
      </c>
      <c r="AI34" s="140">
        <v>1721077</v>
      </c>
      <c r="AJ34" s="140">
        <v>261638</v>
      </c>
      <c r="AK34" s="138">
        <f t="shared" si="12"/>
        <v>7.9852808303652406E-2</v>
      </c>
      <c r="AL34" s="138">
        <f t="shared" si="13"/>
        <v>1.213921809364195E-2</v>
      </c>
      <c r="AM34" s="137">
        <v>17327169</v>
      </c>
      <c r="AN34" s="140">
        <v>5466191</v>
      </c>
      <c r="AO34" s="140">
        <v>2459263</v>
      </c>
      <c r="AP34" s="138">
        <f t="shared" si="14"/>
        <v>0.31546936490317606</v>
      </c>
      <c r="AQ34" s="138">
        <f t="shared" si="15"/>
        <v>0.14193103328073964</v>
      </c>
      <c r="AR34" s="141">
        <f t="shared" si="16"/>
        <v>40349051</v>
      </c>
      <c r="AS34" s="140">
        <f t="shared" ref="AS34:AT34" si="79">AD34+AI34+AN34</f>
        <v>8629182</v>
      </c>
      <c r="AT34" s="144">
        <f t="shared" si="79"/>
        <v>4014401</v>
      </c>
      <c r="AU34" s="138">
        <f t="shared" si="18"/>
        <v>0.21386331985850177</v>
      </c>
      <c r="AV34" s="138">
        <f t="shared" si="19"/>
        <v>9.9491831914460635E-2</v>
      </c>
      <c r="AW34" s="138"/>
      <c r="AX34" s="138"/>
      <c r="AY34" s="143"/>
      <c r="AZ34" s="143"/>
      <c r="BA34" s="143"/>
      <c r="BB34" s="143"/>
      <c r="BC34" s="143"/>
      <c r="BD34" s="143"/>
      <c r="BE34" s="143"/>
      <c r="BF34" s="143" t="s">
        <v>338</v>
      </c>
      <c r="BG34" s="143" t="s">
        <v>338</v>
      </c>
      <c r="BH34" s="143" t="s">
        <v>338</v>
      </c>
      <c r="BI34" s="143" t="s">
        <v>338</v>
      </c>
    </row>
    <row r="35" spans="1:61" x14ac:dyDescent="0.25">
      <c r="A35" s="136">
        <v>44291</v>
      </c>
      <c r="B35" s="137">
        <v>112301</v>
      </c>
      <c r="C35" s="140">
        <v>122092</v>
      </c>
      <c r="D35" s="140">
        <v>106037</v>
      </c>
      <c r="E35" s="138">
        <f t="shared" si="0"/>
        <v>1.0871853322766494</v>
      </c>
      <c r="F35" s="138">
        <f t="shared" si="1"/>
        <v>0.94422133373701034</v>
      </c>
      <c r="G35" s="137">
        <v>911631</v>
      </c>
      <c r="H35" s="140">
        <v>493235</v>
      </c>
      <c r="I35" s="140">
        <v>109251</v>
      </c>
      <c r="J35" s="138">
        <f t="shared" si="2"/>
        <v>0.54104676124440698</v>
      </c>
      <c r="K35" s="138">
        <f t="shared" si="3"/>
        <v>0.11984125155901895</v>
      </c>
      <c r="L35" s="137">
        <v>1976757</v>
      </c>
      <c r="M35" s="140">
        <v>771861</v>
      </c>
      <c r="N35" s="140">
        <v>330815</v>
      </c>
      <c r="O35" s="138">
        <f t="shared" si="4"/>
        <v>0.3904683276700171</v>
      </c>
      <c r="P35" s="138">
        <f t="shared" si="5"/>
        <v>0.16735238575100531</v>
      </c>
      <c r="Q35" s="137">
        <v>3000689</v>
      </c>
      <c r="R35" s="137">
        <f t="shared" ref="R35:S35" si="80">C35+H35+M35</f>
        <v>1387188</v>
      </c>
      <c r="S35" s="137">
        <f t="shared" si="80"/>
        <v>546103</v>
      </c>
      <c r="T35" s="139">
        <f t="shared" si="8"/>
        <v>0.46228982743629882</v>
      </c>
      <c r="U35" s="139">
        <f t="shared" si="9"/>
        <v>0.1819925357142976</v>
      </c>
      <c r="V35" s="139"/>
      <c r="W35" s="139"/>
      <c r="X35" s="139"/>
      <c r="Y35" s="139"/>
      <c r="Z35" s="139"/>
      <c r="AA35" s="139"/>
      <c r="AB35" s="139"/>
      <c r="AC35" s="137">
        <v>1468764</v>
      </c>
      <c r="AD35" s="140">
        <v>1443385</v>
      </c>
      <c r="AE35" s="140">
        <v>1297351</v>
      </c>
      <c r="AF35" s="138">
        <f t="shared" si="10"/>
        <v>0.98272084555449346</v>
      </c>
      <c r="AG35" s="138">
        <f t="shared" si="11"/>
        <v>0.88329438902369617</v>
      </c>
      <c r="AH35" s="140">
        <v>21553118</v>
      </c>
      <c r="AI35" s="140">
        <v>1771003</v>
      </c>
      <c r="AJ35" s="140">
        <v>329227</v>
      </c>
      <c r="AK35" s="138">
        <f t="shared" si="12"/>
        <v>8.2169224888946457E-2</v>
      </c>
      <c r="AL35" s="138">
        <f t="shared" si="13"/>
        <v>1.5275144876950053E-2</v>
      </c>
      <c r="AM35" s="137">
        <v>17327169</v>
      </c>
      <c r="AN35" s="140">
        <v>5641985</v>
      </c>
      <c r="AO35" s="140">
        <v>2604222</v>
      </c>
      <c r="AP35" s="138">
        <f t="shared" si="14"/>
        <v>0.32561493455739943</v>
      </c>
      <c r="AQ35" s="138">
        <f t="shared" si="15"/>
        <v>0.1502970277487338</v>
      </c>
      <c r="AR35" s="141">
        <f t="shared" si="16"/>
        <v>40349051</v>
      </c>
      <c r="AS35" s="140">
        <f t="shared" ref="AS35:AT35" si="81">AD35+AI35+AN35</f>
        <v>8856373</v>
      </c>
      <c r="AT35" s="144">
        <f t="shared" si="81"/>
        <v>4230800</v>
      </c>
      <c r="AU35" s="138">
        <f t="shared" si="18"/>
        <v>0.2194939603412234</v>
      </c>
      <c r="AV35" s="138">
        <f t="shared" si="19"/>
        <v>0.10485500637920828</v>
      </c>
      <c r="AW35" s="138"/>
      <c r="AX35" s="138"/>
      <c r="AY35" s="143"/>
      <c r="AZ35" s="143"/>
      <c r="BA35" s="143"/>
      <c r="BB35" s="143"/>
      <c r="BC35" s="143"/>
      <c r="BD35" s="143"/>
      <c r="BE35" s="143"/>
      <c r="BF35" s="143" t="s">
        <v>338</v>
      </c>
      <c r="BG35" s="143" t="s">
        <v>338</v>
      </c>
      <c r="BH35" s="143" t="s">
        <v>338</v>
      </c>
      <c r="BI35" s="143" t="s">
        <v>338</v>
      </c>
    </row>
    <row r="36" spans="1:61" x14ac:dyDescent="0.25">
      <c r="A36" s="136">
        <v>44292</v>
      </c>
      <c r="B36" s="137">
        <v>112301</v>
      </c>
      <c r="C36" s="140">
        <v>122326</v>
      </c>
      <c r="D36" s="140">
        <v>106437</v>
      </c>
      <c r="E36" s="138">
        <f t="shared" si="0"/>
        <v>1.0892690180853242</v>
      </c>
      <c r="F36" s="138">
        <f t="shared" si="1"/>
        <v>0.94778318982021537</v>
      </c>
      <c r="G36" s="137">
        <v>911631</v>
      </c>
      <c r="H36" s="140">
        <v>496569</v>
      </c>
      <c r="I36" s="140">
        <v>124880</v>
      </c>
      <c r="J36" s="138">
        <f t="shared" si="2"/>
        <v>0.54470394271366374</v>
      </c>
      <c r="K36" s="138">
        <f t="shared" si="3"/>
        <v>0.136985249514332</v>
      </c>
      <c r="L36" s="137">
        <v>1976757</v>
      </c>
      <c r="M36" s="140">
        <v>796248</v>
      </c>
      <c r="N36" s="140">
        <v>349648</v>
      </c>
      <c r="O36" s="138">
        <f t="shared" si="4"/>
        <v>0.40280520063922881</v>
      </c>
      <c r="P36" s="138">
        <f t="shared" si="5"/>
        <v>0.17687960634514005</v>
      </c>
      <c r="Q36" s="137">
        <v>3000689</v>
      </c>
      <c r="R36" s="137">
        <f t="shared" ref="R36:S36" si="82">C36+H36+M36</f>
        <v>1415143</v>
      </c>
      <c r="S36" s="137">
        <f t="shared" si="82"/>
        <v>580965</v>
      </c>
      <c r="T36" s="139">
        <f t="shared" si="8"/>
        <v>0.47160602115047578</v>
      </c>
      <c r="U36" s="139">
        <f t="shared" si="9"/>
        <v>0.19361053411399848</v>
      </c>
      <c r="V36" s="139"/>
      <c r="W36" s="139"/>
      <c r="X36" s="139"/>
      <c r="Y36" s="139"/>
      <c r="Z36" s="139"/>
      <c r="AA36" s="139"/>
      <c r="AB36" s="139"/>
      <c r="AC36" s="137">
        <v>1468764</v>
      </c>
      <c r="AD36" s="140">
        <v>1444800</v>
      </c>
      <c r="AE36" s="140">
        <v>1300745</v>
      </c>
      <c r="AF36" s="138">
        <f t="shared" si="10"/>
        <v>0.9836842406268127</v>
      </c>
      <c r="AG36" s="138">
        <f t="shared" si="11"/>
        <v>0.88560517550811435</v>
      </c>
      <c r="AH36" s="140">
        <v>21553118</v>
      </c>
      <c r="AI36" s="140">
        <v>1813087</v>
      </c>
      <c r="AJ36" s="140">
        <v>400533</v>
      </c>
      <c r="AK36" s="138">
        <f t="shared" si="12"/>
        <v>8.4121796206006016E-2</v>
      </c>
      <c r="AL36" s="138">
        <f t="shared" si="13"/>
        <v>1.8583529306525393E-2</v>
      </c>
      <c r="AM36" s="137">
        <v>17327169</v>
      </c>
      <c r="AN36" s="140">
        <v>5763219</v>
      </c>
      <c r="AO36" s="140">
        <v>2730226</v>
      </c>
      <c r="AP36" s="138">
        <f t="shared" si="14"/>
        <v>0.33261169207733821</v>
      </c>
      <c r="AQ36" s="138">
        <f t="shared" si="15"/>
        <v>0.15756907547909299</v>
      </c>
      <c r="AR36" s="141">
        <f t="shared" si="16"/>
        <v>40349051</v>
      </c>
      <c r="AS36" s="140">
        <f t="shared" ref="AS36:AT36" si="83">AD36+AI36+AN36</f>
        <v>9021106</v>
      </c>
      <c r="AT36" s="144">
        <f t="shared" si="83"/>
        <v>4431504</v>
      </c>
      <c r="AU36" s="138">
        <f t="shared" si="18"/>
        <v>0.22357665859353174</v>
      </c>
      <c r="AV36" s="138">
        <f t="shared" si="19"/>
        <v>0.10982920019605913</v>
      </c>
      <c r="AW36" s="138"/>
      <c r="AX36" s="138"/>
      <c r="AY36" s="143"/>
      <c r="AZ36" s="143"/>
      <c r="BA36" s="143"/>
      <c r="BB36" s="143"/>
      <c r="BC36" s="143"/>
      <c r="BD36" s="143"/>
      <c r="BE36" s="143"/>
      <c r="BF36" s="143" t="s">
        <v>338</v>
      </c>
      <c r="BG36" s="143" t="s">
        <v>338</v>
      </c>
      <c r="BH36" s="143" t="s">
        <v>338</v>
      </c>
      <c r="BI36" s="143" t="s">
        <v>338</v>
      </c>
    </row>
    <row r="37" spans="1:61" x14ac:dyDescent="0.25">
      <c r="A37" s="136">
        <v>44293</v>
      </c>
      <c r="B37" s="137">
        <v>112301</v>
      </c>
      <c r="C37" s="140">
        <v>122553</v>
      </c>
      <c r="D37" s="140">
        <v>106800</v>
      </c>
      <c r="E37" s="138">
        <f t="shared" si="0"/>
        <v>1.091290371412543</v>
      </c>
      <c r="F37" s="138">
        <f t="shared" si="1"/>
        <v>0.9510155742157238</v>
      </c>
      <c r="G37" s="137">
        <v>911631</v>
      </c>
      <c r="H37" s="140">
        <v>500370</v>
      </c>
      <c r="I37" s="140">
        <v>142698</v>
      </c>
      <c r="J37" s="138">
        <f t="shared" si="2"/>
        <v>0.54887339285302938</v>
      </c>
      <c r="K37" s="138">
        <f t="shared" si="3"/>
        <v>0.15653043830233943</v>
      </c>
      <c r="L37" s="137">
        <v>1976757</v>
      </c>
      <c r="M37" s="140">
        <v>813740</v>
      </c>
      <c r="N37" s="140">
        <v>369813</v>
      </c>
      <c r="O37" s="138">
        <f t="shared" si="4"/>
        <v>0.41165403739559286</v>
      </c>
      <c r="P37" s="138">
        <f t="shared" si="5"/>
        <v>0.18708065786538255</v>
      </c>
      <c r="Q37" s="137">
        <v>3000689</v>
      </c>
      <c r="R37" s="137">
        <f t="shared" ref="R37:S37" si="84">C37+H37+M37</f>
        <v>1436663</v>
      </c>
      <c r="S37" s="137">
        <f t="shared" si="84"/>
        <v>619311</v>
      </c>
      <c r="T37" s="139">
        <f t="shared" si="8"/>
        <v>0.47877770738653691</v>
      </c>
      <c r="U37" s="139">
        <f t="shared" si="9"/>
        <v>0.20638959918871966</v>
      </c>
      <c r="V37" s="139"/>
      <c r="W37" s="139"/>
      <c r="X37" s="139"/>
      <c r="Y37" s="139"/>
      <c r="Z37" s="139"/>
      <c r="AA37" s="139"/>
      <c r="AB37" s="139"/>
      <c r="AC37" s="137">
        <v>1468764</v>
      </c>
      <c r="AD37" s="140">
        <v>1445970</v>
      </c>
      <c r="AE37" s="140">
        <v>1302596</v>
      </c>
      <c r="AF37" s="138">
        <f t="shared" si="10"/>
        <v>0.98448082877848309</v>
      </c>
      <c r="AG37" s="138">
        <f t="shared" si="11"/>
        <v>0.88686541881473124</v>
      </c>
      <c r="AH37" s="140">
        <v>21553118</v>
      </c>
      <c r="AI37" s="140">
        <v>1844923</v>
      </c>
      <c r="AJ37" s="140">
        <v>439807</v>
      </c>
      <c r="AK37" s="138">
        <f t="shared" si="12"/>
        <v>8.5598891074599975E-2</v>
      </c>
      <c r="AL37" s="138">
        <f t="shared" si="13"/>
        <v>2.0405725055650879E-2</v>
      </c>
      <c r="AM37" s="137">
        <v>17327169</v>
      </c>
      <c r="AN37" s="140">
        <v>5905406</v>
      </c>
      <c r="AO37" s="140">
        <v>2812292</v>
      </c>
      <c r="AP37" s="138">
        <f t="shared" si="14"/>
        <v>0.34081770657399368</v>
      </c>
      <c r="AQ37" s="138">
        <f t="shared" si="15"/>
        <v>0.16230533678063624</v>
      </c>
      <c r="AR37" s="141">
        <f t="shared" si="16"/>
        <v>40349051</v>
      </c>
      <c r="AS37" s="140">
        <f t="shared" ref="AS37:AT37" si="85">AD37+AI37+AN37</f>
        <v>9196299</v>
      </c>
      <c r="AT37" s="144">
        <f t="shared" si="85"/>
        <v>4554695</v>
      </c>
      <c r="AU37" s="138">
        <f t="shared" si="18"/>
        <v>0.22791859466533673</v>
      </c>
      <c r="AV37" s="138">
        <f t="shared" si="19"/>
        <v>0.11288233272202611</v>
      </c>
      <c r="AW37" s="138"/>
      <c r="AX37" s="138"/>
      <c r="AY37" s="143"/>
      <c r="AZ37" s="143"/>
      <c r="BA37" s="143"/>
      <c r="BB37" s="143"/>
      <c r="BC37" s="143"/>
      <c r="BD37" s="143"/>
      <c r="BE37" s="143"/>
      <c r="BF37" s="143" t="s">
        <v>338</v>
      </c>
      <c r="BG37" s="143" t="s">
        <v>338</v>
      </c>
      <c r="BH37" s="143" t="s">
        <v>338</v>
      </c>
      <c r="BI37" s="143" t="s">
        <v>338</v>
      </c>
    </row>
    <row r="38" spans="1:61" x14ac:dyDescent="0.25">
      <c r="A38" s="136">
        <v>44294</v>
      </c>
      <c r="B38" s="137">
        <v>112301</v>
      </c>
      <c r="C38" s="140">
        <v>123061</v>
      </c>
      <c r="D38" s="140">
        <v>107175</v>
      </c>
      <c r="E38" s="138">
        <f t="shared" si="0"/>
        <v>1.0958139286382134</v>
      </c>
      <c r="F38" s="138">
        <f t="shared" si="1"/>
        <v>0.95435481429372848</v>
      </c>
      <c r="G38" s="137">
        <v>911631</v>
      </c>
      <c r="H38" s="140">
        <v>507667</v>
      </c>
      <c r="I38" s="140">
        <v>148824</v>
      </c>
      <c r="J38" s="138">
        <f t="shared" si="2"/>
        <v>0.55687772794036183</v>
      </c>
      <c r="K38" s="138">
        <f t="shared" si="3"/>
        <v>0.16325026244171162</v>
      </c>
      <c r="L38" s="137">
        <v>1976757</v>
      </c>
      <c r="M38" s="140">
        <v>844961</v>
      </c>
      <c r="N38" s="140">
        <v>388298</v>
      </c>
      <c r="O38" s="138">
        <f t="shared" si="4"/>
        <v>0.42744808795415928</v>
      </c>
      <c r="P38" s="138">
        <f t="shared" si="5"/>
        <v>0.19643183254188551</v>
      </c>
      <c r="Q38" s="137">
        <v>3000689</v>
      </c>
      <c r="R38" s="137">
        <f t="shared" ref="R38:S38" si="86">C38+H38+M38</f>
        <v>1475689</v>
      </c>
      <c r="S38" s="137">
        <f t="shared" si="86"/>
        <v>644297</v>
      </c>
      <c r="T38" s="139">
        <f t="shared" si="8"/>
        <v>0.49178338708210012</v>
      </c>
      <c r="U38" s="139">
        <f t="shared" si="9"/>
        <v>0.21471635347748466</v>
      </c>
      <c r="V38" s="139"/>
      <c r="W38" s="139"/>
      <c r="X38" s="139"/>
      <c r="Y38" s="139"/>
      <c r="Z38" s="139"/>
      <c r="AA38" s="139"/>
      <c r="AB38" s="139"/>
      <c r="AC38" s="137">
        <v>1468764</v>
      </c>
      <c r="AD38" s="140">
        <v>1447505</v>
      </c>
      <c r="AE38" s="140">
        <v>1304661</v>
      </c>
      <c r="AF38" s="138">
        <f t="shared" si="10"/>
        <v>0.98552592519969173</v>
      </c>
      <c r="AG38" s="138">
        <f t="shared" si="11"/>
        <v>0.88827136286020081</v>
      </c>
      <c r="AH38" s="140">
        <v>21553118</v>
      </c>
      <c r="AI38" s="140">
        <v>1886623</v>
      </c>
      <c r="AJ38" s="140">
        <v>461735</v>
      </c>
      <c r="AK38" s="138">
        <f t="shared" si="12"/>
        <v>8.7533645943941848E-2</v>
      </c>
      <c r="AL38" s="138">
        <f t="shared" si="13"/>
        <v>2.1423118455529265E-2</v>
      </c>
      <c r="AM38" s="137">
        <v>17327169</v>
      </c>
      <c r="AN38" s="140">
        <v>6039462</v>
      </c>
      <c r="AO38" s="140">
        <v>2931000</v>
      </c>
      <c r="AP38" s="138">
        <f t="shared" si="14"/>
        <v>0.34855445803062229</v>
      </c>
      <c r="AQ38" s="138">
        <f t="shared" si="15"/>
        <v>0.16915631168600018</v>
      </c>
      <c r="AR38" s="141">
        <f t="shared" si="16"/>
        <v>40349051</v>
      </c>
      <c r="AS38" s="140">
        <f t="shared" ref="AS38:AT38" si="87">AD38+AI38+AN38</f>
        <v>9373590</v>
      </c>
      <c r="AT38" s="144">
        <f t="shared" si="87"/>
        <v>4697396</v>
      </c>
      <c r="AU38" s="138">
        <f t="shared" si="18"/>
        <v>0.2323125270034232</v>
      </c>
      <c r="AV38" s="138">
        <f t="shared" si="19"/>
        <v>0.11641899582718811</v>
      </c>
      <c r="AW38" s="138"/>
      <c r="AX38" s="138"/>
      <c r="AY38" s="143"/>
      <c r="AZ38" s="143"/>
      <c r="BA38" s="143"/>
      <c r="BB38" s="143"/>
      <c r="BC38" s="143"/>
      <c r="BD38" s="143"/>
      <c r="BE38" s="143"/>
      <c r="BF38" s="143" t="s">
        <v>338</v>
      </c>
      <c r="BG38" s="143" t="s">
        <v>338</v>
      </c>
      <c r="BH38" s="143" t="s">
        <v>338</v>
      </c>
      <c r="BI38" s="143" t="s">
        <v>338</v>
      </c>
    </row>
    <row r="39" spans="1:61" x14ac:dyDescent="0.25">
      <c r="A39" s="136">
        <v>44295</v>
      </c>
      <c r="B39" s="137">
        <v>112301</v>
      </c>
      <c r="C39" s="140">
        <v>123387</v>
      </c>
      <c r="D39" s="140">
        <v>107509</v>
      </c>
      <c r="E39" s="138">
        <f t="shared" si="0"/>
        <v>1.0987168413460253</v>
      </c>
      <c r="F39" s="138">
        <f t="shared" si="1"/>
        <v>0.95732896412320456</v>
      </c>
      <c r="G39" s="137">
        <v>911631</v>
      </c>
      <c r="H39" s="140">
        <v>516816</v>
      </c>
      <c r="I39" s="140">
        <v>166705</v>
      </c>
      <c r="J39" s="138">
        <f t="shared" si="2"/>
        <v>0.56691358674726944</v>
      </c>
      <c r="K39" s="138">
        <f t="shared" si="3"/>
        <v>0.18286455813810631</v>
      </c>
      <c r="L39" s="137">
        <v>1976757</v>
      </c>
      <c r="M39" s="140">
        <v>866503</v>
      </c>
      <c r="N39" s="140">
        <v>402918</v>
      </c>
      <c r="O39" s="138">
        <f t="shared" si="4"/>
        <v>0.43834573495882395</v>
      </c>
      <c r="P39" s="138">
        <f t="shared" si="5"/>
        <v>0.20382778459871395</v>
      </c>
      <c r="Q39" s="137">
        <v>3000689</v>
      </c>
      <c r="R39" s="137">
        <f t="shared" ref="R39:S39" si="88">C39+H39+M39</f>
        <v>1506706</v>
      </c>
      <c r="S39" s="137">
        <f t="shared" si="88"/>
        <v>677132</v>
      </c>
      <c r="T39" s="139">
        <f t="shared" si="8"/>
        <v>0.50212001310365717</v>
      </c>
      <c r="U39" s="139">
        <f t="shared" si="9"/>
        <v>0.22565884035299894</v>
      </c>
      <c r="V39" s="139"/>
      <c r="W39" s="139"/>
      <c r="X39" s="139"/>
      <c r="Y39" s="139"/>
      <c r="Z39" s="139"/>
      <c r="AA39" s="139"/>
      <c r="AB39" s="139"/>
      <c r="AC39" s="137">
        <v>1468764</v>
      </c>
      <c r="AD39" s="140">
        <v>1451679</v>
      </c>
      <c r="AE39" s="140">
        <v>1309418</v>
      </c>
      <c r="AF39" s="138">
        <f t="shared" si="10"/>
        <v>0.98836777045189017</v>
      </c>
      <c r="AG39" s="138">
        <f t="shared" si="11"/>
        <v>0.89151014049908628</v>
      </c>
      <c r="AH39" s="140">
        <v>21553118</v>
      </c>
      <c r="AI39" s="140">
        <v>1970580</v>
      </c>
      <c r="AJ39" s="140">
        <v>541811</v>
      </c>
      <c r="AK39" s="138">
        <f t="shared" si="12"/>
        <v>9.1428998811216092E-2</v>
      </c>
      <c r="AL39" s="138">
        <f t="shared" si="13"/>
        <v>2.513840456865684E-2</v>
      </c>
      <c r="AM39" s="137">
        <v>17327169</v>
      </c>
      <c r="AN39" s="140">
        <v>6386485</v>
      </c>
      <c r="AO39" s="140">
        <v>3100990</v>
      </c>
      <c r="AP39" s="138">
        <f t="shared" si="14"/>
        <v>0.36858213825928515</v>
      </c>
      <c r="AQ39" s="138">
        <f t="shared" si="15"/>
        <v>0.17896691606112919</v>
      </c>
      <c r="AR39" s="141">
        <f t="shared" si="16"/>
        <v>40349051</v>
      </c>
      <c r="AS39" s="140">
        <f t="shared" ref="AS39:AT39" si="89">AD39+AI39+AN39</f>
        <v>9808744</v>
      </c>
      <c r="AT39" s="144">
        <f t="shared" si="89"/>
        <v>4952219</v>
      </c>
      <c r="AU39" s="138">
        <f t="shared" si="18"/>
        <v>0.2430972664016311</v>
      </c>
      <c r="AV39" s="138">
        <f t="shared" si="19"/>
        <v>0.12273446034703518</v>
      </c>
      <c r="AW39" s="138"/>
      <c r="AX39" s="138"/>
      <c r="AY39" s="143"/>
      <c r="AZ39" s="143"/>
      <c r="BA39" s="143"/>
      <c r="BB39" s="143"/>
      <c r="BC39" s="143"/>
      <c r="BD39" s="143"/>
      <c r="BE39" s="143"/>
      <c r="BF39" s="143" t="s">
        <v>338</v>
      </c>
      <c r="BG39" s="143" t="s">
        <v>338</v>
      </c>
      <c r="BH39" s="143" t="s">
        <v>338</v>
      </c>
      <c r="BI39" s="143" t="s">
        <v>338</v>
      </c>
    </row>
    <row r="40" spans="1:61" x14ac:dyDescent="0.25">
      <c r="A40" s="136">
        <v>44296</v>
      </c>
      <c r="B40" s="137">
        <v>112301</v>
      </c>
      <c r="C40" s="140">
        <v>123474</v>
      </c>
      <c r="D40" s="140">
        <v>107573</v>
      </c>
      <c r="E40" s="138">
        <f t="shared" si="0"/>
        <v>1.0994915450441225</v>
      </c>
      <c r="F40" s="138">
        <f t="shared" si="1"/>
        <v>0.95789886109651734</v>
      </c>
      <c r="G40" s="137">
        <v>911631</v>
      </c>
      <c r="H40" s="140">
        <v>523861</v>
      </c>
      <c r="I40" s="140">
        <v>173234</v>
      </c>
      <c r="J40" s="138">
        <f t="shared" si="2"/>
        <v>0.57464149420105282</v>
      </c>
      <c r="K40" s="138">
        <f t="shared" si="3"/>
        <v>0.19002644710414632</v>
      </c>
      <c r="L40" s="137">
        <v>1976757</v>
      </c>
      <c r="M40" s="140">
        <v>880884</v>
      </c>
      <c r="N40" s="140">
        <v>406805</v>
      </c>
      <c r="O40" s="138">
        <f t="shared" si="4"/>
        <v>0.44562078191704896</v>
      </c>
      <c r="P40" s="138">
        <f t="shared" si="5"/>
        <v>0.20579413655800891</v>
      </c>
      <c r="Q40" s="137">
        <v>3000689</v>
      </c>
      <c r="R40" s="137">
        <f t="shared" ref="R40:S40" si="90">C40+H40+M40</f>
        <v>1528219</v>
      </c>
      <c r="S40" s="137">
        <f t="shared" si="90"/>
        <v>687612</v>
      </c>
      <c r="T40" s="139">
        <f t="shared" si="8"/>
        <v>0.50928936654215085</v>
      </c>
      <c r="U40" s="139">
        <f t="shared" si="9"/>
        <v>0.22915137156832982</v>
      </c>
      <c r="V40" s="139"/>
      <c r="W40" s="139"/>
      <c r="X40" s="139"/>
      <c r="Y40" s="139"/>
      <c r="Z40" s="139"/>
      <c r="AA40" s="139"/>
      <c r="AB40" s="139"/>
      <c r="AC40" s="137">
        <v>1468764</v>
      </c>
      <c r="AD40" s="140">
        <v>1453325</v>
      </c>
      <c r="AE40" s="140">
        <v>1310929</v>
      </c>
      <c r="AF40" s="138">
        <f t="shared" si="10"/>
        <v>0.98948844062082131</v>
      </c>
      <c r="AG40" s="138">
        <f t="shared" si="11"/>
        <v>0.892538896650517</v>
      </c>
      <c r="AH40" s="140">
        <v>21553118</v>
      </c>
      <c r="AI40" s="140">
        <v>2019832</v>
      </c>
      <c r="AJ40" s="140">
        <v>588340</v>
      </c>
      <c r="AK40" s="138">
        <f t="shared" si="12"/>
        <v>9.3714143819005682E-2</v>
      </c>
      <c r="AL40" s="138">
        <f t="shared" si="13"/>
        <v>2.7297210547448401E-2</v>
      </c>
      <c r="AM40" s="137">
        <v>17327169</v>
      </c>
      <c r="AN40" s="140">
        <v>6529170</v>
      </c>
      <c r="AO40" s="140">
        <v>3179779</v>
      </c>
      <c r="AP40" s="138">
        <f t="shared" si="14"/>
        <v>0.37681689374646254</v>
      </c>
      <c r="AQ40" s="138">
        <f t="shared" si="15"/>
        <v>0.18351405241098531</v>
      </c>
      <c r="AR40" s="141">
        <f t="shared" si="16"/>
        <v>40349051</v>
      </c>
      <c r="AS40" s="140">
        <f t="shared" ref="AS40:AT40" si="91">AD40+AI40+AN40</f>
        <v>10002327</v>
      </c>
      <c r="AT40" s="144">
        <f t="shared" si="91"/>
        <v>5079048</v>
      </c>
      <c r="AU40" s="138">
        <f t="shared" si="18"/>
        <v>0.24789497527463533</v>
      </c>
      <c r="AV40" s="138">
        <f t="shared" si="19"/>
        <v>0.12587775608402785</v>
      </c>
      <c r="AW40" s="138"/>
      <c r="AX40" s="138"/>
      <c r="AY40" s="143"/>
      <c r="AZ40" s="143"/>
      <c r="BA40" s="143"/>
      <c r="BB40" s="143"/>
      <c r="BC40" s="143"/>
      <c r="BD40" s="143"/>
      <c r="BE40" s="143"/>
      <c r="BF40" s="143" t="s">
        <v>338</v>
      </c>
      <c r="BG40" s="143" t="s">
        <v>338</v>
      </c>
      <c r="BH40" s="143" t="s">
        <v>338</v>
      </c>
      <c r="BI40" s="143" t="s">
        <v>338</v>
      </c>
    </row>
    <row r="41" spans="1:61" x14ac:dyDescent="0.25">
      <c r="A41" s="136">
        <v>44297</v>
      </c>
      <c r="B41" s="137">
        <v>112301</v>
      </c>
      <c r="C41" s="140">
        <v>123485</v>
      </c>
      <c r="D41" s="140">
        <v>107583</v>
      </c>
      <c r="E41" s="138">
        <f t="shared" si="0"/>
        <v>1.0995894960864105</v>
      </c>
      <c r="F41" s="138">
        <f t="shared" si="1"/>
        <v>0.95798790749859752</v>
      </c>
      <c r="G41" s="137">
        <v>911631</v>
      </c>
      <c r="H41" s="140">
        <v>526687</v>
      </c>
      <c r="I41" s="140">
        <v>177883</v>
      </c>
      <c r="J41" s="138">
        <f t="shared" si="2"/>
        <v>0.57774143266299627</v>
      </c>
      <c r="K41" s="138">
        <f t="shared" si="3"/>
        <v>0.1951260981691057</v>
      </c>
      <c r="L41" s="137">
        <v>1976757</v>
      </c>
      <c r="M41" s="140">
        <v>887215</v>
      </c>
      <c r="N41" s="140">
        <v>412014</v>
      </c>
      <c r="O41" s="138">
        <f t="shared" si="4"/>
        <v>0.44882350233235546</v>
      </c>
      <c r="P41" s="138">
        <f t="shared" si="5"/>
        <v>0.20842926065267506</v>
      </c>
      <c r="Q41" s="137">
        <v>3000689</v>
      </c>
      <c r="R41" s="137">
        <f t="shared" ref="R41:S41" si="92">C41+H41+M41</f>
        <v>1537387</v>
      </c>
      <c r="S41" s="137">
        <f t="shared" si="92"/>
        <v>697480</v>
      </c>
      <c r="T41" s="139">
        <f t="shared" si="8"/>
        <v>0.51234466484197461</v>
      </c>
      <c r="U41" s="139">
        <f t="shared" si="9"/>
        <v>0.2324399496249028</v>
      </c>
      <c r="V41" s="139"/>
      <c r="W41" s="139"/>
      <c r="X41" s="139"/>
      <c r="Y41" s="139"/>
      <c r="Z41" s="139"/>
      <c r="AA41" s="139"/>
      <c r="AB41" s="139"/>
      <c r="AC41" s="137">
        <v>1468764</v>
      </c>
      <c r="AD41" s="140">
        <v>1453701</v>
      </c>
      <c r="AE41" s="140">
        <v>1311259</v>
      </c>
      <c r="AF41" s="138">
        <f t="shared" si="10"/>
        <v>0.98974443818067437</v>
      </c>
      <c r="AG41" s="138">
        <f t="shared" si="11"/>
        <v>0.89276357535996254</v>
      </c>
      <c r="AH41" s="140">
        <v>21553118</v>
      </c>
      <c r="AI41" s="140">
        <v>2030311</v>
      </c>
      <c r="AJ41" s="140">
        <v>597464</v>
      </c>
      <c r="AK41" s="138">
        <f t="shared" si="12"/>
        <v>9.420033797430144E-2</v>
      </c>
      <c r="AL41" s="138">
        <f t="shared" si="13"/>
        <v>2.7720536768740374E-2</v>
      </c>
      <c r="AM41" s="137">
        <v>17327169</v>
      </c>
      <c r="AN41" s="140">
        <v>6564802</v>
      </c>
      <c r="AO41" s="140">
        <v>3193198</v>
      </c>
      <c r="AP41" s="138">
        <f t="shared" si="14"/>
        <v>0.37887331738958624</v>
      </c>
      <c r="AQ41" s="138">
        <f t="shared" si="15"/>
        <v>0.18428850090860197</v>
      </c>
      <c r="AR41" s="141">
        <f t="shared" si="16"/>
        <v>40349051</v>
      </c>
      <c r="AS41" s="140">
        <f t="shared" ref="AS41:AT41" si="93">AD41+AI41+AN41</f>
        <v>10048814</v>
      </c>
      <c r="AT41" s="144">
        <f t="shared" si="93"/>
        <v>5101921</v>
      </c>
      <c r="AU41" s="138">
        <f t="shared" si="18"/>
        <v>0.24904709654757431</v>
      </c>
      <c r="AV41" s="138">
        <f t="shared" si="19"/>
        <v>0.12644463434840139</v>
      </c>
      <c r="AW41" s="138"/>
      <c r="AX41" s="138"/>
      <c r="AY41" s="143"/>
      <c r="AZ41" s="143"/>
      <c r="BA41" s="143"/>
      <c r="BB41" s="143"/>
      <c r="BC41" s="143"/>
      <c r="BD41" s="143"/>
      <c r="BE41" s="143"/>
      <c r="BF41" s="143" t="s">
        <v>338</v>
      </c>
      <c r="BG41" s="143" t="s">
        <v>338</v>
      </c>
      <c r="BH41" s="143" t="s">
        <v>338</v>
      </c>
      <c r="BI41" s="143" t="s">
        <v>338</v>
      </c>
    </row>
    <row r="42" spans="1:61" x14ac:dyDescent="0.25">
      <c r="A42" s="136">
        <v>44298</v>
      </c>
      <c r="B42" s="137">
        <v>112301</v>
      </c>
      <c r="C42" s="140">
        <v>123958</v>
      </c>
      <c r="D42" s="140">
        <v>107968</v>
      </c>
      <c r="E42" s="138">
        <f t="shared" si="0"/>
        <v>1.1038013909048006</v>
      </c>
      <c r="F42" s="138">
        <f t="shared" si="1"/>
        <v>0.96141619397868228</v>
      </c>
      <c r="G42" s="137">
        <v>911631</v>
      </c>
      <c r="H42" s="140">
        <v>537125</v>
      </c>
      <c r="I42" s="140">
        <v>196464</v>
      </c>
      <c r="J42" s="138">
        <f t="shared" si="2"/>
        <v>0.5891912407542087</v>
      </c>
      <c r="K42" s="138">
        <f t="shared" si="3"/>
        <v>0.21550824840313679</v>
      </c>
      <c r="L42" s="137">
        <v>1976757</v>
      </c>
      <c r="M42" s="140">
        <v>907936</v>
      </c>
      <c r="N42" s="140">
        <v>424562</v>
      </c>
      <c r="O42" s="138">
        <f t="shared" si="4"/>
        <v>0.45930582261754987</v>
      </c>
      <c r="P42" s="138">
        <f t="shared" si="5"/>
        <v>0.21477703126889142</v>
      </c>
      <c r="Q42" s="137">
        <v>3000689</v>
      </c>
      <c r="R42" s="137">
        <f t="shared" ref="R42:S42" si="94">C42+H42+M42</f>
        <v>1569019</v>
      </c>
      <c r="S42" s="137">
        <f t="shared" si="94"/>
        <v>728994</v>
      </c>
      <c r="T42" s="139">
        <f t="shared" si="8"/>
        <v>0.52288624379267556</v>
      </c>
      <c r="U42" s="139">
        <f t="shared" si="9"/>
        <v>0.24294220427375179</v>
      </c>
      <c r="V42" s="139"/>
      <c r="W42" s="139"/>
      <c r="X42" s="139"/>
      <c r="Y42" s="139"/>
      <c r="Z42" s="139"/>
      <c r="AA42" s="139"/>
      <c r="AB42" s="139"/>
      <c r="AC42" s="137">
        <v>1468764</v>
      </c>
      <c r="AD42" s="140">
        <v>1455949</v>
      </c>
      <c r="AE42" s="140">
        <v>1314396</v>
      </c>
      <c r="AF42" s="138">
        <f t="shared" si="10"/>
        <v>0.99127497678319998</v>
      </c>
      <c r="AG42" s="138">
        <f t="shared" si="11"/>
        <v>0.8948993847888429</v>
      </c>
      <c r="AH42" s="140">
        <v>21553118</v>
      </c>
      <c r="AI42" s="140">
        <v>2088158</v>
      </c>
      <c r="AJ42" s="140">
        <v>672035</v>
      </c>
      <c r="AK42" s="138">
        <f t="shared" si="12"/>
        <v>9.6884265190771937E-2</v>
      </c>
      <c r="AL42" s="138">
        <f t="shared" si="13"/>
        <v>3.1180407400915263E-2</v>
      </c>
      <c r="AM42" s="137">
        <v>17327169</v>
      </c>
      <c r="AN42" s="140">
        <v>6735239</v>
      </c>
      <c r="AO42" s="140">
        <v>3336070</v>
      </c>
      <c r="AP42" s="138">
        <f t="shared" si="14"/>
        <v>0.38870971940078614</v>
      </c>
      <c r="AQ42" s="138">
        <f t="shared" si="15"/>
        <v>0.19253404869543317</v>
      </c>
      <c r="AR42" s="141">
        <f t="shared" si="16"/>
        <v>40349051</v>
      </c>
      <c r="AS42" s="140">
        <f t="shared" ref="AS42:AT42" si="95">AD42+AI42+AN42</f>
        <v>10279346</v>
      </c>
      <c r="AT42" s="144">
        <f t="shared" si="95"/>
        <v>5322501</v>
      </c>
      <c r="AU42" s="138">
        <f t="shared" si="18"/>
        <v>0.25476053947340671</v>
      </c>
      <c r="AV42" s="138">
        <f t="shared" si="19"/>
        <v>0.13191142958975666</v>
      </c>
      <c r="AW42" s="138"/>
      <c r="AX42" s="138"/>
      <c r="AY42" s="143"/>
      <c r="AZ42" s="143"/>
      <c r="BA42" s="143"/>
      <c r="BB42" s="143"/>
      <c r="BC42" s="143"/>
      <c r="BD42" s="143"/>
      <c r="BE42" s="143"/>
      <c r="BF42" s="143" t="s">
        <v>338</v>
      </c>
      <c r="BG42" s="143" t="s">
        <v>338</v>
      </c>
      <c r="BH42" s="143" t="s">
        <v>338</v>
      </c>
      <c r="BI42" s="143" t="s">
        <v>338</v>
      </c>
    </row>
    <row r="43" spans="1:61" x14ac:dyDescent="0.25">
      <c r="A43" s="136">
        <v>44299</v>
      </c>
      <c r="B43" s="137">
        <v>112301</v>
      </c>
      <c r="C43" s="140">
        <v>124255</v>
      </c>
      <c r="D43" s="140">
        <v>108205</v>
      </c>
      <c r="E43" s="138">
        <f t="shared" si="0"/>
        <v>1.1064460690465803</v>
      </c>
      <c r="F43" s="138">
        <f t="shared" si="1"/>
        <v>0.96352659370798122</v>
      </c>
      <c r="G43" s="137">
        <v>911631</v>
      </c>
      <c r="H43" s="140">
        <v>540904</v>
      </c>
      <c r="I43" s="140">
        <v>210810</v>
      </c>
      <c r="J43" s="138">
        <f t="shared" si="2"/>
        <v>0.59333655832239141</v>
      </c>
      <c r="K43" s="138">
        <f t="shared" si="3"/>
        <v>0.23124487868446772</v>
      </c>
      <c r="L43" s="137">
        <v>1976757</v>
      </c>
      <c r="M43" s="140">
        <v>918905</v>
      </c>
      <c r="N43" s="140">
        <v>430157</v>
      </c>
      <c r="O43" s="138">
        <f t="shared" si="4"/>
        <v>0.46485481017646579</v>
      </c>
      <c r="P43" s="138">
        <f t="shared" si="5"/>
        <v>0.2176074246859882</v>
      </c>
      <c r="Q43" s="137">
        <v>3000689</v>
      </c>
      <c r="R43" s="137">
        <f t="shared" ref="R43:S43" si="96">C43+H43+M43</f>
        <v>1584064</v>
      </c>
      <c r="S43" s="137">
        <f t="shared" si="96"/>
        <v>749172</v>
      </c>
      <c r="T43" s="139">
        <f t="shared" si="8"/>
        <v>0.52790009227880663</v>
      </c>
      <c r="U43" s="139">
        <f t="shared" si="9"/>
        <v>0.24966665989044515</v>
      </c>
      <c r="V43" s="139"/>
      <c r="W43" s="139"/>
      <c r="X43" s="139"/>
      <c r="Y43" s="139"/>
      <c r="Z43" s="139"/>
      <c r="AA43" s="139"/>
      <c r="AB43" s="139"/>
      <c r="AC43" s="137">
        <v>1468764</v>
      </c>
      <c r="AD43" s="140">
        <v>1457405</v>
      </c>
      <c r="AE43" s="140">
        <v>1316347</v>
      </c>
      <c r="AF43" s="138">
        <f t="shared" si="10"/>
        <v>0.99226628648305648</v>
      </c>
      <c r="AG43" s="138">
        <f t="shared" si="11"/>
        <v>0.89622771255286759</v>
      </c>
      <c r="AH43" s="140">
        <v>21553118</v>
      </c>
      <c r="AI43" s="140">
        <v>2108512</v>
      </c>
      <c r="AJ43" s="140">
        <v>722410</v>
      </c>
      <c r="AK43" s="138">
        <f t="shared" si="12"/>
        <v>9.7828629713807527E-2</v>
      </c>
      <c r="AL43" s="138">
        <f t="shared" si="13"/>
        <v>3.3517656238879222E-2</v>
      </c>
      <c r="AM43" s="137">
        <v>17327169</v>
      </c>
      <c r="AN43" s="140">
        <v>6811090</v>
      </c>
      <c r="AO43" s="140">
        <v>3394098</v>
      </c>
      <c r="AP43" s="138">
        <f t="shared" si="14"/>
        <v>0.39308729544912963</v>
      </c>
      <c r="AQ43" s="138">
        <f t="shared" si="15"/>
        <v>0.19588300893238819</v>
      </c>
      <c r="AR43" s="141">
        <f t="shared" si="16"/>
        <v>40349051</v>
      </c>
      <c r="AS43" s="140">
        <f t="shared" ref="AS43:AT43" si="97">AD43+AI43+AN43</f>
        <v>10377007</v>
      </c>
      <c r="AT43" s="144">
        <f t="shared" si="97"/>
        <v>5432855</v>
      </c>
      <c r="AU43" s="138">
        <f t="shared" si="18"/>
        <v>0.2571809433634511</v>
      </c>
      <c r="AV43" s="138">
        <f t="shared" si="19"/>
        <v>0.13464641336917688</v>
      </c>
      <c r="AW43" s="138"/>
      <c r="AX43" s="138"/>
      <c r="AY43" s="143"/>
      <c r="AZ43" s="143"/>
      <c r="BA43" s="143"/>
      <c r="BB43" s="143"/>
      <c r="BC43" s="143"/>
      <c r="BD43" s="143"/>
      <c r="BE43" s="143"/>
      <c r="BF43" s="143" t="s">
        <v>338</v>
      </c>
      <c r="BG43" s="143" t="s">
        <v>338</v>
      </c>
      <c r="BH43" s="143" t="s">
        <v>338</v>
      </c>
      <c r="BI43" s="143" t="s">
        <v>338</v>
      </c>
    </row>
    <row r="44" spans="1:61" x14ac:dyDescent="0.25">
      <c r="A44" s="136">
        <v>44300</v>
      </c>
      <c r="B44" s="137">
        <v>112301</v>
      </c>
      <c r="C44" s="140">
        <v>124484</v>
      </c>
      <c r="D44" s="140">
        <v>108418</v>
      </c>
      <c r="E44" s="138">
        <f t="shared" si="0"/>
        <v>1.1084852316542151</v>
      </c>
      <c r="F44" s="138">
        <f t="shared" si="1"/>
        <v>0.96542328207228789</v>
      </c>
      <c r="G44" s="137">
        <v>911631</v>
      </c>
      <c r="H44" s="140">
        <v>543256</v>
      </c>
      <c r="I44" s="140">
        <v>231255</v>
      </c>
      <c r="J44" s="138">
        <f t="shared" si="2"/>
        <v>0.59591654956884965</v>
      </c>
      <c r="K44" s="138">
        <f t="shared" si="3"/>
        <v>0.25367171585871917</v>
      </c>
      <c r="L44" s="137">
        <v>1976757</v>
      </c>
      <c r="M44" s="140">
        <v>930601</v>
      </c>
      <c r="N44" s="140">
        <v>443508</v>
      </c>
      <c r="O44" s="138">
        <f t="shared" si="4"/>
        <v>0.47077157182192853</v>
      </c>
      <c r="P44" s="138">
        <f t="shared" si="5"/>
        <v>0.22436141619834912</v>
      </c>
      <c r="Q44" s="137">
        <v>3000689</v>
      </c>
      <c r="R44" s="137">
        <f t="shared" ref="R44:S44" si="98">C44+H44+M44</f>
        <v>1598341</v>
      </c>
      <c r="S44" s="137">
        <f t="shared" si="98"/>
        <v>783181</v>
      </c>
      <c r="T44" s="139">
        <f t="shared" si="8"/>
        <v>0.53265799954610427</v>
      </c>
      <c r="U44" s="139">
        <f t="shared" si="9"/>
        <v>0.26100039024370736</v>
      </c>
      <c r="V44" s="139"/>
      <c r="W44" s="139"/>
      <c r="X44" s="139"/>
      <c r="Y44" s="139"/>
      <c r="Z44" s="139"/>
      <c r="AA44" s="139"/>
      <c r="AB44" s="139"/>
      <c r="AC44" s="137">
        <v>1468764</v>
      </c>
      <c r="AD44" s="140">
        <v>1459169</v>
      </c>
      <c r="AE44" s="140">
        <v>1318528</v>
      </c>
      <c r="AF44" s="138">
        <f t="shared" si="10"/>
        <v>0.99346729631172881</v>
      </c>
      <c r="AG44" s="138">
        <f t="shared" si="11"/>
        <v>0.89771263456893002</v>
      </c>
      <c r="AH44" s="140">
        <v>21553118</v>
      </c>
      <c r="AI44" s="140">
        <v>2131067</v>
      </c>
      <c r="AJ44" s="140">
        <v>781975</v>
      </c>
      <c r="AK44" s="138">
        <f t="shared" si="12"/>
        <v>9.8875114032224945E-2</v>
      </c>
      <c r="AL44" s="138">
        <f t="shared" si="13"/>
        <v>3.6281293500086624E-2</v>
      </c>
      <c r="AM44" s="137">
        <v>17327169</v>
      </c>
      <c r="AN44" s="140">
        <v>6890942</v>
      </c>
      <c r="AO44" s="140">
        <v>3472356</v>
      </c>
      <c r="AP44" s="138">
        <f t="shared" si="14"/>
        <v>0.39769578053979848</v>
      </c>
      <c r="AQ44" s="138">
        <f t="shared" si="15"/>
        <v>0.20039949976825411</v>
      </c>
      <c r="AR44" s="141">
        <f t="shared" si="16"/>
        <v>40349051</v>
      </c>
      <c r="AS44" s="140">
        <f t="shared" ref="AS44:AT44" si="99">AD44+AI44+AN44</f>
        <v>10481178</v>
      </c>
      <c r="AT44" s="144">
        <f t="shared" si="99"/>
        <v>5572859</v>
      </c>
      <c r="AU44" s="138">
        <f t="shared" si="18"/>
        <v>0.25976268933809621</v>
      </c>
      <c r="AV44" s="138">
        <f t="shared" si="19"/>
        <v>0.13811623475357573</v>
      </c>
      <c r="AW44" s="138"/>
      <c r="AX44" s="138"/>
      <c r="AY44" s="143"/>
      <c r="AZ44" s="143"/>
      <c r="BA44" s="143"/>
      <c r="BB44" s="143"/>
      <c r="BC44" s="143"/>
      <c r="BD44" s="143"/>
      <c r="BE44" s="143"/>
      <c r="BF44" s="143" t="s">
        <v>338</v>
      </c>
      <c r="BG44" s="143" t="s">
        <v>338</v>
      </c>
      <c r="BH44" s="143" t="s">
        <v>338</v>
      </c>
      <c r="BI44" s="143" t="s">
        <v>338</v>
      </c>
    </row>
    <row r="45" spans="1:61" x14ac:dyDescent="0.25">
      <c r="A45" s="136">
        <v>44301</v>
      </c>
      <c r="B45" s="137">
        <v>112301</v>
      </c>
      <c r="C45" s="140">
        <v>124755</v>
      </c>
      <c r="D45" s="140">
        <v>108761</v>
      </c>
      <c r="E45" s="138">
        <f t="shared" si="0"/>
        <v>1.1108983891505864</v>
      </c>
      <c r="F45" s="138">
        <f t="shared" si="1"/>
        <v>0.96847757366363607</v>
      </c>
      <c r="G45" s="137">
        <v>911631</v>
      </c>
      <c r="H45" s="140">
        <v>545822</v>
      </c>
      <c r="I45" s="140">
        <v>252371</v>
      </c>
      <c r="J45" s="138">
        <f t="shared" si="2"/>
        <v>0.59873128491681393</v>
      </c>
      <c r="K45" s="138">
        <f t="shared" si="3"/>
        <v>0.27683459645404773</v>
      </c>
      <c r="L45" s="137">
        <v>1976757</v>
      </c>
      <c r="M45" s="140">
        <v>944880</v>
      </c>
      <c r="N45" s="140">
        <v>452555</v>
      </c>
      <c r="O45" s="138">
        <f t="shared" si="4"/>
        <v>0.47799501911464082</v>
      </c>
      <c r="P45" s="138">
        <f t="shared" si="5"/>
        <v>0.22893810417770116</v>
      </c>
      <c r="Q45" s="137">
        <v>3000689</v>
      </c>
      <c r="R45" s="137">
        <f t="shared" ref="R45:S45" si="100">C45+H45+M45</f>
        <v>1615457</v>
      </c>
      <c r="S45" s="137">
        <f t="shared" si="100"/>
        <v>813687</v>
      </c>
      <c r="T45" s="139">
        <f t="shared" si="8"/>
        <v>0.53836202285541757</v>
      </c>
      <c r="U45" s="139">
        <f t="shared" si="9"/>
        <v>0.27116672204283748</v>
      </c>
      <c r="V45" s="139"/>
      <c r="W45" s="139"/>
      <c r="X45" s="139"/>
      <c r="Y45" s="139"/>
      <c r="Z45" s="139"/>
      <c r="AA45" s="139"/>
      <c r="AB45" s="139"/>
      <c r="AC45" s="137">
        <v>1468764</v>
      </c>
      <c r="AD45" s="140">
        <v>1460747</v>
      </c>
      <c r="AE45" s="140">
        <v>1321085</v>
      </c>
      <c r="AF45" s="138">
        <f t="shared" si="10"/>
        <v>0.99454166904962271</v>
      </c>
      <c r="AG45" s="138">
        <f t="shared" si="11"/>
        <v>0.89945355414484562</v>
      </c>
      <c r="AH45" s="140">
        <v>21553118</v>
      </c>
      <c r="AI45" s="140">
        <v>2155898</v>
      </c>
      <c r="AJ45" s="140">
        <v>844895</v>
      </c>
      <c r="AK45" s="138">
        <f t="shared" si="12"/>
        <v>0.10002719792096902</v>
      </c>
      <c r="AL45" s="138">
        <f t="shared" si="13"/>
        <v>3.9200592693827412E-2</v>
      </c>
      <c r="AM45" s="137">
        <v>17327169</v>
      </c>
      <c r="AN45" s="140">
        <v>6983097</v>
      </c>
      <c r="AO45" s="140">
        <v>3549833</v>
      </c>
      <c r="AP45" s="138">
        <f t="shared" si="14"/>
        <v>0.40301430660715548</v>
      </c>
      <c r="AQ45" s="138">
        <f t="shared" si="15"/>
        <v>0.20487091688203654</v>
      </c>
      <c r="AR45" s="141">
        <f t="shared" si="16"/>
        <v>40349051</v>
      </c>
      <c r="AS45" s="140">
        <f t="shared" ref="AS45:AT45" si="101">AD45+AI45+AN45</f>
        <v>10599742</v>
      </c>
      <c r="AT45" s="144">
        <f t="shared" si="101"/>
        <v>5715813</v>
      </c>
      <c r="AU45" s="138">
        <f t="shared" si="18"/>
        <v>0.26270114754371793</v>
      </c>
      <c r="AV45" s="138">
        <f t="shared" si="19"/>
        <v>0.14165916814251717</v>
      </c>
      <c r="AW45" s="138"/>
      <c r="AX45" s="138"/>
      <c r="AY45" s="143"/>
      <c r="AZ45" s="143"/>
      <c r="BA45" s="143"/>
      <c r="BB45" s="143"/>
      <c r="BC45" s="143"/>
      <c r="BD45" s="143"/>
      <c r="BE45" s="143"/>
      <c r="BF45" s="143" t="s">
        <v>338</v>
      </c>
      <c r="BG45" s="143" t="s">
        <v>338</v>
      </c>
      <c r="BH45" s="143" t="s">
        <v>338</v>
      </c>
      <c r="BI45" s="143" t="s">
        <v>338</v>
      </c>
    </row>
    <row r="46" spans="1:61" x14ac:dyDescent="0.25">
      <c r="A46" s="136">
        <v>44302</v>
      </c>
      <c r="B46" s="137">
        <v>112301</v>
      </c>
      <c r="C46" s="140">
        <v>125148</v>
      </c>
      <c r="D46" s="140">
        <v>109038</v>
      </c>
      <c r="E46" s="138">
        <f t="shared" si="0"/>
        <v>1.1143979127523354</v>
      </c>
      <c r="F46" s="138">
        <f t="shared" si="1"/>
        <v>0.97094415900125552</v>
      </c>
      <c r="G46" s="137">
        <v>911631</v>
      </c>
      <c r="H46" s="140">
        <v>548314</v>
      </c>
      <c r="I46" s="140">
        <v>272887</v>
      </c>
      <c r="J46" s="138">
        <f t="shared" si="2"/>
        <v>0.6014648470707995</v>
      </c>
      <c r="K46" s="138">
        <f t="shared" si="3"/>
        <v>0.29933931601711655</v>
      </c>
      <c r="L46" s="137">
        <v>1976757</v>
      </c>
      <c r="M46" s="140">
        <v>959985</v>
      </c>
      <c r="N46" s="140">
        <v>458619</v>
      </c>
      <c r="O46" s="138">
        <f t="shared" si="4"/>
        <v>0.48563632252219163</v>
      </c>
      <c r="P46" s="138">
        <f t="shared" si="5"/>
        <v>0.23200575488034189</v>
      </c>
      <c r="Q46" s="137">
        <v>3000689</v>
      </c>
      <c r="R46" s="137">
        <f t="shared" ref="R46:S46" si="102">C46+H46+M46</f>
        <v>1633447</v>
      </c>
      <c r="S46" s="137">
        <f t="shared" si="102"/>
        <v>840544</v>
      </c>
      <c r="T46" s="139">
        <f t="shared" si="8"/>
        <v>0.54435731260387199</v>
      </c>
      <c r="U46" s="139">
        <f t="shared" si="9"/>
        <v>0.28011699979571358</v>
      </c>
      <c r="V46" s="139"/>
      <c r="W46" s="139"/>
      <c r="X46" s="139"/>
      <c r="Y46" s="139"/>
      <c r="Z46" s="139"/>
      <c r="AA46" s="139"/>
      <c r="AB46" s="139"/>
      <c r="AC46" s="137">
        <v>1468764</v>
      </c>
      <c r="AD46" s="140">
        <v>1464225</v>
      </c>
      <c r="AE46" s="140">
        <v>1323006</v>
      </c>
      <c r="AF46" s="138">
        <f t="shared" si="10"/>
        <v>0.99690964647826341</v>
      </c>
      <c r="AG46" s="138">
        <f t="shared" si="11"/>
        <v>0.90076145657164797</v>
      </c>
      <c r="AH46" s="140">
        <v>21553118</v>
      </c>
      <c r="AI46" s="140">
        <v>2178289</v>
      </c>
      <c r="AJ46" s="140">
        <v>898025</v>
      </c>
      <c r="AK46" s="138">
        <f t="shared" si="12"/>
        <v>0.10106607313150701</v>
      </c>
      <c r="AL46" s="138">
        <f t="shared" si="13"/>
        <v>4.1665665264765867E-2</v>
      </c>
      <c r="AM46" s="137">
        <v>17327169</v>
      </c>
      <c r="AN46" s="140">
        <v>7066375</v>
      </c>
      <c r="AO46" s="140">
        <v>3600857</v>
      </c>
      <c r="AP46" s="138">
        <f t="shared" si="14"/>
        <v>0.40782051586153512</v>
      </c>
      <c r="AQ46" s="138">
        <f t="shared" si="15"/>
        <v>0.20781565644104932</v>
      </c>
      <c r="AR46" s="141">
        <f t="shared" si="16"/>
        <v>40349051</v>
      </c>
      <c r="AS46" s="140">
        <f t="shared" ref="AS46:AT46" si="103">AD46+AI46+AN46</f>
        <v>10708889</v>
      </c>
      <c r="AT46" s="144">
        <f t="shared" si="103"/>
        <v>5821888</v>
      </c>
      <c r="AU46" s="138">
        <f t="shared" si="18"/>
        <v>0.2654062173606016</v>
      </c>
      <c r="AV46" s="138">
        <f t="shared" si="19"/>
        <v>0.14428810233975514</v>
      </c>
      <c r="AW46" s="138"/>
      <c r="AX46" s="138"/>
      <c r="AY46" s="143"/>
      <c r="AZ46" s="143"/>
      <c r="BA46" s="143"/>
      <c r="BB46" s="143"/>
      <c r="BC46" s="143"/>
      <c r="BD46" s="143"/>
      <c r="BE46" s="143"/>
      <c r="BF46" s="143" t="s">
        <v>338</v>
      </c>
      <c r="BG46" s="143" t="s">
        <v>338</v>
      </c>
      <c r="BH46" s="143" t="s">
        <v>338</v>
      </c>
      <c r="BI46" s="143" t="s">
        <v>338</v>
      </c>
    </row>
    <row r="47" spans="1:61" x14ac:dyDescent="0.25">
      <c r="A47" s="136">
        <v>44303</v>
      </c>
      <c r="B47" s="137">
        <v>112301</v>
      </c>
      <c r="C47" s="140">
        <v>125188</v>
      </c>
      <c r="D47" s="140">
        <v>109105</v>
      </c>
      <c r="E47" s="138">
        <f t="shared" si="0"/>
        <v>1.1147540983606556</v>
      </c>
      <c r="F47" s="138">
        <f t="shared" si="1"/>
        <v>0.97154076989519234</v>
      </c>
      <c r="G47" s="137">
        <v>911631</v>
      </c>
      <c r="H47" s="140">
        <v>549011</v>
      </c>
      <c r="I47" s="140">
        <v>278295</v>
      </c>
      <c r="J47" s="138">
        <f t="shared" si="2"/>
        <v>0.60222941080327452</v>
      </c>
      <c r="K47" s="138">
        <f t="shared" si="3"/>
        <v>0.3052715407878846</v>
      </c>
      <c r="L47" s="137">
        <v>1976757</v>
      </c>
      <c r="M47" s="140">
        <v>967733</v>
      </c>
      <c r="N47" s="140">
        <v>461648</v>
      </c>
      <c r="O47" s="138">
        <f t="shared" si="4"/>
        <v>0.48955587358486652</v>
      </c>
      <c r="P47" s="138">
        <f t="shared" si="5"/>
        <v>0.23353806259444129</v>
      </c>
      <c r="Q47" s="137">
        <v>3000689</v>
      </c>
      <c r="R47" s="137">
        <f t="shared" ref="R47:S47" si="104">C47+H47+M47</f>
        <v>1641932</v>
      </c>
      <c r="S47" s="137">
        <f t="shared" si="104"/>
        <v>849048</v>
      </c>
      <c r="T47" s="139">
        <f t="shared" si="8"/>
        <v>0.54718499651246766</v>
      </c>
      <c r="U47" s="139">
        <f t="shared" si="9"/>
        <v>0.28295101558342101</v>
      </c>
      <c r="V47" s="139"/>
      <c r="W47" s="139"/>
      <c r="X47" s="139"/>
      <c r="Y47" s="139"/>
      <c r="Z47" s="139"/>
      <c r="AA47" s="139"/>
      <c r="AB47" s="139"/>
      <c r="AC47" s="137">
        <v>1468764</v>
      </c>
      <c r="AD47" s="140">
        <v>1465021</v>
      </c>
      <c r="AE47" s="140">
        <v>1323987</v>
      </c>
      <c r="AF47" s="138">
        <f t="shared" si="10"/>
        <v>0.99745159875922884</v>
      </c>
      <c r="AG47" s="138">
        <f t="shared" si="11"/>
        <v>0.90142936509881777</v>
      </c>
      <c r="AH47" s="140">
        <v>21553118</v>
      </c>
      <c r="AI47" s="140">
        <v>2199326</v>
      </c>
      <c r="AJ47" s="140">
        <v>930003</v>
      </c>
      <c r="AK47" s="138">
        <f t="shared" si="12"/>
        <v>0.10204212680504046</v>
      </c>
      <c r="AL47" s="138">
        <f t="shared" si="13"/>
        <v>4.3149348507255422E-2</v>
      </c>
      <c r="AM47" s="137">
        <v>17327169</v>
      </c>
      <c r="AN47" s="140">
        <v>7139477</v>
      </c>
      <c r="AO47" s="140">
        <v>3636800</v>
      </c>
      <c r="AP47" s="138">
        <f t="shared" si="14"/>
        <v>0.41203943933368459</v>
      </c>
      <c r="AQ47" s="138">
        <f t="shared" si="15"/>
        <v>0.20989002877504109</v>
      </c>
      <c r="AR47" s="141">
        <f t="shared" si="16"/>
        <v>40349051</v>
      </c>
      <c r="AS47" s="140">
        <f t="shared" ref="AS47:AT47" si="105">AD47+AI47+AN47</f>
        <v>10803824</v>
      </c>
      <c r="AT47" s="144">
        <f t="shared" si="105"/>
        <v>5890790</v>
      </c>
      <c r="AU47" s="138">
        <f t="shared" si="18"/>
        <v>0.26775906080170264</v>
      </c>
      <c r="AV47" s="138">
        <f t="shared" si="19"/>
        <v>0.14599575092856584</v>
      </c>
      <c r="AW47" s="138"/>
      <c r="AX47" s="138"/>
      <c r="AY47" s="143"/>
      <c r="AZ47" s="143"/>
      <c r="BA47" s="143"/>
      <c r="BB47" s="143"/>
      <c r="BC47" s="143"/>
      <c r="BD47" s="143"/>
      <c r="BE47" s="143"/>
      <c r="BF47" s="143" t="s">
        <v>338</v>
      </c>
      <c r="BG47" s="143" t="s">
        <v>338</v>
      </c>
      <c r="BH47" s="143" t="s">
        <v>338</v>
      </c>
      <c r="BI47" s="143" t="s">
        <v>338</v>
      </c>
    </row>
    <row r="48" spans="1:61" x14ac:dyDescent="0.25">
      <c r="A48" s="136">
        <v>44304</v>
      </c>
      <c r="B48" s="137">
        <v>112301</v>
      </c>
      <c r="C48" s="140">
        <v>125193</v>
      </c>
      <c r="D48" s="140">
        <v>109105</v>
      </c>
      <c r="E48" s="138">
        <f t="shared" si="0"/>
        <v>1.1147986215616958</v>
      </c>
      <c r="F48" s="138">
        <f t="shared" si="1"/>
        <v>0.97154076989519234</v>
      </c>
      <c r="G48" s="137">
        <v>911631</v>
      </c>
      <c r="H48" s="140">
        <v>549394</v>
      </c>
      <c r="I48" s="140">
        <v>281756</v>
      </c>
      <c r="J48" s="138">
        <f t="shared" si="2"/>
        <v>0.60264953692886702</v>
      </c>
      <c r="K48" s="138">
        <f t="shared" si="3"/>
        <v>0.30906803300896962</v>
      </c>
      <c r="L48" s="137">
        <v>1976757</v>
      </c>
      <c r="M48" s="140">
        <v>971708</v>
      </c>
      <c r="N48" s="140">
        <v>466276</v>
      </c>
      <c r="O48" s="138">
        <f t="shared" si="4"/>
        <v>0.49156674290264307</v>
      </c>
      <c r="P48" s="138">
        <f t="shared" si="5"/>
        <v>0.2358792709473142</v>
      </c>
      <c r="Q48" s="137">
        <v>3000689</v>
      </c>
      <c r="R48" s="137">
        <f t="shared" ref="R48:S48" si="106">C48+H48+M48</f>
        <v>1646295</v>
      </c>
      <c r="S48" s="137">
        <f t="shared" si="106"/>
        <v>857137</v>
      </c>
      <c r="T48" s="139">
        <f t="shared" si="8"/>
        <v>0.54863899591060583</v>
      </c>
      <c r="U48" s="139">
        <f t="shared" si="9"/>
        <v>0.28564672980105571</v>
      </c>
      <c r="V48" s="139"/>
      <c r="W48" s="139"/>
      <c r="X48" s="139"/>
      <c r="Y48" s="139"/>
      <c r="Z48" s="139"/>
      <c r="AA48" s="139"/>
      <c r="AB48" s="139"/>
      <c r="AC48" s="137">
        <v>1468764</v>
      </c>
      <c r="AD48" s="140">
        <v>1465210</v>
      </c>
      <c r="AE48" s="140">
        <v>1324382</v>
      </c>
      <c r="AF48" s="138">
        <f t="shared" si="10"/>
        <v>0.99758027838372942</v>
      </c>
      <c r="AG48" s="138">
        <f t="shared" si="11"/>
        <v>0.90169829870557827</v>
      </c>
      <c r="AH48" s="140">
        <v>21553118</v>
      </c>
      <c r="AI48" s="140">
        <v>2203494</v>
      </c>
      <c r="AJ48" s="140">
        <v>936963</v>
      </c>
      <c r="AK48" s="138">
        <f t="shared" si="12"/>
        <v>0.10223550949797612</v>
      </c>
      <c r="AL48" s="138">
        <f t="shared" si="13"/>
        <v>4.3472271622138382E-2</v>
      </c>
      <c r="AM48" s="137">
        <v>17327169</v>
      </c>
      <c r="AN48" s="140">
        <v>7159290</v>
      </c>
      <c r="AO48" s="140">
        <v>3649998</v>
      </c>
      <c r="AP48" s="138">
        <f t="shared" si="14"/>
        <v>0.41318290368149579</v>
      </c>
      <c r="AQ48" s="138">
        <f t="shared" si="15"/>
        <v>0.21065172273670327</v>
      </c>
      <c r="AR48" s="141">
        <f t="shared" si="16"/>
        <v>40349051</v>
      </c>
      <c r="AS48" s="140">
        <f t="shared" ref="AS48:AT48" si="107">AD48+AI48+AN48</f>
        <v>10827994</v>
      </c>
      <c r="AT48" s="144">
        <f t="shared" si="107"/>
        <v>5911343</v>
      </c>
      <c r="AU48" s="138">
        <f t="shared" si="18"/>
        <v>0.26835808356434454</v>
      </c>
      <c r="AV48" s="138">
        <f t="shared" si="19"/>
        <v>0.14650513093851947</v>
      </c>
      <c r="AW48" s="138"/>
      <c r="AX48" s="138"/>
      <c r="AY48" s="143"/>
      <c r="AZ48" s="143"/>
      <c r="BA48" s="143"/>
      <c r="BB48" s="143"/>
      <c r="BC48" s="143"/>
      <c r="BD48" s="143"/>
      <c r="BE48" s="143"/>
      <c r="BF48" s="143" t="s">
        <v>338</v>
      </c>
      <c r="BG48" s="143" t="s">
        <v>338</v>
      </c>
      <c r="BH48" s="143" t="s">
        <v>338</v>
      </c>
      <c r="BI48" s="143" t="s">
        <v>338</v>
      </c>
    </row>
    <row r="49" spans="1:61" x14ac:dyDescent="0.25">
      <c r="A49" s="136">
        <v>44305</v>
      </c>
      <c r="B49" s="137">
        <v>112301</v>
      </c>
      <c r="C49" s="140">
        <v>125459</v>
      </c>
      <c r="D49" s="140">
        <v>109299</v>
      </c>
      <c r="E49" s="138">
        <f t="shared" si="0"/>
        <v>1.1171672558570271</v>
      </c>
      <c r="F49" s="138">
        <f t="shared" si="1"/>
        <v>0.97326827009554684</v>
      </c>
      <c r="G49" s="137">
        <v>911631</v>
      </c>
      <c r="H49" s="140">
        <v>552556</v>
      </c>
      <c r="I49" s="140">
        <v>308789</v>
      </c>
      <c r="J49" s="138">
        <f t="shared" si="2"/>
        <v>0.60611804556887605</v>
      </c>
      <c r="K49" s="138">
        <f t="shared" si="3"/>
        <v>0.33872147831743327</v>
      </c>
      <c r="L49" s="137">
        <v>1976757</v>
      </c>
      <c r="M49" s="140">
        <v>990548</v>
      </c>
      <c r="N49" s="140">
        <v>475981</v>
      </c>
      <c r="O49" s="138">
        <f t="shared" si="4"/>
        <v>0.50109750465029335</v>
      </c>
      <c r="P49" s="138">
        <f t="shared" si="5"/>
        <v>0.24078882735713089</v>
      </c>
      <c r="Q49" s="137">
        <v>3000689</v>
      </c>
      <c r="R49" s="137">
        <f t="shared" ref="R49:S49" si="108">C49+H49+M49</f>
        <v>1668563</v>
      </c>
      <c r="S49" s="137">
        <f t="shared" si="108"/>
        <v>894069</v>
      </c>
      <c r="T49" s="139">
        <f t="shared" si="8"/>
        <v>0.55605995822959331</v>
      </c>
      <c r="U49" s="139">
        <f t="shared" si="9"/>
        <v>0.29795456976714346</v>
      </c>
      <c r="V49" s="139"/>
      <c r="W49" s="139"/>
      <c r="X49" s="139"/>
      <c r="Y49" s="139"/>
      <c r="Z49" s="139"/>
      <c r="AA49" s="139"/>
      <c r="AB49" s="139"/>
      <c r="AC49" s="137">
        <v>1468764</v>
      </c>
      <c r="AD49" s="140">
        <v>1466675</v>
      </c>
      <c r="AE49" s="140">
        <v>1325963</v>
      </c>
      <c r="AF49" s="138">
        <f t="shared" si="10"/>
        <v>0.99857771568475262</v>
      </c>
      <c r="AG49" s="138">
        <f t="shared" si="11"/>
        <v>0.90277471397719444</v>
      </c>
      <c r="AH49" s="140">
        <v>21553118</v>
      </c>
      <c r="AI49" s="140">
        <v>2237282</v>
      </c>
      <c r="AJ49" s="140">
        <v>1002268</v>
      </c>
      <c r="AK49" s="138">
        <f t="shared" si="12"/>
        <v>0.10380317130913495</v>
      </c>
      <c r="AL49" s="138">
        <f t="shared" si="13"/>
        <v>4.6502227659125699E-2</v>
      </c>
      <c r="AM49" s="137">
        <v>17327169</v>
      </c>
      <c r="AN49" s="140">
        <v>7267647</v>
      </c>
      <c r="AO49" s="140">
        <v>3724381</v>
      </c>
      <c r="AP49" s="138">
        <f t="shared" si="14"/>
        <v>0.41943649305896424</v>
      </c>
      <c r="AQ49" s="138">
        <f t="shared" si="15"/>
        <v>0.21494457634712283</v>
      </c>
      <c r="AR49" s="141">
        <f t="shared" si="16"/>
        <v>40349051</v>
      </c>
      <c r="AS49" s="140">
        <f t="shared" ref="AS49:AT49" si="109">AD49+AI49+AN49</f>
        <v>10971604</v>
      </c>
      <c r="AT49" s="144">
        <f t="shared" si="109"/>
        <v>6052612</v>
      </c>
      <c r="AU49" s="138">
        <f t="shared" si="18"/>
        <v>0.27191727508039781</v>
      </c>
      <c r="AV49" s="138">
        <f t="shared" si="19"/>
        <v>0.15000630374181539</v>
      </c>
      <c r="AW49" s="138"/>
      <c r="AX49" s="138"/>
      <c r="AY49" s="143"/>
      <c r="AZ49" s="143"/>
      <c r="BA49" s="143"/>
      <c r="BB49" s="143"/>
      <c r="BC49" s="143"/>
      <c r="BD49" s="143"/>
      <c r="BE49" s="143"/>
      <c r="BF49" s="143" t="s">
        <v>338</v>
      </c>
      <c r="BG49" s="143" t="s">
        <v>338</v>
      </c>
      <c r="BH49" s="143" t="s">
        <v>338</v>
      </c>
      <c r="BI49" s="143" t="s">
        <v>338</v>
      </c>
    </row>
    <row r="50" spans="1:61" x14ac:dyDescent="0.25">
      <c r="A50" s="136">
        <v>44306</v>
      </c>
      <c r="B50" s="137">
        <v>112301</v>
      </c>
      <c r="C50" s="140">
        <v>125568</v>
      </c>
      <c r="D50" s="140">
        <v>109421</v>
      </c>
      <c r="E50" s="138">
        <f t="shared" si="0"/>
        <v>1.1181378616397004</v>
      </c>
      <c r="F50" s="138">
        <f t="shared" si="1"/>
        <v>0.97435463620092433</v>
      </c>
      <c r="G50" s="137">
        <v>911631</v>
      </c>
      <c r="H50" s="140">
        <v>554268</v>
      </c>
      <c r="I50" s="140">
        <v>320304</v>
      </c>
      <c r="J50" s="138">
        <f t="shared" si="2"/>
        <v>0.60799599838092389</v>
      </c>
      <c r="K50" s="138">
        <f t="shared" si="3"/>
        <v>0.35135268546155185</v>
      </c>
      <c r="L50" s="137">
        <v>1976757</v>
      </c>
      <c r="M50" s="140">
        <v>1007563</v>
      </c>
      <c r="N50" s="140">
        <v>481378</v>
      </c>
      <c r="O50" s="138">
        <f t="shared" si="4"/>
        <v>0.50970503708852433</v>
      </c>
      <c r="P50" s="138">
        <f t="shared" si="5"/>
        <v>0.24351905671764409</v>
      </c>
      <c r="Q50" s="137">
        <v>3000689</v>
      </c>
      <c r="R50" s="137">
        <f t="shared" ref="R50:S50" si="110">C50+H50+M50</f>
        <v>1687399</v>
      </c>
      <c r="S50" s="137">
        <f t="shared" si="110"/>
        <v>911103</v>
      </c>
      <c r="T50" s="139">
        <f t="shared" si="8"/>
        <v>0.56233718322691884</v>
      </c>
      <c r="U50" s="139">
        <f t="shared" si="9"/>
        <v>0.30363126601923757</v>
      </c>
      <c r="V50" s="139"/>
      <c r="W50" s="139"/>
      <c r="X50" s="139"/>
      <c r="Y50" s="139"/>
      <c r="Z50" s="139"/>
      <c r="AA50" s="139"/>
      <c r="AB50" s="139"/>
      <c r="AC50" s="137">
        <v>1468764</v>
      </c>
      <c r="AD50" s="140">
        <v>1467860</v>
      </c>
      <c r="AE50" s="140">
        <v>1327443</v>
      </c>
      <c r="AF50" s="138">
        <f t="shared" si="10"/>
        <v>0.99938451650503413</v>
      </c>
      <c r="AG50" s="138">
        <f t="shared" si="11"/>
        <v>0.90378236394682876</v>
      </c>
      <c r="AH50" s="140">
        <v>21553118</v>
      </c>
      <c r="AI50" s="140">
        <v>2264590</v>
      </c>
      <c r="AJ50" s="140">
        <v>1040757</v>
      </c>
      <c r="AK50" s="138">
        <f t="shared" si="12"/>
        <v>0.10507018056505792</v>
      </c>
      <c r="AL50" s="138">
        <f t="shared" si="13"/>
        <v>4.8288001763828324E-2</v>
      </c>
      <c r="AM50" s="137">
        <v>17327169</v>
      </c>
      <c r="AN50" s="140">
        <v>7383064</v>
      </c>
      <c r="AO50" s="140">
        <v>3790548</v>
      </c>
      <c r="AP50" s="138">
        <f t="shared" si="14"/>
        <v>0.42609753503298781</v>
      </c>
      <c r="AQ50" s="138">
        <f t="shared" si="15"/>
        <v>0.21876326132676377</v>
      </c>
      <c r="AR50" s="141">
        <f t="shared" si="16"/>
        <v>40349051</v>
      </c>
      <c r="AS50" s="140">
        <f t="shared" ref="AS50:AT50" si="111">AD50+AI50+AN50</f>
        <v>11115514</v>
      </c>
      <c r="AT50" s="144">
        <f t="shared" si="111"/>
        <v>6158748</v>
      </c>
      <c r="AU50" s="138">
        <f t="shared" si="18"/>
        <v>0.27548390171555709</v>
      </c>
      <c r="AV50" s="138">
        <f t="shared" si="19"/>
        <v>0.15263674974660493</v>
      </c>
      <c r="AW50" s="138"/>
      <c r="AX50" s="138"/>
      <c r="AY50" s="143"/>
      <c r="AZ50" s="143"/>
      <c r="BA50" s="143"/>
      <c r="BB50" s="143"/>
      <c r="BC50" s="143"/>
      <c r="BD50" s="143"/>
      <c r="BE50" s="143"/>
      <c r="BF50" s="143" t="s">
        <v>338</v>
      </c>
      <c r="BG50" s="143" t="s">
        <v>338</v>
      </c>
      <c r="BH50" s="143" t="s">
        <v>338</v>
      </c>
      <c r="BI50" s="143" t="s">
        <v>338</v>
      </c>
    </row>
    <row r="51" spans="1:61" x14ac:dyDescent="0.25">
      <c r="A51" s="136">
        <v>44307</v>
      </c>
      <c r="B51" s="137">
        <v>112301</v>
      </c>
      <c r="C51" s="140">
        <v>125808</v>
      </c>
      <c r="D51" s="140">
        <v>109615</v>
      </c>
      <c r="E51" s="138">
        <f t="shared" si="0"/>
        <v>1.1202749752896235</v>
      </c>
      <c r="F51" s="138">
        <f t="shared" si="1"/>
        <v>0.97608213640127872</v>
      </c>
      <c r="G51" s="137">
        <v>911631</v>
      </c>
      <c r="H51" s="140">
        <v>556786</v>
      </c>
      <c r="I51" s="140">
        <v>341170</v>
      </c>
      <c r="J51" s="138">
        <f t="shared" si="2"/>
        <v>0.61075808084630734</v>
      </c>
      <c r="K51" s="138">
        <f t="shared" si="3"/>
        <v>0.37424133229343892</v>
      </c>
      <c r="L51" s="137">
        <v>1976757</v>
      </c>
      <c r="M51" s="140">
        <v>1025472</v>
      </c>
      <c r="N51" s="140">
        <v>493120</v>
      </c>
      <c r="O51" s="138">
        <f t="shared" si="4"/>
        <v>0.51876482541860225</v>
      </c>
      <c r="P51" s="138">
        <f t="shared" si="5"/>
        <v>0.24945908880049494</v>
      </c>
      <c r="Q51" s="137">
        <v>3000689</v>
      </c>
      <c r="R51" s="137">
        <f t="shared" ref="R51:S51" si="112">C51+H51+M51</f>
        <v>1708066</v>
      </c>
      <c r="S51" s="137">
        <f t="shared" si="112"/>
        <v>943905</v>
      </c>
      <c r="T51" s="139">
        <f t="shared" si="8"/>
        <v>0.5692246014165413</v>
      </c>
      <c r="U51" s="139">
        <f t="shared" si="9"/>
        <v>0.3145627554205051</v>
      </c>
      <c r="V51" s="139"/>
      <c r="W51" s="139"/>
      <c r="X51" s="139"/>
      <c r="Y51" s="139"/>
      <c r="Z51" s="139"/>
      <c r="AA51" s="139"/>
      <c r="AB51" s="139"/>
      <c r="AC51" s="137">
        <v>1468764</v>
      </c>
      <c r="AD51" s="140">
        <v>1480525</v>
      </c>
      <c r="AE51" s="140">
        <v>1338926</v>
      </c>
      <c r="AF51" s="138">
        <f t="shared" si="10"/>
        <v>1.0080074130357226</v>
      </c>
      <c r="AG51" s="138">
        <f t="shared" si="11"/>
        <v>0.91160050219095778</v>
      </c>
      <c r="AH51" s="140">
        <v>21553118</v>
      </c>
      <c r="AI51" s="140">
        <v>2298131</v>
      </c>
      <c r="AJ51" s="140">
        <v>1111339</v>
      </c>
      <c r="AK51" s="138">
        <f t="shared" si="12"/>
        <v>0.10662638231739835</v>
      </c>
      <c r="AL51" s="138">
        <f t="shared" si="13"/>
        <v>5.1562794765935956E-2</v>
      </c>
      <c r="AM51" s="137">
        <v>17327169</v>
      </c>
      <c r="AN51" s="140">
        <v>7522899</v>
      </c>
      <c r="AO51" s="140">
        <v>3891666</v>
      </c>
      <c r="AP51" s="138">
        <f t="shared" si="14"/>
        <v>0.43416780894790141</v>
      </c>
      <c r="AQ51" s="138">
        <f t="shared" si="15"/>
        <v>0.2245990675106822</v>
      </c>
      <c r="AR51" s="141">
        <f t="shared" si="16"/>
        <v>40349051</v>
      </c>
      <c r="AS51" s="140">
        <f t="shared" ref="AS51:AT51" si="113">AD51+AI51+AN51</f>
        <v>11301555</v>
      </c>
      <c r="AT51" s="144">
        <f t="shared" si="113"/>
        <v>6341931</v>
      </c>
      <c r="AU51" s="138">
        <f t="shared" si="18"/>
        <v>0.2800946916942359</v>
      </c>
      <c r="AV51" s="138">
        <f t="shared" si="19"/>
        <v>0.1571767078239337</v>
      </c>
      <c r="AW51" s="138"/>
      <c r="AX51" s="138"/>
      <c r="AY51" s="143"/>
      <c r="AZ51" s="143"/>
      <c r="BA51" s="143"/>
      <c r="BB51" s="143"/>
      <c r="BC51" s="143"/>
      <c r="BD51" s="143"/>
      <c r="BE51" s="143"/>
      <c r="BF51" s="143" t="s">
        <v>338</v>
      </c>
      <c r="BG51" s="143" t="s">
        <v>338</v>
      </c>
      <c r="BH51" s="143" t="s">
        <v>338</v>
      </c>
      <c r="BI51" s="143" t="s">
        <v>338</v>
      </c>
    </row>
    <row r="52" spans="1:61" x14ac:dyDescent="0.25">
      <c r="A52" s="136">
        <v>44308</v>
      </c>
      <c r="B52" s="137">
        <v>112301</v>
      </c>
      <c r="C52" s="140">
        <v>126323</v>
      </c>
      <c r="D52" s="140">
        <v>109990</v>
      </c>
      <c r="E52" s="138">
        <f t="shared" si="0"/>
        <v>1.1248608649967498</v>
      </c>
      <c r="F52" s="138">
        <f t="shared" si="1"/>
        <v>0.9794213764792834</v>
      </c>
      <c r="G52" s="137">
        <v>911631</v>
      </c>
      <c r="H52" s="140">
        <v>561547</v>
      </c>
      <c r="I52" s="140">
        <v>370371</v>
      </c>
      <c r="J52" s="138">
        <f t="shared" si="2"/>
        <v>0.61598058863728855</v>
      </c>
      <c r="K52" s="138">
        <f t="shared" si="3"/>
        <v>0.40627293279846782</v>
      </c>
      <c r="L52" s="137">
        <v>1976757</v>
      </c>
      <c r="M52" s="140">
        <v>1058587</v>
      </c>
      <c r="N52" s="140">
        <v>515356</v>
      </c>
      <c r="O52" s="138">
        <f t="shared" si="4"/>
        <v>0.53551701094267024</v>
      </c>
      <c r="P52" s="138">
        <f t="shared" si="5"/>
        <v>0.26070781588227587</v>
      </c>
      <c r="Q52" s="137">
        <v>3000689</v>
      </c>
      <c r="R52" s="137">
        <f t="shared" ref="R52:S52" si="114">C52+H52+M52</f>
        <v>1746457</v>
      </c>
      <c r="S52" s="137">
        <f t="shared" si="114"/>
        <v>995717</v>
      </c>
      <c r="T52" s="139">
        <f t="shared" si="8"/>
        <v>0.58201866304705352</v>
      </c>
      <c r="U52" s="139">
        <f t="shared" si="9"/>
        <v>0.33182945650149015</v>
      </c>
      <c r="V52" s="139"/>
      <c r="W52" s="139"/>
      <c r="X52" s="139"/>
      <c r="Y52" s="139"/>
      <c r="Z52" s="139"/>
      <c r="AA52" s="139"/>
      <c r="AB52" s="139"/>
      <c r="AC52" s="137">
        <v>1468764</v>
      </c>
      <c r="AD52" s="140">
        <v>1481515</v>
      </c>
      <c r="AE52" s="140">
        <v>1340196</v>
      </c>
      <c r="AF52" s="138">
        <f t="shared" si="10"/>
        <v>1.008681449164059</v>
      </c>
      <c r="AG52" s="138">
        <f t="shared" si="11"/>
        <v>0.91246517480003597</v>
      </c>
      <c r="AH52" s="140">
        <v>21553118</v>
      </c>
      <c r="AI52" s="140">
        <v>2328940</v>
      </c>
      <c r="AJ52" s="140">
        <v>1170028</v>
      </c>
      <c r="AK52" s="138">
        <f t="shared" si="12"/>
        <v>0.10805582746774736</v>
      </c>
      <c r="AL52" s="138">
        <f t="shared" si="13"/>
        <v>5.42857882557874E-2</v>
      </c>
      <c r="AM52" s="137">
        <v>17327169</v>
      </c>
      <c r="AN52" s="140">
        <v>7621517</v>
      </c>
      <c r="AO52" s="140">
        <v>3977973</v>
      </c>
      <c r="AP52" s="138">
        <f t="shared" si="14"/>
        <v>0.43985933305088676</v>
      </c>
      <c r="AQ52" s="138">
        <f t="shared" si="15"/>
        <v>0.22958008893432044</v>
      </c>
      <c r="AR52" s="141">
        <f t="shared" si="16"/>
        <v>40349051</v>
      </c>
      <c r="AS52" s="140">
        <f t="shared" ref="AS52:AT52" si="115">AD52+AI52+AN52</f>
        <v>11431972</v>
      </c>
      <c r="AT52" s="144">
        <f t="shared" si="115"/>
        <v>6488197</v>
      </c>
      <c r="AU52" s="138">
        <f t="shared" si="18"/>
        <v>0.28332691145573657</v>
      </c>
      <c r="AV52" s="138">
        <f t="shared" si="19"/>
        <v>0.16080172492780562</v>
      </c>
      <c r="AW52" s="138"/>
      <c r="AX52" s="138"/>
      <c r="AY52" s="143"/>
      <c r="AZ52" s="143"/>
      <c r="BA52" s="143"/>
      <c r="BB52" s="143"/>
      <c r="BC52" s="143"/>
      <c r="BD52" s="143"/>
      <c r="BE52" s="143"/>
      <c r="BF52" s="143" t="s">
        <v>338</v>
      </c>
      <c r="BG52" s="143" t="s">
        <v>338</v>
      </c>
      <c r="BH52" s="143" t="s">
        <v>338</v>
      </c>
      <c r="BI52" s="143" t="s">
        <v>338</v>
      </c>
    </row>
    <row r="53" spans="1:61" x14ac:dyDescent="0.25">
      <c r="A53" s="136">
        <v>44309</v>
      </c>
      <c r="B53" s="137">
        <v>112301</v>
      </c>
      <c r="C53" s="140">
        <v>126594</v>
      </c>
      <c r="D53" s="140">
        <v>110213</v>
      </c>
      <c r="E53" s="138">
        <f t="shared" si="0"/>
        <v>1.1272740224931213</v>
      </c>
      <c r="F53" s="138">
        <f t="shared" si="1"/>
        <v>0.98140711124567015</v>
      </c>
      <c r="G53" s="137">
        <v>911631</v>
      </c>
      <c r="H53" s="140">
        <v>564499</v>
      </c>
      <c r="I53" s="140">
        <v>387901</v>
      </c>
      <c r="J53" s="138">
        <f t="shared" si="2"/>
        <v>0.61921874091600659</v>
      </c>
      <c r="K53" s="138">
        <f t="shared" si="3"/>
        <v>0.42550220429099056</v>
      </c>
      <c r="L53" s="137">
        <v>1976757</v>
      </c>
      <c r="M53" s="140">
        <v>1079773</v>
      </c>
      <c r="N53" s="140">
        <v>530125</v>
      </c>
      <c r="O53" s="138">
        <f t="shared" si="4"/>
        <v>0.54623456499711398</v>
      </c>
      <c r="P53" s="138">
        <f t="shared" si="5"/>
        <v>0.26817914392107883</v>
      </c>
      <c r="Q53" s="137">
        <v>3000689</v>
      </c>
      <c r="R53" s="137">
        <f t="shared" ref="R53:S53" si="116">C53+H53+M53</f>
        <v>1770866</v>
      </c>
      <c r="S53" s="137">
        <f t="shared" si="116"/>
        <v>1028239</v>
      </c>
      <c r="T53" s="139">
        <f t="shared" si="8"/>
        <v>0.59015312816489818</v>
      </c>
      <c r="U53" s="139">
        <f t="shared" si="9"/>
        <v>0.34266763400005801</v>
      </c>
      <c r="V53" s="139"/>
      <c r="W53" s="139"/>
      <c r="X53" s="139"/>
      <c r="Y53" s="139"/>
      <c r="Z53" s="139"/>
      <c r="AA53" s="139"/>
      <c r="AB53" s="139"/>
      <c r="AC53" s="137">
        <v>1468764</v>
      </c>
      <c r="AD53" s="140">
        <v>1483781</v>
      </c>
      <c r="AE53" s="140">
        <v>1342774</v>
      </c>
      <c r="AF53" s="138">
        <f t="shared" si="10"/>
        <v>1.0102242429689181</v>
      </c>
      <c r="AG53" s="138">
        <f t="shared" si="11"/>
        <v>0.91422039211200712</v>
      </c>
      <c r="AH53" s="140">
        <v>21553118</v>
      </c>
      <c r="AI53" s="140">
        <v>2357556</v>
      </c>
      <c r="AJ53" s="140">
        <v>1225863</v>
      </c>
      <c r="AK53" s="138">
        <f t="shared" si="12"/>
        <v>0.10938352399870868</v>
      </c>
      <c r="AL53" s="138">
        <f t="shared" si="13"/>
        <v>5.6876364709737122E-2</v>
      </c>
      <c r="AM53" s="137">
        <v>17327169</v>
      </c>
      <c r="AN53" s="140">
        <v>7745803</v>
      </c>
      <c r="AO53" s="140">
        <v>4108511</v>
      </c>
      <c r="AP53" s="138">
        <f t="shared" si="14"/>
        <v>0.44703223013522869</v>
      </c>
      <c r="AQ53" s="138">
        <f t="shared" si="15"/>
        <v>0.23711380664665993</v>
      </c>
      <c r="AR53" s="141">
        <f t="shared" si="16"/>
        <v>40349051</v>
      </c>
      <c r="AS53" s="140">
        <f t="shared" ref="AS53:AT53" si="117">AD53+AI53+AN53</f>
        <v>11587140</v>
      </c>
      <c r="AT53" s="144">
        <f t="shared" si="117"/>
        <v>6677148</v>
      </c>
      <c r="AU53" s="138">
        <f t="shared" si="18"/>
        <v>0.28717255332721459</v>
      </c>
      <c r="AV53" s="138">
        <f t="shared" si="19"/>
        <v>0.16548463556181284</v>
      </c>
      <c r="AW53" s="138"/>
      <c r="AX53" s="138"/>
      <c r="AY53" s="143"/>
      <c r="AZ53" s="143"/>
      <c r="BA53" s="143"/>
      <c r="BB53" s="143"/>
      <c r="BC53" s="143"/>
      <c r="BD53" s="143"/>
      <c r="BE53" s="143"/>
      <c r="BF53" s="143" t="s">
        <v>338</v>
      </c>
      <c r="BG53" s="143" t="s">
        <v>338</v>
      </c>
      <c r="BH53" s="143" t="s">
        <v>338</v>
      </c>
      <c r="BI53" s="143" t="s">
        <v>338</v>
      </c>
    </row>
    <row r="54" spans="1:61" x14ac:dyDescent="0.25">
      <c r="A54" s="136">
        <v>44310</v>
      </c>
      <c r="B54" s="137">
        <v>112301</v>
      </c>
      <c r="C54" s="140">
        <v>126642</v>
      </c>
      <c r="D54" s="140">
        <v>110273</v>
      </c>
      <c r="E54" s="138">
        <f t="shared" si="0"/>
        <v>1.1277014452231058</v>
      </c>
      <c r="F54" s="138">
        <f t="shared" si="1"/>
        <v>0.98194138965815081</v>
      </c>
      <c r="G54" s="137">
        <v>911631</v>
      </c>
      <c r="H54" s="140">
        <v>565373</v>
      </c>
      <c r="I54" s="140">
        <v>392124</v>
      </c>
      <c r="J54" s="138">
        <f t="shared" si="2"/>
        <v>0.62017746215299829</v>
      </c>
      <c r="K54" s="138">
        <f t="shared" si="3"/>
        <v>0.43013456102304548</v>
      </c>
      <c r="L54" s="137">
        <v>1976757</v>
      </c>
      <c r="M54" s="140">
        <v>1092495</v>
      </c>
      <c r="N54" s="140">
        <v>543877</v>
      </c>
      <c r="O54" s="138">
        <f t="shared" si="4"/>
        <v>0.55267035857214619</v>
      </c>
      <c r="P54" s="138">
        <f t="shared" si="5"/>
        <v>0.27513599294197516</v>
      </c>
      <c r="Q54" s="137">
        <v>3000689</v>
      </c>
      <c r="R54" s="137">
        <f t="shared" ref="R54:S54" si="118">C54+H54+M54</f>
        <v>1784510</v>
      </c>
      <c r="S54" s="137">
        <f t="shared" si="118"/>
        <v>1046274</v>
      </c>
      <c r="T54" s="139">
        <f t="shared" si="8"/>
        <v>0.59470008388073536</v>
      </c>
      <c r="U54" s="139">
        <f t="shared" si="9"/>
        <v>0.34867792030430345</v>
      </c>
      <c r="V54" s="139"/>
      <c r="W54" s="139"/>
      <c r="X54" s="139"/>
      <c r="Y54" s="139"/>
      <c r="Z54" s="139"/>
      <c r="AA54" s="139"/>
      <c r="AB54" s="139"/>
      <c r="AC54" s="137">
        <v>1468764</v>
      </c>
      <c r="AD54" s="140">
        <v>1484971</v>
      </c>
      <c r="AE54" s="140">
        <v>1344232</v>
      </c>
      <c r="AF54" s="138">
        <f t="shared" si="10"/>
        <v>1.0110344480120701</v>
      </c>
      <c r="AG54" s="138">
        <f t="shared" si="11"/>
        <v>0.91521306350101173</v>
      </c>
      <c r="AH54" s="140">
        <v>21553118</v>
      </c>
      <c r="AI54" s="140">
        <v>2384567</v>
      </c>
      <c r="AJ54" s="140">
        <v>1263040</v>
      </c>
      <c r="AK54" s="138">
        <f t="shared" si="12"/>
        <v>0.11063675334585001</v>
      </c>
      <c r="AL54" s="138">
        <f t="shared" si="13"/>
        <v>5.8601265951404337E-2</v>
      </c>
      <c r="AM54" s="137">
        <v>17327169</v>
      </c>
      <c r="AN54" s="140">
        <v>7848268</v>
      </c>
      <c r="AO54" s="140">
        <v>4190969</v>
      </c>
      <c r="AP54" s="138">
        <f t="shared" si="14"/>
        <v>0.45294577550435389</v>
      </c>
      <c r="AQ54" s="138">
        <f t="shared" si="15"/>
        <v>0.24187269137849352</v>
      </c>
      <c r="AR54" s="141">
        <f t="shared" si="16"/>
        <v>40349051</v>
      </c>
      <c r="AS54" s="140">
        <f t="shared" ref="AS54:AT54" si="119">AD54+AI54+AN54</f>
        <v>11717806</v>
      </c>
      <c r="AT54" s="144">
        <f t="shared" si="119"/>
        <v>6798241</v>
      </c>
      <c r="AU54" s="138">
        <f t="shared" si="18"/>
        <v>0.29041094423757324</v>
      </c>
      <c r="AV54" s="138">
        <f t="shared" si="19"/>
        <v>0.16848577182149835</v>
      </c>
      <c r="AW54" s="138"/>
      <c r="AX54" s="138"/>
      <c r="AY54" s="143"/>
      <c r="AZ54" s="143"/>
      <c r="BA54" s="143"/>
      <c r="BB54" s="143"/>
      <c r="BC54" s="143"/>
      <c r="BD54" s="143"/>
      <c r="BE54" s="143"/>
      <c r="BF54" s="143" t="s">
        <v>338</v>
      </c>
      <c r="BG54" s="143" t="s">
        <v>338</v>
      </c>
      <c r="BH54" s="143" t="s">
        <v>338</v>
      </c>
      <c r="BI54" s="143" t="s">
        <v>338</v>
      </c>
    </row>
    <row r="55" spans="1:61" x14ac:dyDescent="0.25">
      <c r="A55" s="136">
        <v>44311</v>
      </c>
      <c r="B55" s="137">
        <v>112301</v>
      </c>
      <c r="C55" s="140">
        <v>126663</v>
      </c>
      <c r="D55" s="140">
        <v>110297</v>
      </c>
      <c r="E55" s="138">
        <f t="shared" si="0"/>
        <v>1.127888442667474</v>
      </c>
      <c r="F55" s="138">
        <f t="shared" si="1"/>
        <v>0.98215510102314318</v>
      </c>
      <c r="G55" s="137">
        <v>911631</v>
      </c>
      <c r="H55" s="140">
        <v>565919</v>
      </c>
      <c r="I55" s="140">
        <v>394656</v>
      </c>
      <c r="J55" s="138">
        <f t="shared" si="2"/>
        <v>0.62077638869235474</v>
      </c>
      <c r="K55" s="138">
        <f t="shared" si="3"/>
        <v>0.43291200057918172</v>
      </c>
      <c r="L55" s="137">
        <v>1976757</v>
      </c>
      <c r="M55" s="140">
        <v>1103805</v>
      </c>
      <c r="N55" s="140">
        <v>554636</v>
      </c>
      <c r="O55" s="138">
        <f t="shared" si="4"/>
        <v>0.55839185089517829</v>
      </c>
      <c r="P55" s="138">
        <f t="shared" si="5"/>
        <v>0.28057874589542364</v>
      </c>
      <c r="Q55" s="137">
        <v>3000689</v>
      </c>
      <c r="R55" s="137">
        <f t="shared" ref="R55:S55" si="120">C55+H55+M55</f>
        <v>1796387</v>
      </c>
      <c r="S55" s="137">
        <f t="shared" si="120"/>
        <v>1059589</v>
      </c>
      <c r="T55" s="139">
        <f t="shared" si="8"/>
        <v>0.5986581748391786</v>
      </c>
      <c r="U55" s="139">
        <f t="shared" si="9"/>
        <v>0.35311523453446858</v>
      </c>
      <c r="V55" s="139"/>
      <c r="W55" s="139"/>
      <c r="X55" s="139"/>
      <c r="Y55" s="139"/>
      <c r="Z55" s="139"/>
      <c r="AA55" s="139"/>
      <c r="AB55" s="139"/>
      <c r="AC55" s="137">
        <v>1468764</v>
      </c>
      <c r="AD55" s="140">
        <v>1485102</v>
      </c>
      <c r="AE55" s="140">
        <v>1344441</v>
      </c>
      <c r="AF55" s="138">
        <f t="shared" si="10"/>
        <v>1.0111236386512741</v>
      </c>
      <c r="AG55" s="138">
        <f t="shared" si="11"/>
        <v>0.91535536001699391</v>
      </c>
      <c r="AH55" s="140">
        <v>21553118</v>
      </c>
      <c r="AI55" s="140">
        <v>2386671</v>
      </c>
      <c r="AJ55" s="140">
        <v>1269557</v>
      </c>
      <c r="AK55" s="138">
        <f t="shared" si="12"/>
        <v>0.11073437263230314</v>
      </c>
      <c r="AL55" s="138">
        <f t="shared" si="13"/>
        <v>5.8903635195612994E-2</v>
      </c>
      <c r="AM55" s="137">
        <v>17327169</v>
      </c>
      <c r="AN55" s="140">
        <v>7869046</v>
      </c>
      <c r="AO55" s="140">
        <v>4215417</v>
      </c>
      <c r="AP55" s="138">
        <f t="shared" si="14"/>
        <v>0.45414493273540529</v>
      </c>
      <c r="AQ55" s="138">
        <f t="shared" si="15"/>
        <v>0.24328365470435476</v>
      </c>
      <c r="AR55" s="141">
        <f t="shared" si="16"/>
        <v>40349051</v>
      </c>
      <c r="AS55" s="140">
        <f t="shared" ref="AS55:AT55" si="121">AD55+AI55+AN55</f>
        <v>11740819</v>
      </c>
      <c r="AT55" s="144">
        <f t="shared" si="121"/>
        <v>6829415</v>
      </c>
      <c r="AU55" s="138">
        <f t="shared" si="18"/>
        <v>0.29098129222419628</v>
      </c>
      <c r="AV55" s="138">
        <f t="shared" si="19"/>
        <v>0.16925837983153558</v>
      </c>
      <c r="AW55" s="138"/>
      <c r="AX55" s="138"/>
      <c r="AY55" s="143"/>
      <c r="AZ55" s="143"/>
      <c r="BA55" s="143"/>
      <c r="BB55" s="143"/>
      <c r="BC55" s="143"/>
      <c r="BD55" s="143"/>
      <c r="BE55" s="143"/>
      <c r="BF55" s="143" t="s">
        <v>338</v>
      </c>
      <c r="BG55" s="143" t="s">
        <v>338</v>
      </c>
      <c r="BH55" s="143" t="s">
        <v>338</v>
      </c>
      <c r="BI55" s="143" t="s">
        <v>338</v>
      </c>
    </row>
    <row r="56" spans="1:61" x14ac:dyDescent="0.25">
      <c r="A56" s="136">
        <v>44312</v>
      </c>
      <c r="B56" s="137">
        <v>112301</v>
      </c>
      <c r="C56" s="140">
        <v>126864</v>
      </c>
      <c r="D56" s="140">
        <v>110554</v>
      </c>
      <c r="E56" s="138">
        <f t="shared" si="0"/>
        <v>1.1296782753492844</v>
      </c>
      <c r="F56" s="138">
        <f t="shared" si="1"/>
        <v>0.98444359355660238</v>
      </c>
      <c r="G56" s="137">
        <v>911631</v>
      </c>
      <c r="H56" s="140">
        <v>568335</v>
      </c>
      <c r="I56" s="140">
        <v>416922</v>
      </c>
      <c r="J56" s="138">
        <f t="shared" si="2"/>
        <v>0.62342658378225402</v>
      </c>
      <c r="K56" s="138">
        <f t="shared" si="3"/>
        <v>0.45733635648634152</v>
      </c>
      <c r="L56" s="137">
        <v>1976757</v>
      </c>
      <c r="M56" s="140">
        <v>1127512</v>
      </c>
      <c r="N56" s="140">
        <v>577131</v>
      </c>
      <c r="O56" s="138">
        <f t="shared" si="4"/>
        <v>0.57038472609430502</v>
      </c>
      <c r="P56" s="138">
        <f t="shared" si="5"/>
        <v>0.2919584956572811</v>
      </c>
      <c r="Q56" s="137">
        <v>3000689</v>
      </c>
      <c r="R56" s="137">
        <f t="shared" ref="R56:S56" si="122">C56+H56+M56</f>
        <v>1822711</v>
      </c>
      <c r="S56" s="137">
        <f t="shared" si="122"/>
        <v>1104607</v>
      </c>
      <c r="T56" s="139">
        <f t="shared" si="8"/>
        <v>0.60743082672012993</v>
      </c>
      <c r="U56" s="139">
        <f t="shared" si="9"/>
        <v>0.368117788947805</v>
      </c>
      <c r="V56" s="139"/>
      <c r="W56" s="139"/>
      <c r="X56" s="139"/>
      <c r="Y56" s="139"/>
      <c r="Z56" s="139"/>
      <c r="AA56" s="139"/>
      <c r="AB56" s="139"/>
      <c r="AC56" s="137">
        <v>1468764</v>
      </c>
      <c r="AD56" s="140">
        <v>1486574</v>
      </c>
      <c r="AE56" s="140">
        <v>1346352</v>
      </c>
      <c r="AF56" s="138">
        <f t="shared" si="10"/>
        <v>1.0121258418643158</v>
      </c>
      <c r="AG56" s="138">
        <f t="shared" si="11"/>
        <v>0.91665645399805551</v>
      </c>
      <c r="AH56" s="140">
        <v>21553118</v>
      </c>
      <c r="AI56" s="140">
        <v>2417375</v>
      </c>
      <c r="AJ56" s="140">
        <v>1332721</v>
      </c>
      <c r="AK56" s="138">
        <f t="shared" si="12"/>
        <v>0.11215894609772933</v>
      </c>
      <c r="AL56" s="138">
        <f t="shared" si="13"/>
        <v>6.1834255257174391E-2</v>
      </c>
      <c r="AM56" s="137">
        <v>17327169</v>
      </c>
      <c r="AN56" s="140">
        <v>7967909</v>
      </c>
      <c r="AO56" s="140">
        <v>4344278</v>
      </c>
      <c r="AP56" s="138">
        <f t="shared" si="14"/>
        <v>0.45985059648232207</v>
      </c>
      <c r="AQ56" s="138">
        <f t="shared" si="15"/>
        <v>0.2507205879968043</v>
      </c>
      <c r="AR56" s="141">
        <f t="shared" si="16"/>
        <v>40349051</v>
      </c>
      <c r="AS56" s="140">
        <f t="shared" ref="AS56:AT56" si="123">AD56+AI56+AN56</f>
        <v>11871858</v>
      </c>
      <c r="AT56" s="144">
        <f t="shared" si="123"/>
        <v>7023351</v>
      </c>
      <c r="AU56" s="138">
        <f t="shared" si="18"/>
        <v>0.29422892746597684</v>
      </c>
      <c r="AV56" s="138">
        <f t="shared" si="19"/>
        <v>0.17406483736135456</v>
      </c>
      <c r="AW56" s="138"/>
      <c r="AX56" s="138"/>
      <c r="AY56" s="143"/>
      <c r="AZ56" s="143"/>
      <c r="BA56" s="143"/>
      <c r="BB56" s="143"/>
      <c r="BC56" s="143"/>
      <c r="BD56" s="143"/>
      <c r="BE56" s="143"/>
      <c r="BF56" s="143" t="s">
        <v>338</v>
      </c>
      <c r="BG56" s="143" t="s">
        <v>338</v>
      </c>
      <c r="BH56" s="143" t="s">
        <v>338</v>
      </c>
      <c r="BI56" s="143" t="s">
        <v>338</v>
      </c>
    </row>
    <row r="57" spans="1:61" x14ac:dyDescent="0.25">
      <c r="A57" s="136">
        <v>44313</v>
      </c>
      <c r="B57" s="137">
        <v>112301</v>
      </c>
      <c r="C57" s="140">
        <v>127101</v>
      </c>
      <c r="D57" s="140">
        <v>110788</v>
      </c>
      <c r="E57" s="138">
        <f t="shared" si="0"/>
        <v>1.1317886750785835</v>
      </c>
      <c r="F57" s="138">
        <f t="shared" si="1"/>
        <v>0.98652727936527729</v>
      </c>
      <c r="G57" s="137">
        <v>911631</v>
      </c>
      <c r="H57" s="140">
        <v>570852</v>
      </c>
      <c r="I57" s="140">
        <v>432310</v>
      </c>
      <c r="J57" s="138">
        <f t="shared" si="2"/>
        <v>0.62618756931258368</v>
      </c>
      <c r="K57" s="138">
        <f t="shared" si="3"/>
        <v>0.47421599309369689</v>
      </c>
      <c r="L57" s="137">
        <v>1976757</v>
      </c>
      <c r="M57" s="140">
        <v>1152521</v>
      </c>
      <c r="N57" s="140">
        <v>699388</v>
      </c>
      <c r="O57" s="138">
        <f t="shared" si="4"/>
        <v>0.58303625584732977</v>
      </c>
      <c r="P57" s="138">
        <f t="shared" si="5"/>
        <v>0.35380575356505628</v>
      </c>
      <c r="Q57" s="137">
        <v>3000689</v>
      </c>
      <c r="R57" s="137">
        <f t="shared" ref="R57:S57" si="124">C57+H57+M57</f>
        <v>1850474</v>
      </c>
      <c r="S57" s="137">
        <f t="shared" si="124"/>
        <v>1242486</v>
      </c>
      <c r="T57" s="139">
        <f t="shared" si="8"/>
        <v>0.61668303512959854</v>
      </c>
      <c r="U57" s="139">
        <f t="shared" si="9"/>
        <v>0.41406690263469492</v>
      </c>
      <c r="V57" s="139"/>
      <c r="W57" s="139"/>
      <c r="X57" s="139"/>
      <c r="Y57" s="139"/>
      <c r="Z57" s="139"/>
      <c r="AA57" s="139"/>
      <c r="AB57" s="139"/>
      <c r="AC57" s="137">
        <v>1468764</v>
      </c>
      <c r="AD57" s="140">
        <v>1488135</v>
      </c>
      <c r="AE57" s="140">
        <v>1348327</v>
      </c>
      <c r="AF57" s="138">
        <f t="shared" si="10"/>
        <v>1.0131886402444505</v>
      </c>
      <c r="AG57" s="138">
        <f t="shared" si="11"/>
        <v>0.91800112203185813</v>
      </c>
      <c r="AH57" s="140">
        <v>21553118</v>
      </c>
      <c r="AI57" s="140">
        <v>2450582</v>
      </c>
      <c r="AJ57" s="140">
        <v>1390926</v>
      </c>
      <c r="AK57" s="138">
        <f t="shared" si="12"/>
        <v>0.11369965125231532</v>
      </c>
      <c r="AL57" s="138">
        <f t="shared" si="13"/>
        <v>6.4534792599381677E-2</v>
      </c>
      <c r="AM57" s="137">
        <v>17327169</v>
      </c>
      <c r="AN57" s="140">
        <v>8076455</v>
      </c>
      <c r="AO57" s="140">
        <v>4475281</v>
      </c>
      <c r="AP57" s="138">
        <f t="shared" si="14"/>
        <v>0.46611509358510905</v>
      </c>
      <c r="AQ57" s="138">
        <f t="shared" si="15"/>
        <v>0.25828114217619741</v>
      </c>
      <c r="AR57" s="141">
        <f t="shared" si="16"/>
        <v>40349051</v>
      </c>
      <c r="AS57" s="140">
        <f t="shared" ref="AS57:AT57" si="125">AD57+AI57+AN57</f>
        <v>12015172</v>
      </c>
      <c r="AT57" s="144">
        <f t="shared" si="125"/>
        <v>7214534</v>
      </c>
      <c r="AU57" s="138">
        <f t="shared" si="18"/>
        <v>0.29778078299784549</v>
      </c>
      <c r="AV57" s="138">
        <f t="shared" si="19"/>
        <v>0.17880306528151058</v>
      </c>
      <c r="AW57" s="138"/>
      <c r="AX57" s="138"/>
      <c r="AY57" s="143"/>
      <c r="AZ57" s="143"/>
      <c r="BA57" s="143"/>
      <c r="BB57" s="143"/>
      <c r="BC57" s="143"/>
      <c r="BD57" s="143"/>
      <c r="BE57" s="143"/>
      <c r="BF57" s="143" t="s">
        <v>338</v>
      </c>
      <c r="BG57" s="143" t="s">
        <v>338</v>
      </c>
      <c r="BH57" s="143" t="s">
        <v>338</v>
      </c>
      <c r="BI57" s="143" t="s">
        <v>338</v>
      </c>
    </row>
    <row r="58" spans="1:61" x14ac:dyDescent="0.25">
      <c r="A58" s="136">
        <v>44314</v>
      </c>
      <c r="B58" s="137">
        <v>112301</v>
      </c>
      <c r="C58" s="140">
        <v>127317</v>
      </c>
      <c r="D58" s="140">
        <v>111063</v>
      </c>
      <c r="E58" s="138">
        <f t="shared" si="0"/>
        <v>1.1337120773635141</v>
      </c>
      <c r="F58" s="138">
        <f t="shared" si="1"/>
        <v>0.98897605542248068</v>
      </c>
      <c r="G58" s="137">
        <v>911631</v>
      </c>
      <c r="H58" s="140">
        <v>572898</v>
      </c>
      <c r="I58" s="140">
        <v>446748</v>
      </c>
      <c r="J58" s="138">
        <f t="shared" si="2"/>
        <v>0.62843189843258951</v>
      </c>
      <c r="K58" s="138">
        <f t="shared" si="3"/>
        <v>0.49005354139997431</v>
      </c>
      <c r="L58" s="137">
        <v>1976757</v>
      </c>
      <c r="M58" s="140">
        <v>1178054</v>
      </c>
      <c r="N58" s="140">
        <v>625051</v>
      </c>
      <c r="O58" s="138">
        <f t="shared" si="4"/>
        <v>0.59595286623494947</v>
      </c>
      <c r="P58" s="138">
        <f t="shared" si="5"/>
        <v>0.31620022086680355</v>
      </c>
      <c r="Q58" s="137">
        <v>3000689</v>
      </c>
      <c r="R58" s="137">
        <f t="shared" ref="R58:S58" si="126">C58+H58+M58</f>
        <v>1878269</v>
      </c>
      <c r="S58" s="137">
        <f t="shared" si="126"/>
        <v>1182862</v>
      </c>
      <c r="T58" s="139">
        <f t="shared" si="8"/>
        <v>0.62594590775651859</v>
      </c>
      <c r="U58" s="139">
        <f t="shared" si="9"/>
        <v>0.39419679946838876</v>
      </c>
      <c r="V58" s="139"/>
      <c r="W58" s="139"/>
      <c r="X58" s="139"/>
      <c r="Y58" s="139"/>
      <c r="Z58" s="139"/>
      <c r="AA58" s="139"/>
      <c r="AB58" s="139"/>
      <c r="AC58" s="137">
        <v>1468764</v>
      </c>
      <c r="AD58" s="140">
        <v>1489628</v>
      </c>
      <c r="AE58" s="140">
        <v>1350703</v>
      </c>
      <c r="AF58" s="138">
        <f t="shared" si="10"/>
        <v>1.0142051411935478</v>
      </c>
      <c r="AG58" s="138">
        <f t="shared" si="11"/>
        <v>0.91961880873986568</v>
      </c>
      <c r="AH58" s="140">
        <v>21553118</v>
      </c>
      <c r="AI58" s="140">
        <v>2484374</v>
      </c>
      <c r="AJ58" s="140">
        <v>1451949</v>
      </c>
      <c r="AK58" s="138">
        <f t="shared" si="12"/>
        <v>0.11526749865147122</v>
      </c>
      <c r="AL58" s="138">
        <f t="shared" si="13"/>
        <v>6.7366076685517154E-2</v>
      </c>
      <c r="AM58" s="137">
        <v>17327169</v>
      </c>
      <c r="AN58" s="140">
        <v>8175635</v>
      </c>
      <c r="AO58" s="140">
        <v>4608443</v>
      </c>
      <c r="AP58" s="138">
        <f t="shared" si="14"/>
        <v>0.4718390522998881</v>
      </c>
      <c r="AQ58" s="138">
        <f t="shared" si="15"/>
        <v>0.26596629836068431</v>
      </c>
      <c r="AR58" s="141">
        <f t="shared" si="16"/>
        <v>40349051</v>
      </c>
      <c r="AS58" s="140">
        <f t="shared" ref="AS58:AT58" si="127">AD58+AI58+AN58</f>
        <v>12149637</v>
      </c>
      <c r="AT58" s="144">
        <f t="shared" si="127"/>
        <v>7411095</v>
      </c>
      <c r="AU58" s="138">
        <f t="shared" si="18"/>
        <v>0.30111332729981677</v>
      </c>
      <c r="AV58" s="138">
        <f t="shared" si="19"/>
        <v>0.18367458010350726</v>
      </c>
      <c r="AW58" s="138"/>
      <c r="AX58" s="138"/>
      <c r="AY58" s="143"/>
      <c r="AZ58" s="143"/>
      <c r="BA58" s="143"/>
      <c r="BB58" s="143"/>
      <c r="BC58" s="143"/>
      <c r="BD58" s="143"/>
      <c r="BE58" s="143"/>
      <c r="BF58" s="143" t="s">
        <v>338</v>
      </c>
      <c r="BG58" s="143" t="s">
        <v>338</v>
      </c>
      <c r="BH58" s="143" t="s">
        <v>338</v>
      </c>
      <c r="BI58" s="143" t="s">
        <v>338</v>
      </c>
    </row>
    <row r="59" spans="1:61" x14ac:dyDescent="0.25">
      <c r="A59" s="136">
        <v>44315</v>
      </c>
      <c r="B59" s="137">
        <v>112301</v>
      </c>
      <c r="C59" s="140">
        <v>127525</v>
      </c>
      <c r="D59" s="140">
        <v>111399</v>
      </c>
      <c r="E59" s="138">
        <f t="shared" si="0"/>
        <v>1.1355642425267807</v>
      </c>
      <c r="F59" s="138">
        <f t="shared" si="1"/>
        <v>0.99196801453237282</v>
      </c>
      <c r="G59" s="137">
        <v>911631</v>
      </c>
      <c r="H59" s="140">
        <v>574631</v>
      </c>
      <c r="I59" s="140">
        <v>453025</v>
      </c>
      <c r="J59" s="138">
        <f t="shared" si="2"/>
        <v>0.6303328868807665</v>
      </c>
      <c r="K59" s="138">
        <f t="shared" si="3"/>
        <v>0.49693900273246522</v>
      </c>
      <c r="L59" s="137">
        <v>1976757</v>
      </c>
      <c r="M59" s="140">
        <v>1203940</v>
      </c>
      <c r="N59" s="140">
        <v>650068</v>
      </c>
      <c r="O59" s="138">
        <f t="shared" si="4"/>
        <v>0.60904805193556921</v>
      </c>
      <c r="P59" s="138">
        <f t="shared" si="5"/>
        <v>0.32885579765241757</v>
      </c>
      <c r="Q59" s="137">
        <v>3000689</v>
      </c>
      <c r="R59" s="137">
        <f t="shared" ref="R59:S59" si="128">C59+H59+M59</f>
        <v>1906096</v>
      </c>
      <c r="S59" s="137">
        <f t="shared" si="128"/>
        <v>1214492</v>
      </c>
      <c r="T59" s="139">
        <f t="shared" si="8"/>
        <v>0.63521944460088997</v>
      </c>
      <c r="U59" s="139">
        <f t="shared" si="9"/>
        <v>0.40473771190549906</v>
      </c>
      <c r="V59" s="139"/>
      <c r="W59" s="139"/>
      <c r="X59" s="139"/>
      <c r="Y59" s="139"/>
      <c r="Z59" s="139"/>
      <c r="AA59" s="139"/>
      <c r="AB59" s="139"/>
      <c r="AC59" s="137">
        <v>1468764</v>
      </c>
      <c r="AD59" s="140">
        <v>1491053</v>
      </c>
      <c r="AE59" s="140">
        <v>1352846</v>
      </c>
      <c r="AF59" s="138">
        <f t="shared" si="10"/>
        <v>1.0151753447116079</v>
      </c>
      <c r="AG59" s="138">
        <f t="shared" si="11"/>
        <v>0.92107785866211322</v>
      </c>
      <c r="AH59" s="140">
        <v>21553118</v>
      </c>
      <c r="AI59" s="140">
        <v>2520487</v>
      </c>
      <c r="AJ59" s="140">
        <v>1499869</v>
      </c>
      <c r="AK59" s="138">
        <f t="shared" si="12"/>
        <v>0.11694303348592069</v>
      </c>
      <c r="AL59" s="138">
        <f t="shared" si="13"/>
        <v>6.9589420890286038E-2</v>
      </c>
      <c r="AM59" s="137">
        <v>17327169</v>
      </c>
      <c r="AN59" s="140">
        <v>8294475</v>
      </c>
      <c r="AO59" s="140">
        <v>4730728</v>
      </c>
      <c r="AP59" s="138">
        <f t="shared" si="14"/>
        <v>0.47869764529912534</v>
      </c>
      <c r="AQ59" s="138">
        <f t="shared" si="15"/>
        <v>0.27302371206744735</v>
      </c>
      <c r="AR59" s="141">
        <f t="shared" si="16"/>
        <v>40349051</v>
      </c>
      <c r="AS59" s="140">
        <f t="shared" ref="AS59:AT59" si="129">AD59+AI59+AN59</f>
        <v>12306015</v>
      </c>
      <c r="AT59" s="144">
        <f t="shared" si="129"/>
        <v>7583443</v>
      </c>
      <c r="AU59" s="138">
        <f t="shared" si="18"/>
        <v>0.30498895748502236</v>
      </c>
      <c r="AV59" s="138">
        <f t="shared" si="19"/>
        <v>0.18794600646245682</v>
      </c>
      <c r="AW59" s="138"/>
      <c r="AX59" s="138"/>
      <c r="AY59" s="143"/>
      <c r="AZ59" s="143"/>
      <c r="BA59" s="143"/>
      <c r="BB59" s="143"/>
      <c r="BC59" s="143"/>
      <c r="BD59" s="143"/>
      <c r="BE59" s="143"/>
      <c r="BF59" s="143" t="s">
        <v>338</v>
      </c>
      <c r="BG59" s="143" t="s">
        <v>338</v>
      </c>
      <c r="BH59" s="143" t="s">
        <v>338</v>
      </c>
      <c r="BI59" s="143" t="s">
        <v>338</v>
      </c>
    </row>
    <row r="60" spans="1:61" x14ac:dyDescent="0.25">
      <c r="A60" s="136">
        <v>44316</v>
      </c>
      <c r="B60" s="137">
        <v>112301</v>
      </c>
      <c r="C60" s="140">
        <v>127800</v>
      </c>
      <c r="D60" s="140">
        <v>111554</v>
      </c>
      <c r="E60" s="138">
        <f t="shared" si="0"/>
        <v>1.1380130185839841</v>
      </c>
      <c r="F60" s="138">
        <f t="shared" si="1"/>
        <v>0.99334823376461479</v>
      </c>
      <c r="G60" s="137">
        <v>911631</v>
      </c>
      <c r="H60" s="140">
        <v>576085</v>
      </c>
      <c r="I60" s="140">
        <v>455627</v>
      </c>
      <c r="J60" s="138">
        <f t="shared" si="2"/>
        <v>0.63192783044894263</v>
      </c>
      <c r="K60" s="138">
        <f t="shared" si="3"/>
        <v>0.49979322774236506</v>
      </c>
      <c r="L60" s="137">
        <v>1976757</v>
      </c>
      <c r="M60" s="140">
        <v>1231164</v>
      </c>
      <c r="N60" s="140">
        <v>664088</v>
      </c>
      <c r="O60" s="138">
        <f t="shared" si="4"/>
        <v>0.62282010383673869</v>
      </c>
      <c r="P60" s="138">
        <f t="shared" si="5"/>
        <v>0.33594822226505333</v>
      </c>
      <c r="Q60" s="137">
        <v>3000689</v>
      </c>
      <c r="R60" s="137">
        <f t="shared" ref="R60:S60" si="130">C60+H60+M60</f>
        <v>1935049</v>
      </c>
      <c r="S60" s="137">
        <f t="shared" si="130"/>
        <v>1231269</v>
      </c>
      <c r="T60" s="139">
        <f t="shared" si="8"/>
        <v>0.64486822859683224</v>
      </c>
      <c r="U60" s="139">
        <f t="shared" si="9"/>
        <v>0.41032876116118666</v>
      </c>
      <c r="V60" s="139"/>
      <c r="W60" s="139"/>
      <c r="X60" s="139"/>
      <c r="Y60" s="139"/>
      <c r="Z60" s="139"/>
      <c r="AA60" s="139"/>
      <c r="AB60" s="139"/>
      <c r="AC60" s="137">
        <v>1468764</v>
      </c>
      <c r="AD60" s="140">
        <v>1492208</v>
      </c>
      <c r="AE60" s="140">
        <v>1353880</v>
      </c>
      <c r="AF60" s="138">
        <f t="shared" si="10"/>
        <v>1.0159617201946671</v>
      </c>
      <c r="AG60" s="138">
        <f t="shared" si="11"/>
        <v>0.92178185195170903</v>
      </c>
      <c r="AH60" s="140">
        <v>21553118</v>
      </c>
      <c r="AI60" s="140">
        <v>2545562</v>
      </c>
      <c r="AJ60" s="140">
        <v>1511246</v>
      </c>
      <c r="AK60" s="138">
        <f t="shared" si="12"/>
        <v>0.11810643824248537</v>
      </c>
      <c r="AL60" s="138">
        <f t="shared" si="13"/>
        <v>7.0117279550921591E-2</v>
      </c>
      <c r="AM60" s="137">
        <v>17327169</v>
      </c>
      <c r="AN60" s="140">
        <v>8383743</v>
      </c>
      <c r="AO60" s="140">
        <v>4781158</v>
      </c>
      <c r="AP60" s="138">
        <f t="shared" si="14"/>
        <v>0.48384955441942074</v>
      </c>
      <c r="AQ60" s="138">
        <f t="shared" si="15"/>
        <v>0.27593417020403044</v>
      </c>
      <c r="AR60" s="141">
        <f t="shared" si="16"/>
        <v>40349051</v>
      </c>
      <c r="AS60" s="140">
        <f t="shared" ref="AS60:AT60" si="131">AD60+AI60+AN60</f>
        <v>12421513</v>
      </c>
      <c r="AT60" s="144">
        <f t="shared" si="131"/>
        <v>7646284</v>
      </c>
      <c r="AU60" s="138">
        <f t="shared" si="18"/>
        <v>0.30785142877338056</v>
      </c>
      <c r="AV60" s="138">
        <f t="shared" si="19"/>
        <v>0.18950344086159548</v>
      </c>
      <c r="AW60" s="138"/>
      <c r="AX60" s="138"/>
      <c r="AY60" s="143"/>
      <c r="AZ60" s="143"/>
      <c r="BA60" s="143"/>
      <c r="BB60" s="143"/>
      <c r="BC60" s="143"/>
      <c r="BD60" s="143"/>
      <c r="BE60" s="143"/>
      <c r="BF60" s="143" t="s">
        <v>338</v>
      </c>
      <c r="BG60" s="143" t="s">
        <v>338</v>
      </c>
      <c r="BH60" s="143" t="s">
        <v>338</v>
      </c>
      <c r="BI60" s="143" t="s">
        <v>338</v>
      </c>
    </row>
    <row r="61" spans="1:61" x14ac:dyDescent="0.25">
      <c r="A61" s="136">
        <v>44317</v>
      </c>
      <c r="B61" s="137">
        <v>112301</v>
      </c>
      <c r="C61" s="140">
        <v>127812</v>
      </c>
      <c r="D61" s="140">
        <v>111574</v>
      </c>
      <c r="E61" s="138">
        <f t="shared" si="0"/>
        <v>1.1381198742664802</v>
      </c>
      <c r="F61" s="138">
        <f t="shared" si="1"/>
        <v>0.99352632656877504</v>
      </c>
      <c r="G61" s="137">
        <v>911631</v>
      </c>
      <c r="H61" s="140">
        <v>576250</v>
      </c>
      <c r="I61" s="140">
        <v>456820</v>
      </c>
      <c r="J61" s="138">
        <f t="shared" si="2"/>
        <v>0.63210882473281405</v>
      </c>
      <c r="K61" s="138">
        <f t="shared" si="3"/>
        <v>0.50110187126150818</v>
      </c>
      <c r="L61" s="137">
        <v>1976757</v>
      </c>
      <c r="M61" s="140">
        <v>1239584</v>
      </c>
      <c r="N61" s="140">
        <v>676798</v>
      </c>
      <c r="O61" s="138">
        <f t="shared" si="4"/>
        <v>0.62707960563690934</v>
      </c>
      <c r="P61" s="138">
        <f t="shared" si="5"/>
        <v>0.34237794529120169</v>
      </c>
      <c r="Q61" s="137">
        <v>3000689</v>
      </c>
      <c r="R61" s="137">
        <f t="shared" ref="R61:S61" si="132">C61+H61+M61</f>
        <v>1943646</v>
      </c>
      <c r="S61" s="137">
        <f t="shared" si="132"/>
        <v>1245192</v>
      </c>
      <c r="T61" s="139">
        <f t="shared" si="8"/>
        <v>0.64773323726650778</v>
      </c>
      <c r="U61" s="139">
        <f t="shared" si="9"/>
        <v>0.41496869552292825</v>
      </c>
      <c r="V61" s="139"/>
      <c r="W61" s="139"/>
      <c r="X61" s="139"/>
      <c r="Y61" s="139"/>
      <c r="Z61" s="139"/>
      <c r="AA61" s="139"/>
      <c r="AB61" s="139"/>
      <c r="AC61" s="137">
        <v>1468764</v>
      </c>
      <c r="AD61" s="140">
        <v>1492380</v>
      </c>
      <c r="AE61" s="140">
        <v>1354040</v>
      </c>
      <c r="AF61" s="138">
        <f t="shared" si="10"/>
        <v>1.0160788254614084</v>
      </c>
      <c r="AG61" s="138">
        <f t="shared" si="11"/>
        <v>0.92189078708356142</v>
      </c>
      <c r="AH61" s="140">
        <v>21553118</v>
      </c>
      <c r="AI61" s="140">
        <v>2548948</v>
      </c>
      <c r="AJ61" s="140">
        <v>1516279</v>
      </c>
      <c r="AK61" s="138">
        <f t="shared" si="12"/>
        <v>0.11826353848199597</v>
      </c>
      <c r="AL61" s="138">
        <f t="shared" si="13"/>
        <v>7.035079564822129E-2</v>
      </c>
      <c r="AM61" s="137">
        <v>17327169</v>
      </c>
      <c r="AN61" s="140">
        <v>8415096</v>
      </c>
      <c r="AO61" s="140">
        <v>4808166</v>
      </c>
      <c r="AP61" s="138">
        <f t="shared" si="14"/>
        <v>0.48565902485281931</v>
      </c>
      <c r="AQ61" s="138">
        <f t="shared" si="15"/>
        <v>0.27749287838076725</v>
      </c>
      <c r="AR61" s="141">
        <f t="shared" si="16"/>
        <v>40349051</v>
      </c>
      <c r="AS61" s="140">
        <f t="shared" ref="AS61:AT61" si="133">AD61+AI61+AN61</f>
        <v>12456424</v>
      </c>
      <c r="AT61" s="144">
        <f t="shared" si="133"/>
        <v>7678485</v>
      </c>
      <c r="AU61" s="138">
        <f t="shared" si="18"/>
        <v>0.3087166535837485</v>
      </c>
      <c r="AV61" s="138">
        <f t="shared" si="19"/>
        <v>0.19030150176270563</v>
      </c>
      <c r="AW61" s="138"/>
      <c r="AX61" s="138"/>
      <c r="AY61" s="143"/>
      <c r="AZ61" s="143"/>
      <c r="BA61" s="143"/>
      <c r="BB61" s="143"/>
      <c r="BC61" s="143"/>
      <c r="BD61" s="143"/>
      <c r="BE61" s="143"/>
      <c r="BF61" s="143" t="s">
        <v>338</v>
      </c>
      <c r="BG61" s="143" t="s">
        <v>338</v>
      </c>
      <c r="BH61" s="143" t="s">
        <v>338</v>
      </c>
      <c r="BI61" s="143" t="s">
        <v>338</v>
      </c>
    </row>
    <row r="62" spans="1:61" x14ac:dyDescent="0.25">
      <c r="A62" s="136">
        <v>44318</v>
      </c>
      <c r="B62" s="137">
        <v>112301</v>
      </c>
      <c r="C62" s="140">
        <v>127813</v>
      </c>
      <c r="D62" s="140">
        <v>111576</v>
      </c>
      <c r="E62" s="138">
        <f t="shared" si="0"/>
        <v>1.1381287789066883</v>
      </c>
      <c r="F62" s="138">
        <f t="shared" si="1"/>
        <v>0.99354413584919099</v>
      </c>
      <c r="G62" s="137">
        <v>911631</v>
      </c>
      <c r="H62" s="140">
        <v>576362</v>
      </c>
      <c r="I62" s="140">
        <v>457590</v>
      </c>
      <c r="J62" s="138">
        <f t="shared" si="2"/>
        <v>0.6322316814588359</v>
      </c>
      <c r="K62" s="138">
        <f t="shared" si="3"/>
        <v>0.50194651125290823</v>
      </c>
      <c r="L62" s="137">
        <v>1976757</v>
      </c>
      <c r="M62" s="140">
        <v>1243811</v>
      </c>
      <c r="N62" s="140">
        <v>687800</v>
      </c>
      <c r="O62" s="138">
        <f t="shared" si="4"/>
        <v>0.62921795648124679</v>
      </c>
      <c r="P62" s="138">
        <f t="shared" si="5"/>
        <v>0.34794362685954822</v>
      </c>
      <c r="Q62" s="137">
        <v>3000689</v>
      </c>
      <c r="R62" s="137">
        <f t="shared" ref="R62:S62" si="134">C62+H62+M62</f>
        <v>1947986</v>
      </c>
      <c r="S62" s="137">
        <f t="shared" si="134"/>
        <v>1256966</v>
      </c>
      <c r="T62" s="139">
        <f t="shared" si="8"/>
        <v>0.64917957175835284</v>
      </c>
      <c r="U62" s="139">
        <f t="shared" si="9"/>
        <v>0.41889246103144978</v>
      </c>
      <c r="V62" s="139"/>
      <c r="W62" s="139"/>
      <c r="X62" s="139"/>
      <c r="Y62" s="139"/>
      <c r="Z62" s="139"/>
      <c r="AA62" s="139"/>
      <c r="AB62" s="139"/>
      <c r="AC62" s="137">
        <v>1468764</v>
      </c>
      <c r="AD62" s="140">
        <v>1492468</v>
      </c>
      <c r="AE62" s="140">
        <v>1354159</v>
      </c>
      <c r="AF62" s="138">
        <f t="shared" si="10"/>
        <v>1.0161387397839272</v>
      </c>
      <c r="AG62" s="138">
        <f t="shared" si="11"/>
        <v>0.92197180758787656</v>
      </c>
      <c r="AH62" s="140">
        <v>21553118</v>
      </c>
      <c r="AI62" s="140">
        <v>2550173</v>
      </c>
      <c r="AJ62" s="140">
        <v>1519705</v>
      </c>
      <c r="AK62" s="138">
        <f t="shared" si="12"/>
        <v>0.11832037480609534</v>
      </c>
      <c r="AL62" s="138">
        <f t="shared" si="13"/>
        <v>7.0509751767702467E-2</v>
      </c>
      <c r="AM62" s="137">
        <v>17327169</v>
      </c>
      <c r="AN62" s="140">
        <v>8426025</v>
      </c>
      <c r="AO62" s="140">
        <v>4829246</v>
      </c>
      <c r="AP62" s="138">
        <f t="shared" si="14"/>
        <v>0.48628976839782656</v>
      </c>
      <c r="AQ62" s="138">
        <f t="shared" si="15"/>
        <v>0.27870946488719539</v>
      </c>
      <c r="AR62" s="141">
        <f t="shared" si="16"/>
        <v>40349051</v>
      </c>
      <c r="AS62" s="140">
        <f t="shared" ref="AS62:AT62" si="135">AD62+AI62+AN62</f>
        <v>12468666</v>
      </c>
      <c r="AT62" s="144">
        <f t="shared" si="135"/>
        <v>7703110</v>
      </c>
      <c r="AU62" s="138">
        <f t="shared" si="18"/>
        <v>0.3090200560107349</v>
      </c>
      <c r="AV62" s="138">
        <f t="shared" si="19"/>
        <v>0.19091180112265838</v>
      </c>
      <c r="AW62" s="138"/>
      <c r="AX62" s="138"/>
      <c r="AY62" s="143"/>
      <c r="AZ62" s="143"/>
      <c r="BA62" s="143"/>
      <c r="BB62" s="143"/>
      <c r="BC62" s="143"/>
      <c r="BD62" s="143"/>
      <c r="BE62" s="143"/>
      <c r="BF62" s="143" t="s">
        <v>338</v>
      </c>
      <c r="BG62" s="143" t="s">
        <v>338</v>
      </c>
      <c r="BH62" s="143" t="s">
        <v>338</v>
      </c>
      <c r="BI62" s="143" t="s">
        <v>338</v>
      </c>
    </row>
    <row r="63" spans="1:61" x14ac:dyDescent="0.25">
      <c r="A63" s="136">
        <v>44319</v>
      </c>
      <c r="B63" s="137">
        <v>112301</v>
      </c>
      <c r="C63" s="140">
        <v>128009</v>
      </c>
      <c r="D63" s="140">
        <v>111795</v>
      </c>
      <c r="E63" s="138">
        <f t="shared" si="0"/>
        <v>1.1398740883874587</v>
      </c>
      <c r="F63" s="138">
        <f t="shared" si="1"/>
        <v>0.99549425205474573</v>
      </c>
      <c r="G63" s="137">
        <v>911631</v>
      </c>
      <c r="H63" s="140">
        <v>577667</v>
      </c>
      <c r="I63" s="140">
        <v>462354</v>
      </c>
      <c r="J63" s="138">
        <f t="shared" si="2"/>
        <v>0.63366318170400082</v>
      </c>
      <c r="K63" s="138">
        <f t="shared" si="3"/>
        <v>0.50717230984905082</v>
      </c>
      <c r="L63" s="137">
        <v>1976757</v>
      </c>
      <c r="M63" s="140">
        <v>1262887</v>
      </c>
      <c r="N63" s="140">
        <v>712884</v>
      </c>
      <c r="O63" s="138">
        <f t="shared" si="4"/>
        <v>0.63886810569027963</v>
      </c>
      <c r="P63" s="138">
        <f t="shared" si="5"/>
        <v>0.36063309754309708</v>
      </c>
      <c r="Q63" s="137">
        <v>3000689</v>
      </c>
      <c r="R63" s="137">
        <f t="shared" ref="R63:S63" si="136">C63+H63+M63</f>
        <v>1968563</v>
      </c>
      <c r="S63" s="137">
        <f t="shared" si="136"/>
        <v>1287033</v>
      </c>
      <c r="T63" s="139">
        <f t="shared" si="8"/>
        <v>0.65603699683639327</v>
      </c>
      <c r="U63" s="139">
        <f t="shared" si="9"/>
        <v>0.42891249309741863</v>
      </c>
      <c r="V63" s="139"/>
      <c r="W63" s="139"/>
      <c r="X63" s="139"/>
      <c r="Y63" s="139"/>
      <c r="Z63" s="139"/>
      <c r="AA63" s="139"/>
      <c r="AB63" s="139"/>
      <c r="AC63" s="137">
        <v>1468764</v>
      </c>
      <c r="AD63" s="140">
        <v>1493588</v>
      </c>
      <c r="AE63" s="140">
        <v>1355942</v>
      </c>
      <c r="AF63" s="138">
        <f t="shared" si="10"/>
        <v>1.0169012857068938</v>
      </c>
      <c r="AG63" s="138">
        <f t="shared" si="11"/>
        <v>0.92318575346345633</v>
      </c>
      <c r="AH63" s="140">
        <v>21553118</v>
      </c>
      <c r="AI63" s="140">
        <v>2574276</v>
      </c>
      <c r="AJ63" s="140">
        <v>1559008</v>
      </c>
      <c r="AK63" s="138">
        <f t="shared" si="12"/>
        <v>0.11943868167937464</v>
      </c>
      <c r="AL63" s="138">
        <f t="shared" si="13"/>
        <v>7.2333293029806636E-2</v>
      </c>
      <c r="AM63" s="137">
        <v>17327169</v>
      </c>
      <c r="AN63" s="140">
        <v>8503507</v>
      </c>
      <c r="AO63" s="140">
        <v>4935457</v>
      </c>
      <c r="AP63" s="138">
        <f t="shared" si="14"/>
        <v>0.49076147407577081</v>
      </c>
      <c r="AQ63" s="138">
        <f t="shared" si="15"/>
        <v>0.28483920252639078</v>
      </c>
      <c r="AR63" s="141">
        <f t="shared" si="16"/>
        <v>40349051</v>
      </c>
      <c r="AS63" s="140">
        <f t="shared" ref="AS63:AT63" si="137">AD63+AI63+AN63</f>
        <v>12571371</v>
      </c>
      <c r="AT63" s="144">
        <f t="shared" si="137"/>
        <v>7850407</v>
      </c>
      <c r="AU63" s="138">
        <f t="shared" si="18"/>
        <v>0.31156546903668192</v>
      </c>
      <c r="AV63" s="138">
        <f t="shared" si="19"/>
        <v>0.19456237025252465</v>
      </c>
      <c r="AW63" s="138"/>
      <c r="AX63" s="138"/>
      <c r="AY63" s="143"/>
      <c r="AZ63" s="143"/>
      <c r="BA63" s="143"/>
      <c r="BB63" s="143"/>
      <c r="BC63" s="143"/>
      <c r="BD63" s="143"/>
      <c r="BE63" s="143"/>
      <c r="BF63" s="143" t="s">
        <v>338</v>
      </c>
      <c r="BG63" s="143" t="s">
        <v>338</v>
      </c>
      <c r="BH63" s="143" t="s">
        <v>338</v>
      </c>
      <c r="BI63" s="143" t="s">
        <v>338</v>
      </c>
    </row>
    <row r="64" spans="1:61" x14ac:dyDescent="0.25">
      <c r="A64" s="136">
        <v>44320</v>
      </c>
      <c r="B64" s="137">
        <v>112301</v>
      </c>
      <c r="C64" s="140">
        <v>128375</v>
      </c>
      <c r="D64" s="140">
        <v>112125</v>
      </c>
      <c r="E64" s="138">
        <f t="shared" si="0"/>
        <v>1.1431331867035912</v>
      </c>
      <c r="F64" s="138">
        <f t="shared" si="1"/>
        <v>0.99843278332338981</v>
      </c>
      <c r="G64" s="137">
        <v>911631</v>
      </c>
      <c r="H64" s="140">
        <v>578758</v>
      </c>
      <c r="I64" s="140">
        <v>466027</v>
      </c>
      <c r="J64" s="138">
        <f t="shared" si="2"/>
        <v>0.63485993784765982</v>
      </c>
      <c r="K64" s="138">
        <f t="shared" si="3"/>
        <v>0.5112013523015343</v>
      </c>
      <c r="L64" s="137">
        <v>1976757</v>
      </c>
      <c r="M64" s="140">
        <v>1287142</v>
      </c>
      <c r="N64" s="140">
        <v>735527</v>
      </c>
      <c r="O64" s="138">
        <f t="shared" si="4"/>
        <v>0.65113820262176891</v>
      </c>
      <c r="P64" s="138">
        <f t="shared" si="5"/>
        <v>0.3720877174078554</v>
      </c>
      <c r="Q64" s="137">
        <v>3000689</v>
      </c>
      <c r="R64" s="137">
        <f t="shared" ref="R64:S64" si="138">C64+H64+M64</f>
        <v>1994275</v>
      </c>
      <c r="S64" s="137">
        <f t="shared" si="138"/>
        <v>1313679</v>
      </c>
      <c r="T64" s="139">
        <f t="shared" si="8"/>
        <v>0.66460569555858673</v>
      </c>
      <c r="U64" s="139">
        <f t="shared" si="9"/>
        <v>0.43779245366647462</v>
      </c>
      <c r="V64" s="139"/>
      <c r="W64" s="139"/>
      <c r="X64" s="139"/>
      <c r="Y64" s="139"/>
      <c r="Z64" s="139"/>
      <c r="AA64" s="139"/>
      <c r="AB64" s="139"/>
      <c r="AC64" s="137">
        <v>1468764</v>
      </c>
      <c r="AD64" s="140">
        <v>1494938</v>
      </c>
      <c r="AE64" s="140">
        <v>1357804</v>
      </c>
      <c r="AF64" s="138">
        <f t="shared" si="10"/>
        <v>1.0178204258818979</v>
      </c>
      <c r="AG64" s="138">
        <f t="shared" si="11"/>
        <v>0.92445348606038824</v>
      </c>
      <c r="AH64" s="140">
        <v>21553118</v>
      </c>
      <c r="AI64" s="140">
        <v>2600188</v>
      </c>
      <c r="AJ64" s="140">
        <v>1592578</v>
      </c>
      <c r="AK64" s="138">
        <f t="shared" si="12"/>
        <v>0.12064092072432397</v>
      </c>
      <c r="AL64" s="138">
        <f t="shared" si="13"/>
        <v>7.3890840295125743E-2</v>
      </c>
      <c r="AM64" s="137">
        <v>17327169</v>
      </c>
      <c r="AN64" s="140">
        <v>8603702</v>
      </c>
      <c r="AO64" s="140">
        <v>5051854</v>
      </c>
      <c r="AP64" s="138">
        <f t="shared" si="14"/>
        <v>0.49654401131540876</v>
      </c>
      <c r="AQ64" s="138">
        <f t="shared" si="15"/>
        <v>0.29155680307614013</v>
      </c>
      <c r="AR64" s="141">
        <f t="shared" si="16"/>
        <v>40349051</v>
      </c>
      <c r="AS64" s="140">
        <f t="shared" ref="AS64:AT64" si="139">AD64+AI64+AN64</f>
        <v>12698828</v>
      </c>
      <c r="AT64" s="144">
        <f t="shared" si="139"/>
        <v>8002236</v>
      </c>
      <c r="AU64" s="138">
        <f t="shared" si="18"/>
        <v>0.31472432895633656</v>
      </c>
      <c r="AV64" s="138">
        <f t="shared" si="19"/>
        <v>0.19832525924835259</v>
      </c>
      <c r="AW64" s="138"/>
      <c r="AX64" s="138"/>
      <c r="AY64" s="143"/>
      <c r="AZ64" s="143"/>
      <c r="BA64" s="143"/>
      <c r="BB64" s="143"/>
      <c r="BC64" s="143"/>
      <c r="BD64" s="143"/>
      <c r="BE64" s="143"/>
      <c r="BF64" s="143" t="s">
        <v>338</v>
      </c>
      <c r="BG64" s="143" t="s">
        <v>338</v>
      </c>
      <c r="BH64" s="143" t="s">
        <v>338</v>
      </c>
      <c r="BI64" s="143" t="s">
        <v>338</v>
      </c>
    </row>
    <row r="65" spans="1:61" x14ac:dyDescent="0.25">
      <c r="A65" s="136">
        <v>44321</v>
      </c>
      <c r="B65" s="137">
        <v>112301</v>
      </c>
      <c r="C65" s="140">
        <v>128537</v>
      </c>
      <c r="D65" s="140">
        <v>112434</v>
      </c>
      <c r="E65" s="138">
        <f t="shared" si="0"/>
        <v>1.1445757384172892</v>
      </c>
      <c r="F65" s="138">
        <f t="shared" si="1"/>
        <v>1.0011843171476658</v>
      </c>
      <c r="G65" s="137">
        <v>911631</v>
      </c>
      <c r="H65" s="140">
        <v>579595</v>
      </c>
      <c r="I65" s="140">
        <v>470116</v>
      </c>
      <c r="J65" s="138">
        <f t="shared" si="2"/>
        <v>0.63577807248766227</v>
      </c>
      <c r="K65" s="138">
        <f t="shared" si="3"/>
        <v>0.51568671973638458</v>
      </c>
      <c r="L65" s="137">
        <v>1976757</v>
      </c>
      <c r="M65" s="140">
        <v>1319068</v>
      </c>
      <c r="N65" s="140">
        <v>756711</v>
      </c>
      <c r="O65" s="138">
        <f t="shared" si="4"/>
        <v>0.66728889792726165</v>
      </c>
      <c r="P65" s="138">
        <f t="shared" si="5"/>
        <v>0.38280425970415177</v>
      </c>
      <c r="Q65" s="137">
        <v>3000689</v>
      </c>
      <c r="R65" s="137">
        <f t="shared" ref="R65:S65" si="140">C65+H65+M65</f>
        <v>2027200</v>
      </c>
      <c r="S65" s="137">
        <f t="shared" si="140"/>
        <v>1339261</v>
      </c>
      <c r="T65" s="139">
        <f t="shared" si="8"/>
        <v>0.675578175545683</v>
      </c>
      <c r="U65" s="139">
        <f t="shared" si="9"/>
        <v>0.44631782900527178</v>
      </c>
      <c r="V65" s="139"/>
      <c r="W65" s="139"/>
      <c r="X65" s="139"/>
      <c r="Y65" s="139"/>
      <c r="Z65" s="139"/>
      <c r="AA65" s="139"/>
      <c r="AB65" s="139"/>
      <c r="AC65" s="137">
        <v>1468764</v>
      </c>
      <c r="AD65" s="140">
        <v>1496358</v>
      </c>
      <c r="AE65" s="140">
        <v>1359726</v>
      </c>
      <c r="AF65" s="138">
        <f t="shared" si="10"/>
        <v>1.0187872251770878</v>
      </c>
      <c r="AG65" s="138">
        <f t="shared" si="11"/>
        <v>0.92576206933176464</v>
      </c>
      <c r="AH65" s="140">
        <v>21553118</v>
      </c>
      <c r="AI65" s="140">
        <v>2630996</v>
      </c>
      <c r="AJ65" s="140">
        <v>1632325</v>
      </c>
      <c r="AK65" s="138">
        <f t="shared" si="12"/>
        <v>0.12207031947767372</v>
      </c>
      <c r="AL65" s="138">
        <f t="shared" si="13"/>
        <v>7.5734981824903472E-2</v>
      </c>
      <c r="AM65" s="137">
        <v>17327169</v>
      </c>
      <c r="AN65" s="140">
        <v>8723790</v>
      </c>
      <c r="AO65" s="140">
        <v>5173811</v>
      </c>
      <c r="AP65" s="138">
        <f t="shared" si="14"/>
        <v>0.5034746299294478</v>
      </c>
      <c r="AQ65" s="138">
        <f t="shared" si="15"/>
        <v>0.29859528697388477</v>
      </c>
      <c r="AR65" s="141">
        <f t="shared" si="16"/>
        <v>40349051</v>
      </c>
      <c r="AS65" s="140">
        <f t="shared" ref="AS65:AT65" si="141">AD65+AI65+AN65</f>
        <v>12851144</v>
      </c>
      <c r="AT65" s="144">
        <f t="shared" si="141"/>
        <v>8165862</v>
      </c>
      <c r="AU65" s="138">
        <f t="shared" si="18"/>
        <v>0.31849928762884661</v>
      </c>
      <c r="AV65" s="138">
        <f t="shared" si="19"/>
        <v>0.20238052191115968</v>
      </c>
      <c r="AW65" s="138"/>
      <c r="AX65" s="138"/>
      <c r="AY65" s="143"/>
      <c r="AZ65" s="143"/>
      <c r="BA65" s="143"/>
      <c r="BB65" s="143"/>
      <c r="BC65" s="143"/>
      <c r="BD65" s="143"/>
      <c r="BE65" s="143"/>
      <c r="BF65" s="143" t="s">
        <v>338</v>
      </c>
      <c r="BG65" s="143" t="s">
        <v>338</v>
      </c>
      <c r="BH65" s="143" t="s">
        <v>338</v>
      </c>
      <c r="BI65" s="143" t="s">
        <v>338</v>
      </c>
    </row>
    <row r="66" spans="1:61" x14ac:dyDescent="0.25">
      <c r="A66" s="136">
        <v>44322</v>
      </c>
      <c r="B66" s="137">
        <v>112301</v>
      </c>
      <c r="C66" s="140">
        <v>128715</v>
      </c>
      <c r="D66" s="140">
        <v>112784</v>
      </c>
      <c r="E66" s="138">
        <f t="shared" si="0"/>
        <v>1.1461607643743155</v>
      </c>
      <c r="F66" s="138">
        <f t="shared" si="1"/>
        <v>1.00430094122047</v>
      </c>
      <c r="G66" s="137">
        <v>911631</v>
      </c>
      <c r="H66" s="140">
        <v>581010</v>
      </c>
      <c r="I66" s="140">
        <v>475633</v>
      </c>
      <c r="J66" s="138">
        <f t="shared" si="2"/>
        <v>0.63733023558874147</v>
      </c>
      <c r="K66" s="138">
        <f t="shared" si="3"/>
        <v>0.52173851042801311</v>
      </c>
      <c r="L66" s="137">
        <v>1976757</v>
      </c>
      <c r="M66" s="140">
        <v>1355054</v>
      </c>
      <c r="N66" s="140">
        <v>778273</v>
      </c>
      <c r="O66" s="138">
        <f t="shared" si="4"/>
        <v>0.68549346227179164</v>
      </c>
      <c r="P66" s="138">
        <f t="shared" si="5"/>
        <v>0.39371202429028962</v>
      </c>
      <c r="Q66" s="137">
        <v>3000689</v>
      </c>
      <c r="R66" s="137">
        <f t="shared" ref="R66:S66" si="142">C66+H66+M66</f>
        <v>2064779</v>
      </c>
      <c r="S66" s="137">
        <f t="shared" si="142"/>
        <v>1366690</v>
      </c>
      <c r="T66" s="139">
        <f t="shared" si="8"/>
        <v>0.6881016326583661</v>
      </c>
      <c r="U66" s="139">
        <f t="shared" si="9"/>
        <v>0.45545872964509149</v>
      </c>
      <c r="V66" s="139"/>
      <c r="W66" s="139"/>
      <c r="X66" s="139"/>
      <c r="Y66" s="139"/>
      <c r="Z66" s="139"/>
      <c r="AA66" s="139"/>
      <c r="AB66" s="139"/>
      <c r="AC66" s="137">
        <v>1468764</v>
      </c>
      <c r="AD66" s="140">
        <v>1497332</v>
      </c>
      <c r="AE66" s="140">
        <v>1361268</v>
      </c>
      <c r="AF66" s="138">
        <f t="shared" si="10"/>
        <v>1.0194503677922389</v>
      </c>
      <c r="AG66" s="138">
        <f t="shared" si="11"/>
        <v>0.92681193166499176</v>
      </c>
      <c r="AH66" s="140">
        <v>21553118</v>
      </c>
      <c r="AI66" s="140">
        <v>2660457</v>
      </c>
      <c r="AJ66" s="140">
        <v>1670766</v>
      </c>
      <c r="AK66" s="138">
        <f t="shared" si="12"/>
        <v>0.12343722147301379</v>
      </c>
      <c r="AL66" s="138">
        <f t="shared" si="13"/>
        <v>7.7518528873641385E-2</v>
      </c>
      <c r="AM66" s="137">
        <v>17327169</v>
      </c>
      <c r="AN66" s="140">
        <v>8837180</v>
      </c>
      <c r="AO66" s="140">
        <v>5285372</v>
      </c>
      <c r="AP66" s="138">
        <f t="shared" si="14"/>
        <v>0.51001868799225081</v>
      </c>
      <c r="AQ66" s="138">
        <f t="shared" si="15"/>
        <v>0.30503378826627708</v>
      </c>
      <c r="AR66" s="141">
        <f t="shared" si="16"/>
        <v>40349051</v>
      </c>
      <c r="AS66" s="140">
        <f t="shared" ref="AS66:AT66" si="143">AD66+AI66+AN66</f>
        <v>12994969</v>
      </c>
      <c r="AT66" s="144">
        <f t="shared" si="143"/>
        <v>8317406</v>
      </c>
      <c r="AU66" s="138">
        <f t="shared" si="18"/>
        <v>0.32206380764692583</v>
      </c>
      <c r="AV66" s="138">
        <f t="shared" si="19"/>
        <v>0.20613634754383692</v>
      </c>
      <c r="AW66" s="138"/>
      <c r="AX66" s="138"/>
      <c r="AY66" s="143"/>
      <c r="AZ66" s="143"/>
      <c r="BA66" s="143"/>
      <c r="BB66" s="143"/>
      <c r="BC66" s="143"/>
      <c r="BD66" s="143"/>
      <c r="BE66" s="143"/>
      <c r="BF66" s="143" t="s">
        <v>338</v>
      </c>
      <c r="BG66" s="143" t="s">
        <v>338</v>
      </c>
      <c r="BH66" s="143" t="s">
        <v>338</v>
      </c>
      <c r="BI66" s="143" t="s">
        <v>338</v>
      </c>
    </row>
    <row r="67" spans="1:61" x14ac:dyDescent="0.25">
      <c r="A67" s="136">
        <v>44323</v>
      </c>
      <c r="B67" s="137">
        <v>112301</v>
      </c>
      <c r="C67" s="140">
        <v>128893</v>
      </c>
      <c r="D67" s="140">
        <v>113107</v>
      </c>
      <c r="E67" s="138">
        <f t="shared" si="0"/>
        <v>1.1477457903313417</v>
      </c>
      <c r="F67" s="138">
        <f t="shared" si="1"/>
        <v>1.0071771400076579</v>
      </c>
      <c r="G67" s="137">
        <v>911631</v>
      </c>
      <c r="H67" s="140">
        <v>581932</v>
      </c>
      <c r="I67" s="140">
        <v>482803</v>
      </c>
      <c r="J67" s="138">
        <f t="shared" si="2"/>
        <v>0.638341609708314</v>
      </c>
      <c r="K67" s="138">
        <f t="shared" si="3"/>
        <v>0.52960353476351729</v>
      </c>
      <c r="L67" s="137">
        <v>1976757</v>
      </c>
      <c r="M67" s="140">
        <v>1388224</v>
      </c>
      <c r="N67" s="140">
        <v>799276</v>
      </c>
      <c r="O67" s="138">
        <f t="shared" si="4"/>
        <v>0.70227347114491057</v>
      </c>
      <c r="P67" s="138">
        <f t="shared" si="5"/>
        <v>0.40433700247425453</v>
      </c>
      <c r="Q67" s="137">
        <v>3000689</v>
      </c>
      <c r="R67" s="137">
        <f t="shared" ref="R67:S67" si="144">C67+H67+M67</f>
        <v>2099049</v>
      </c>
      <c r="S67" s="137">
        <f t="shared" si="144"/>
        <v>1395186</v>
      </c>
      <c r="T67" s="139">
        <f t="shared" si="8"/>
        <v>0.69952234303521621</v>
      </c>
      <c r="U67" s="139">
        <f t="shared" si="9"/>
        <v>0.46495521528555611</v>
      </c>
      <c r="V67" s="139"/>
      <c r="W67" s="139"/>
      <c r="X67" s="139"/>
      <c r="Y67" s="139"/>
      <c r="Z67" s="139"/>
      <c r="AA67" s="139"/>
      <c r="AB67" s="139"/>
      <c r="AC67" s="137">
        <v>1468764</v>
      </c>
      <c r="AD67" s="140">
        <v>1498947</v>
      </c>
      <c r="AE67" s="140">
        <v>1363159</v>
      </c>
      <c r="AF67" s="138">
        <f t="shared" si="10"/>
        <v>1.0205499317793736</v>
      </c>
      <c r="AG67" s="138">
        <f t="shared" si="11"/>
        <v>0.92809940875457186</v>
      </c>
      <c r="AH67" s="140">
        <v>21553118</v>
      </c>
      <c r="AI67" s="140">
        <v>2691305</v>
      </c>
      <c r="AJ67" s="140">
        <v>1708253</v>
      </c>
      <c r="AK67" s="138">
        <f t="shared" si="12"/>
        <v>0.12486847610633413</v>
      </c>
      <c r="AL67" s="138">
        <f t="shared" si="13"/>
        <v>7.9257813185080697E-2</v>
      </c>
      <c r="AM67" s="137">
        <v>17327169</v>
      </c>
      <c r="AN67" s="140">
        <v>8989745</v>
      </c>
      <c r="AO67" s="140">
        <v>5413948</v>
      </c>
      <c r="AP67" s="138">
        <f t="shared" si="14"/>
        <v>0.51882364626327593</v>
      </c>
      <c r="AQ67" s="138">
        <f t="shared" si="15"/>
        <v>0.31245427340150028</v>
      </c>
      <c r="AR67" s="141">
        <f t="shared" si="16"/>
        <v>40349051</v>
      </c>
      <c r="AS67" s="140">
        <f t="shared" ref="AS67:AT67" si="145">AD67+AI67+AN67</f>
        <v>13179997</v>
      </c>
      <c r="AT67" s="144">
        <f t="shared" si="145"/>
        <v>8485360</v>
      </c>
      <c r="AU67" s="138">
        <f t="shared" si="18"/>
        <v>0.32664949170675661</v>
      </c>
      <c r="AV67" s="138">
        <f t="shared" si="19"/>
        <v>0.21029887419161358</v>
      </c>
      <c r="AW67" s="138"/>
      <c r="AX67" s="138"/>
      <c r="AY67" s="143"/>
      <c r="AZ67" s="143"/>
      <c r="BA67" s="143"/>
      <c r="BB67" s="143"/>
      <c r="BC67" s="143"/>
      <c r="BD67" s="143"/>
      <c r="BE67" s="143"/>
      <c r="BF67" s="143" t="s">
        <v>338</v>
      </c>
      <c r="BG67" s="143" t="s">
        <v>338</v>
      </c>
      <c r="BH67" s="143" t="s">
        <v>338</v>
      </c>
      <c r="BI67" s="143" t="s">
        <v>338</v>
      </c>
    </row>
    <row r="68" spans="1:61" x14ac:dyDescent="0.25">
      <c r="A68" s="136">
        <v>44324</v>
      </c>
      <c r="B68" s="137">
        <v>112301</v>
      </c>
      <c r="C68" s="140">
        <v>128918</v>
      </c>
      <c r="D68" s="140">
        <v>113180</v>
      </c>
      <c r="E68" s="138">
        <f t="shared" si="0"/>
        <v>1.1479684063365421</v>
      </c>
      <c r="F68" s="138">
        <f t="shared" si="1"/>
        <v>1.007827178742843</v>
      </c>
      <c r="G68" s="137">
        <v>911631</v>
      </c>
      <c r="H68" s="140">
        <v>582375</v>
      </c>
      <c r="I68" s="140">
        <v>484444</v>
      </c>
      <c r="J68" s="138">
        <f t="shared" si="2"/>
        <v>0.63882755193713248</v>
      </c>
      <c r="K68" s="138">
        <f t="shared" si="3"/>
        <v>0.53140360518674767</v>
      </c>
      <c r="L68" s="137">
        <v>1976757</v>
      </c>
      <c r="M68" s="140">
        <v>1405753</v>
      </c>
      <c r="N68" s="140">
        <v>808129</v>
      </c>
      <c r="O68" s="138">
        <f t="shared" si="4"/>
        <v>0.71114102542699986</v>
      </c>
      <c r="P68" s="138">
        <f t="shared" si="5"/>
        <v>0.40881554991331764</v>
      </c>
      <c r="Q68" s="137">
        <v>3000689</v>
      </c>
      <c r="R68" s="137">
        <f t="shared" ref="R68:S68" si="146">C68+H68+M68</f>
        <v>2117046</v>
      </c>
      <c r="S68" s="137">
        <f t="shared" si="146"/>
        <v>1405753</v>
      </c>
      <c r="T68" s="139">
        <f t="shared" si="8"/>
        <v>0.7055199655812382</v>
      </c>
      <c r="U68" s="139">
        <f t="shared" si="9"/>
        <v>0.46847673984208293</v>
      </c>
      <c r="V68" s="139"/>
      <c r="W68" s="139"/>
      <c r="X68" s="139"/>
      <c r="Y68" s="139"/>
      <c r="Z68" s="139"/>
      <c r="AA68" s="139"/>
      <c r="AB68" s="139"/>
      <c r="AC68" s="137">
        <v>1468764</v>
      </c>
      <c r="AD68" s="140">
        <v>1499656</v>
      </c>
      <c r="AE68" s="140">
        <v>1364428</v>
      </c>
      <c r="AF68" s="138">
        <f t="shared" si="10"/>
        <v>1.0210326505823943</v>
      </c>
      <c r="AG68" s="138">
        <f t="shared" si="11"/>
        <v>0.92896340051907589</v>
      </c>
      <c r="AH68" s="140">
        <v>21553118</v>
      </c>
      <c r="AI68" s="140">
        <v>2724661</v>
      </c>
      <c r="AJ68" s="140">
        <v>1742105</v>
      </c>
      <c r="AK68" s="138">
        <f t="shared" si="12"/>
        <v>0.12641609441381058</v>
      </c>
      <c r="AL68" s="138">
        <f t="shared" si="13"/>
        <v>8.082844440419247E-2</v>
      </c>
      <c r="AM68" s="137">
        <v>17327169</v>
      </c>
      <c r="AN68" s="140">
        <v>9096369</v>
      </c>
      <c r="AO68" s="140">
        <v>5504931</v>
      </c>
      <c r="AP68" s="138">
        <f t="shared" si="14"/>
        <v>0.5249772193022415</v>
      </c>
      <c r="AQ68" s="138">
        <f t="shared" si="15"/>
        <v>0.31770516002931581</v>
      </c>
      <c r="AR68" s="141">
        <f t="shared" si="16"/>
        <v>40349051</v>
      </c>
      <c r="AS68" s="140">
        <f t="shared" ref="AS68:AT68" si="147">AD68+AI68+AN68</f>
        <v>13320686</v>
      </c>
      <c r="AT68" s="144">
        <f t="shared" si="147"/>
        <v>8611464</v>
      </c>
      <c r="AU68" s="138">
        <f t="shared" si="18"/>
        <v>0.33013628994644756</v>
      </c>
      <c r="AV68" s="138">
        <f t="shared" si="19"/>
        <v>0.21342420172410004</v>
      </c>
      <c r="AW68" s="138"/>
      <c r="AX68" s="138"/>
      <c r="AY68" s="143"/>
      <c r="AZ68" s="143"/>
      <c r="BA68" s="143"/>
      <c r="BB68" s="143"/>
      <c r="BC68" s="143"/>
      <c r="BD68" s="143"/>
      <c r="BE68" s="143"/>
      <c r="BF68" s="143" t="s">
        <v>338</v>
      </c>
      <c r="BG68" s="143" t="s">
        <v>338</v>
      </c>
      <c r="BH68" s="143" t="s">
        <v>338</v>
      </c>
      <c r="BI68" s="143" t="s">
        <v>338</v>
      </c>
    </row>
    <row r="69" spans="1:61" x14ac:dyDescent="0.25">
      <c r="A69" s="136">
        <v>44325</v>
      </c>
      <c r="B69" s="137">
        <v>112301</v>
      </c>
      <c r="C69" s="140">
        <v>128923</v>
      </c>
      <c r="D69" s="140">
        <v>113187</v>
      </c>
      <c r="E69" s="138">
        <f t="shared" si="0"/>
        <v>1.148012929537582</v>
      </c>
      <c r="F69" s="138">
        <f t="shared" si="1"/>
        <v>1.0078895112242989</v>
      </c>
      <c r="G69" s="137">
        <v>911631</v>
      </c>
      <c r="H69" s="140">
        <v>582505</v>
      </c>
      <c r="I69" s="140">
        <v>485431</v>
      </c>
      <c r="J69" s="138">
        <f t="shared" si="2"/>
        <v>0.63897015349412212</v>
      </c>
      <c r="K69" s="138">
        <f t="shared" si="3"/>
        <v>0.53248628008481502</v>
      </c>
      <c r="L69" s="137">
        <v>1976757</v>
      </c>
      <c r="M69" s="140">
        <v>1415570</v>
      </c>
      <c r="N69" s="140">
        <v>816952</v>
      </c>
      <c r="O69" s="138">
        <f t="shared" si="4"/>
        <v>0.71610724029306583</v>
      </c>
      <c r="P69" s="138">
        <f t="shared" si="5"/>
        <v>0.41327892098017105</v>
      </c>
      <c r="Q69" s="137">
        <v>3000689</v>
      </c>
      <c r="R69" s="137">
        <f t="shared" ref="R69:S69" si="148">C69+H69+M69</f>
        <v>2126998</v>
      </c>
      <c r="S69" s="137">
        <f t="shared" si="148"/>
        <v>1415570</v>
      </c>
      <c r="T69" s="139">
        <f t="shared" si="8"/>
        <v>0.70883653720862105</v>
      </c>
      <c r="U69" s="139">
        <f t="shared" si="9"/>
        <v>0.47174832180209281</v>
      </c>
      <c r="V69" s="139"/>
      <c r="W69" s="139"/>
      <c r="X69" s="139"/>
      <c r="Y69" s="139"/>
      <c r="Z69" s="139"/>
      <c r="AA69" s="139"/>
      <c r="AB69" s="139"/>
      <c r="AC69" s="137">
        <v>1468764</v>
      </c>
      <c r="AD69" s="140">
        <v>1499726</v>
      </c>
      <c r="AE69" s="140">
        <v>1364582</v>
      </c>
      <c r="AF69" s="138">
        <f t="shared" si="10"/>
        <v>1.0210803097025798</v>
      </c>
      <c r="AG69" s="138">
        <f t="shared" si="11"/>
        <v>0.92906825058348375</v>
      </c>
      <c r="AH69" s="140">
        <v>21553118</v>
      </c>
      <c r="AI69" s="140">
        <v>2726951</v>
      </c>
      <c r="AJ69" s="140">
        <v>1748306</v>
      </c>
      <c r="AK69" s="138">
        <f t="shared" si="12"/>
        <v>0.12652234354212694</v>
      </c>
      <c r="AL69" s="138">
        <f t="shared" si="13"/>
        <v>8.1116152196633456E-2</v>
      </c>
      <c r="AM69" s="137">
        <v>17327169</v>
      </c>
      <c r="AN69" s="140">
        <v>9121975</v>
      </c>
      <c r="AO69" s="140">
        <v>5530248</v>
      </c>
      <c r="AP69" s="138">
        <f t="shared" si="14"/>
        <v>0.52645501408799089</v>
      </c>
      <c r="AQ69" s="138">
        <f t="shared" si="15"/>
        <v>0.31916627580650941</v>
      </c>
      <c r="AR69" s="141">
        <f t="shared" si="16"/>
        <v>40349051</v>
      </c>
      <c r="AS69" s="140">
        <f t="shared" ref="AS69:AT69" si="149">AD69+AI69+AN69</f>
        <v>13348652</v>
      </c>
      <c r="AT69" s="144">
        <f t="shared" si="149"/>
        <v>8643136</v>
      </c>
      <c r="AU69" s="138">
        <f t="shared" si="18"/>
        <v>0.33082939174951104</v>
      </c>
      <c r="AV69" s="138">
        <f t="shared" si="19"/>
        <v>0.21420915203185323</v>
      </c>
      <c r="AW69" s="138"/>
      <c r="AX69" s="138"/>
      <c r="AY69" s="143"/>
      <c r="AZ69" s="143"/>
      <c r="BA69" s="143"/>
      <c r="BB69" s="143"/>
      <c r="BC69" s="143"/>
      <c r="BD69" s="143"/>
      <c r="BE69" s="143"/>
      <c r="BF69" s="143" t="s">
        <v>338</v>
      </c>
      <c r="BG69" s="143" t="s">
        <v>338</v>
      </c>
      <c r="BH69" s="143" t="s">
        <v>338</v>
      </c>
      <c r="BI69" s="143" t="s">
        <v>338</v>
      </c>
    </row>
    <row r="70" spans="1:61" x14ac:dyDescent="0.25">
      <c r="A70" s="136">
        <v>44326</v>
      </c>
      <c r="B70" s="137">
        <v>112301</v>
      </c>
      <c r="C70" s="140">
        <v>129109</v>
      </c>
      <c r="D70" s="140">
        <v>113552</v>
      </c>
      <c r="E70" s="138">
        <f t="shared" si="0"/>
        <v>1.1496691926162723</v>
      </c>
      <c r="F70" s="138">
        <f t="shared" si="1"/>
        <v>1.0111397049002235</v>
      </c>
      <c r="G70" s="137">
        <v>911631</v>
      </c>
      <c r="H70" s="140">
        <v>583358</v>
      </c>
      <c r="I70" s="140">
        <v>496586</v>
      </c>
      <c r="J70" s="138">
        <f t="shared" si="2"/>
        <v>0.63990583909498466</v>
      </c>
      <c r="K70" s="138">
        <f t="shared" si="3"/>
        <v>0.54472259060957773</v>
      </c>
      <c r="L70" s="137">
        <v>1976757</v>
      </c>
      <c r="M70" s="140">
        <v>1446273</v>
      </c>
      <c r="N70" s="140">
        <v>835742</v>
      </c>
      <c r="O70" s="138">
        <f t="shared" si="4"/>
        <v>0.73163924549147918</v>
      </c>
      <c r="P70" s="138">
        <f t="shared" si="5"/>
        <v>0.42278438877413865</v>
      </c>
      <c r="Q70" s="137">
        <v>3000689</v>
      </c>
      <c r="R70" s="137">
        <f t="shared" ref="R70:S70" si="150">C70+H70+M70</f>
        <v>2158740</v>
      </c>
      <c r="S70" s="137">
        <f t="shared" si="150"/>
        <v>1445880</v>
      </c>
      <c r="T70" s="139">
        <f t="shared" si="8"/>
        <v>0.71941477440681123</v>
      </c>
      <c r="U70" s="139">
        <f t="shared" si="9"/>
        <v>0.48184933526933316</v>
      </c>
      <c r="V70" s="139"/>
      <c r="W70" s="139"/>
      <c r="X70" s="139"/>
      <c r="Y70" s="139"/>
      <c r="Z70" s="139"/>
      <c r="AA70" s="139"/>
      <c r="AB70" s="139"/>
      <c r="AC70" s="137">
        <v>1468764</v>
      </c>
      <c r="AD70" s="140">
        <v>1501027</v>
      </c>
      <c r="AE70" s="140">
        <v>1366419</v>
      </c>
      <c r="AF70" s="138">
        <f t="shared" si="10"/>
        <v>1.0219660884934543</v>
      </c>
      <c r="AG70" s="138">
        <f t="shared" si="11"/>
        <v>0.93031896206606368</v>
      </c>
      <c r="AH70" s="140">
        <v>21553118</v>
      </c>
      <c r="AI70" s="140">
        <v>2760561</v>
      </c>
      <c r="AJ70" s="140">
        <v>1794839</v>
      </c>
      <c r="AK70" s="138">
        <f t="shared" si="12"/>
        <v>0.12808174668741665</v>
      </c>
      <c r="AL70" s="138">
        <f t="shared" si="13"/>
        <v>8.3275143763422071E-2</v>
      </c>
      <c r="AM70" s="137">
        <v>17327169</v>
      </c>
      <c r="AN70" s="140">
        <v>9251201</v>
      </c>
      <c r="AO70" s="140">
        <v>5643009</v>
      </c>
      <c r="AP70" s="138">
        <f t="shared" si="14"/>
        <v>0.53391301256425672</v>
      </c>
      <c r="AQ70" s="138">
        <f t="shared" si="15"/>
        <v>0.32567403249774962</v>
      </c>
      <c r="AR70" s="141">
        <f t="shared" si="16"/>
        <v>40349051</v>
      </c>
      <c r="AS70" s="140">
        <f t="shared" ref="AS70:AT70" si="151">AD70+AI70+AN70</f>
        <v>13512789</v>
      </c>
      <c r="AT70" s="144">
        <f t="shared" si="151"/>
        <v>8804267</v>
      </c>
      <c r="AU70" s="138">
        <f t="shared" si="18"/>
        <v>0.33489731889852875</v>
      </c>
      <c r="AV70" s="138">
        <f t="shared" si="19"/>
        <v>0.21820257928742859</v>
      </c>
      <c r="AW70" s="138"/>
      <c r="AX70" s="138"/>
      <c r="AY70" s="143"/>
      <c r="AZ70" s="143"/>
      <c r="BA70" s="143"/>
      <c r="BB70" s="143"/>
      <c r="BC70" s="143"/>
      <c r="BD70" s="143"/>
      <c r="BE70" s="143"/>
      <c r="BF70" s="143" t="s">
        <v>338</v>
      </c>
      <c r="BG70" s="143" t="s">
        <v>338</v>
      </c>
      <c r="BH70" s="143" t="s">
        <v>338</v>
      </c>
      <c r="BI70" s="143" t="s">
        <v>338</v>
      </c>
    </row>
    <row r="71" spans="1:61" x14ac:dyDescent="0.25">
      <c r="A71" s="136">
        <v>44327</v>
      </c>
      <c r="B71" s="137">
        <v>112301</v>
      </c>
      <c r="C71" s="140">
        <v>129269</v>
      </c>
      <c r="D71" s="140">
        <v>113898</v>
      </c>
      <c r="E71" s="138">
        <f t="shared" si="0"/>
        <v>1.1510939350495544</v>
      </c>
      <c r="F71" s="138">
        <f t="shared" si="1"/>
        <v>1.0142207104121959</v>
      </c>
      <c r="G71" s="137">
        <v>911631</v>
      </c>
      <c r="H71" s="140">
        <v>583948</v>
      </c>
      <c r="I71" s="140">
        <v>499734</v>
      </c>
      <c r="J71" s="138">
        <f t="shared" si="2"/>
        <v>0.64055303077670678</v>
      </c>
      <c r="K71" s="138">
        <f t="shared" si="3"/>
        <v>0.54817574215883402</v>
      </c>
      <c r="L71" s="137">
        <v>1976757</v>
      </c>
      <c r="M71" s="140">
        <v>1470603</v>
      </c>
      <c r="N71" s="140">
        <v>848188</v>
      </c>
      <c r="O71" s="138">
        <f t="shared" si="4"/>
        <v>0.74394728335349258</v>
      </c>
      <c r="P71" s="138">
        <f t="shared" si="5"/>
        <v>0.42908055972484227</v>
      </c>
      <c r="Q71" s="137">
        <v>3000689</v>
      </c>
      <c r="R71" s="137">
        <f t="shared" ref="R71:S71" si="152">C71+H71+M71</f>
        <v>2183820</v>
      </c>
      <c r="S71" s="137">
        <f t="shared" si="152"/>
        <v>1461820</v>
      </c>
      <c r="T71" s="139">
        <f t="shared" si="8"/>
        <v>0.72777285483433973</v>
      </c>
      <c r="U71" s="139">
        <f t="shared" si="9"/>
        <v>0.48716144858730775</v>
      </c>
      <c r="V71" s="139"/>
      <c r="W71" s="139"/>
      <c r="X71" s="139"/>
      <c r="Y71" s="139"/>
      <c r="Z71" s="139"/>
      <c r="AA71" s="139"/>
      <c r="AB71" s="139"/>
      <c r="AC71" s="137">
        <v>1468764</v>
      </c>
      <c r="AD71" s="140">
        <v>1501809</v>
      </c>
      <c r="AE71" s="140">
        <v>1367719</v>
      </c>
      <c r="AF71" s="138">
        <f t="shared" si="10"/>
        <v>1.0224985089503829</v>
      </c>
      <c r="AG71" s="138">
        <f t="shared" si="11"/>
        <v>0.93120406001236411</v>
      </c>
      <c r="AH71" s="140">
        <v>21553118</v>
      </c>
      <c r="AI71" s="140">
        <v>2783660</v>
      </c>
      <c r="AJ71" s="140">
        <v>1812015</v>
      </c>
      <c r="AK71" s="138">
        <f t="shared" si="12"/>
        <v>0.1291534709734341</v>
      </c>
      <c r="AL71" s="138">
        <f t="shared" si="13"/>
        <v>8.4072058622794155E-2</v>
      </c>
      <c r="AM71" s="137">
        <v>17327169</v>
      </c>
      <c r="AN71" s="140">
        <v>9361491</v>
      </c>
      <c r="AO71" s="140">
        <v>5708101</v>
      </c>
      <c r="AP71" s="138">
        <f t="shared" si="14"/>
        <v>0.54027816084670266</v>
      </c>
      <c r="AQ71" s="138">
        <f t="shared" si="15"/>
        <v>0.32943067618258931</v>
      </c>
      <c r="AR71" s="141">
        <f t="shared" si="16"/>
        <v>40349051</v>
      </c>
      <c r="AS71" s="140">
        <f t="shared" ref="AS71:AT71" si="153">AD71+AI71+AN71</f>
        <v>13646960</v>
      </c>
      <c r="AT71" s="144">
        <f t="shared" si="153"/>
        <v>8887835</v>
      </c>
      <c r="AU71" s="138">
        <f t="shared" si="18"/>
        <v>0.33822257678377615</v>
      </c>
      <c r="AV71" s="138">
        <f t="shared" si="19"/>
        <v>0.2202737060656024</v>
      </c>
      <c r="AW71" s="138"/>
      <c r="AX71" s="138"/>
      <c r="AY71" s="143"/>
      <c r="AZ71" s="143"/>
      <c r="BA71" s="143"/>
      <c r="BB71" s="143"/>
      <c r="BC71" s="143"/>
      <c r="BD71" s="143"/>
      <c r="BE71" s="143"/>
      <c r="BF71" s="143" t="s">
        <v>338</v>
      </c>
      <c r="BG71" s="143" t="s">
        <v>338</v>
      </c>
      <c r="BH71" s="143" t="s">
        <v>338</v>
      </c>
      <c r="BI71" s="143" t="s">
        <v>338</v>
      </c>
    </row>
    <row r="72" spans="1:61" x14ac:dyDescent="0.25">
      <c r="A72" s="136">
        <v>44328</v>
      </c>
      <c r="B72" s="137">
        <v>112301</v>
      </c>
      <c r="C72" s="140">
        <v>129295</v>
      </c>
      <c r="D72" s="140">
        <v>113947</v>
      </c>
      <c r="E72" s="138">
        <f t="shared" si="0"/>
        <v>1.1513254556949626</v>
      </c>
      <c r="F72" s="138">
        <f t="shared" si="1"/>
        <v>1.0146570377823885</v>
      </c>
      <c r="G72" s="137">
        <v>911631</v>
      </c>
      <c r="H72" s="140">
        <v>584003</v>
      </c>
      <c r="I72" s="140">
        <v>500318</v>
      </c>
      <c r="J72" s="138">
        <f t="shared" si="2"/>
        <v>0.64061336220466392</v>
      </c>
      <c r="K72" s="138">
        <f t="shared" si="3"/>
        <v>0.54881635223023351</v>
      </c>
      <c r="L72" s="137">
        <v>1976757</v>
      </c>
      <c r="M72" s="140">
        <v>1474854</v>
      </c>
      <c r="N72" s="140">
        <v>855317</v>
      </c>
      <c r="O72" s="138">
        <f t="shared" si="4"/>
        <v>0.74609777529559784</v>
      </c>
      <c r="P72" s="138">
        <f t="shared" si="5"/>
        <v>0.43268697164092501</v>
      </c>
      <c r="Q72" s="137">
        <v>3000689</v>
      </c>
      <c r="R72" s="137">
        <f t="shared" ref="R72:S72" si="154">C72+H72+M72</f>
        <v>2188152</v>
      </c>
      <c r="S72" s="137">
        <f t="shared" si="154"/>
        <v>1469582</v>
      </c>
      <c r="T72" s="139">
        <f t="shared" si="8"/>
        <v>0.72921652327182196</v>
      </c>
      <c r="U72" s="139">
        <f t="shared" si="9"/>
        <v>0.48974818783286106</v>
      </c>
      <c r="V72" s="139"/>
      <c r="W72" s="139"/>
      <c r="X72" s="139"/>
      <c r="Y72" s="139"/>
      <c r="Z72" s="139"/>
      <c r="AA72" s="139"/>
      <c r="AB72" s="139"/>
      <c r="AC72" s="137">
        <v>1468764</v>
      </c>
      <c r="AD72" s="140">
        <v>1502009</v>
      </c>
      <c r="AE72" s="140">
        <v>1368070</v>
      </c>
      <c r="AF72" s="138">
        <f t="shared" si="10"/>
        <v>1.0226346778651982</v>
      </c>
      <c r="AG72" s="138">
        <f t="shared" si="11"/>
        <v>0.9314430364578653</v>
      </c>
      <c r="AH72" s="140">
        <v>21553118</v>
      </c>
      <c r="AI72" s="140">
        <v>2787803</v>
      </c>
      <c r="AJ72" s="140">
        <v>1817360</v>
      </c>
      <c r="AK72" s="138">
        <f t="shared" si="12"/>
        <v>0.12934569374138813</v>
      </c>
      <c r="AL72" s="138">
        <f t="shared" si="13"/>
        <v>8.4320050583864478E-2</v>
      </c>
      <c r="AM72" s="137">
        <v>17327169</v>
      </c>
      <c r="AN72" s="140">
        <v>9401248</v>
      </c>
      <c r="AO72" s="140">
        <v>5732660</v>
      </c>
      <c r="AP72" s="138">
        <f t="shared" si="14"/>
        <v>0.54257264992336607</v>
      </c>
      <c r="AQ72" s="138">
        <f t="shared" si="15"/>
        <v>0.33084804563284398</v>
      </c>
      <c r="AR72" s="141">
        <f t="shared" si="16"/>
        <v>40349051</v>
      </c>
      <c r="AS72" s="140">
        <f t="shared" ref="AS72:AT72" si="155">AD72+AI72+AN72</f>
        <v>13691060</v>
      </c>
      <c r="AT72" s="144">
        <f t="shared" si="155"/>
        <v>8918090</v>
      </c>
      <c r="AU72" s="138">
        <f t="shared" si="18"/>
        <v>0.33931553929236152</v>
      </c>
      <c r="AV72" s="138">
        <f t="shared" si="19"/>
        <v>0.22102353782744483</v>
      </c>
      <c r="AW72" s="138"/>
      <c r="AX72" s="138"/>
      <c r="AY72" s="143"/>
      <c r="AZ72" s="143"/>
      <c r="BA72" s="143"/>
      <c r="BB72" s="143"/>
      <c r="BC72" s="143"/>
      <c r="BD72" s="143"/>
      <c r="BE72" s="143"/>
      <c r="BF72" s="143" t="s">
        <v>338</v>
      </c>
      <c r="BG72" s="143" t="s">
        <v>338</v>
      </c>
      <c r="BH72" s="143" t="s">
        <v>338</v>
      </c>
      <c r="BI72" s="143" t="s">
        <v>338</v>
      </c>
    </row>
    <row r="73" spans="1:61" x14ac:dyDescent="0.25">
      <c r="A73" s="136">
        <v>44329</v>
      </c>
      <c r="B73" s="137">
        <v>112301</v>
      </c>
      <c r="C73" s="140">
        <v>129295</v>
      </c>
      <c r="D73" s="140">
        <v>113948</v>
      </c>
      <c r="E73" s="138">
        <f t="shared" si="0"/>
        <v>1.1513254556949626</v>
      </c>
      <c r="F73" s="138">
        <f t="shared" si="1"/>
        <v>1.0146659424225963</v>
      </c>
      <c r="G73" s="137">
        <v>911631</v>
      </c>
      <c r="H73" s="140">
        <v>584004</v>
      </c>
      <c r="I73" s="140">
        <v>500337</v>
      </c>
      <c r="J73" s="138">
        <f t="shared" si="2"/>
        <v>0.64061445913971771</v>
      </c>
      <c r="K73" s="138">
        <f t="shared" si="3"/>
        <v>0.54883719399625508</v>
      </c>
      <c r="L73" s="137">
        <v>1976757</v>
      </c>
      <c r="M73" s="140">
        <v>1475068</v>
      </c>
      <c r="N73" s="140">
        <v>855498</v>
      </c>
      <c r="O73" s="138">
        <f t="shared" si="4"/>
        <v>0.7462060334173598</v>
      </c>
      <c r="P73" s="138">
        <f t="shared" si="5"/>
        <v>0.43277853575325648</v>
      </c>
      <c r="Q73" s="137">
        <v>3000689</v>
      </c>
      <c r="R73" s="137">
        <f t="shared" ref="R73:S73" si="156">C73+H73+M73</f>
        <v>2188367</v>
      </c>
      <c r="S73" s="137">
        <f t="shared" si="156"/>
        <v>1469783</v>
      </c>
      <c r="T73" s="139">
        <f t="shared" si="8"/>
        <v>0.72928817348282349</v>
      </c>
      <c r="U73" s="139">
        <f t="shared" si="9"/>
        <v>0.48981517244872763</v>
      </c>
      <c r="V73" s="139"/>
      <c r="W73" s="139"/>
      <c r="X73" s="139"/>
      <c r="Y73" s="139"/>
      <c r="Z73" s="139"/>
      <c r="AA73" s="139"/>
      <c r="AB73" s="139"/>
      <c r="AC73" s="137">
        <v>1468764</v>
      </c>
      <c r="AD73" s="140">
        <v>1502025</v>
      </c>
      <c r="AE73" s="140">
        <v>1368079</v>
      </c>
      <c r="AF73" s="138">
        <f t="shared" si="10"/>
        <v>1.0226455713783835</v>
      </c>
      <c r="AG73" s="138">
        <f t="shared" si="11"/>
        <v>0.931449164059032</v>
      </c>
      <c r="AH73" s="140">
        <v>21553118</v>
      </c>
      <c r="AI73" s="140">
        <v>2788132</v>
      </c>
      <c r="AJ73" s="140">
        <v>1817544</v>
      </c>
      <c r="AK73" s="138">
        <f t="shared" si="12"/>
        <v>0.12936095835414627</v>
      </c>
      <c r="AL73" s="138">
        <f t="shared" si="13"/>
        <v>8.4328587631729207E-2</v>
      </c>
      <c r="AM73" s="137">
        <v>17327169</v>
      </c>
      <c r="AN73" s="140">
        <v>9406282</v>
      </c>
      <c r="AO73" s="140">
        <v>5733632</v>
      </c>
      <c r="AP73" s="138">
        <f t="shared" si="14"/>
        <v>0.54286317632153291</v>
      </c>
      <c r="AQ73" s="138">
        <f t="shared" si="15"/>
        <v>0.33090414250591083</v>
      </c>
      <c r="AR73" s="141">
        <f t="shared" si="16"/>
        <v>40349051</v>
      </c>
      <c r="AS73" s="140">
        <f t="shared" ref="AS73:AT73" si="157">AD73+AI73+AN73</f>
        <v>13696439</v>
      </c>
      <c r="AT73" s="144">
        <f t="shared" si="157"/>
        <v>8919255</v>
      </c>
      <c r="AU73" s="138">
        <f t="shared" si="18"/>
        <v>0.33944885097793254</v>
      </c>
      <c r="AV73" s="138">
        <f t="shared" si="19"/>
        <v>0.22105241087330654</v>
      </c>
      <c r="AW73" s="138"/>
      <c r="AX73" s="138"/>
      <c r="AY73" s="143"/>
      <c r="AZ73" s="143"/>
      <c r="BA73" s="143"/>
      <c r="BB73" s="143"/>
      <c r="BC73" s="143"/>
      <c r="BD73" s="143"/>
      <c r="BE73" s="143"/>
      <c r="BF73" s="143" t="s">
        <v>338</v>
      </c>
      <c r="BG73" s="143" t="s">
        <v>338</v>
      </c>
      <c r="BH73" s="143" t="s">
        <v>338</v>
      </c>
      <c r="BI73" s="143" t="s">
        <v>338</v>
      </c>
    </row>
    <row r="74" spans="1:61" x14ac:dyDescent="0.25">
      <c r="A74" s="136">
        <v>44330</v>
      </c>
      <c r="B74" s="137">
        <v>112301</v>
      </c>
      <c r="C74" s="140">
        <v>129295</v>
      </c>
      <c r="D74" s="140">
        <v>113948</v>
      </c>
      <c r="E74" s="138">
        <f t="shared" si="0"/>
        <v>1.1513254556949626</v>
      </c>
      <c r="F74" s="138">
        <f t="shared" si="1"/>
        <v>1.0146659424225963</v>
      </c>
      <c r="G74" s="137">
        <v>911631</v>
      </c>
      <c r="H74" s="140">
        <v>584007</v>
      </c>
      <c r="I74" s="140">
        <v>500353</v>
      </c>
      <c r="J74" s="138">
        <f t="shared" si="2"/>
        <v>0.64061774994487897</v>
      </c>
      <c r="K74" s="138">
        <f t="shared" si="3"/>
        <v>0.54885474495711528</v>
      </c>
      <c r="L74" s="137">
        <v>1976757</v>
      </c>
      <c r="M74" s="140">
        <v>1475317</v>
      </c>
      <c r="N74" s="140">
        <v>855736</v>
      </c>
      <c r="O74" s="138">
        <f t="shared" si="4"/>
        <v>0.74633199730669986</v>
      </c>
      <c r="P74" s="138">
        <f t="shared" si="5"/>
        <v>0.43289893497278625</v>
      </c>
      <c r="Q74" s="137">
        <v>3000689</v>
      </c>
      <c r="R74" s="137">
        <f t="shared" ref="R74:S74" si="158">C74+H74+M74</f>
        <v>2188619</v>
      </c>
      <c r="S74" s="137">
        <f t="shared" si="158"/>
        <v>1470037</v>
      </c>
      <c r="T74" s="139">
        <f t="shared" si="8"/>
        <v>0.72937215419525314</v>
      </c>
      <c r="U74" s="139">
        <f t="shared" si="9"/>
        <v>0.48989981967474805</v>
      </c>
      <c r="V74" s="139"/>
      <c r="W74" s="139"/>
      <c r="X74" s="139"/>
      <c r="Y74" s="139"/>
      <c r="Z74" s="139"/>
      <c r="AA74" s="139"/>
      <c r="AB74" s="139"/>
      <c r="AC74" s="137">
        <v>1468764</v>
      </c>
      <c r="AD74" s="140">
        <v>1502036</v>
      </c>
      <c r="AE74" s="140">
        <v>1368093</v>
      </c>
      <c r="AF74" s="138">
        <f t="shared" si="10"/>
        <v>1.0226530606686983</v>
      </c>
      <c r="AG74" s="138">
        <f t="shared" si="11"/>
        <v>0.93145869588306907</v>
      </c>
      <c r="AH74" s="140">
        <v>21553118</v>
      </c>
      <c r="AI74" s="140">
        <v>2788357</v>
      </c>
      <c r="AJ74" s="140">
        <v>1817833</v>
      </c>
      <c r="AK74" s="138">
        <f t="shared" si="12"/>
        <v>0.12937139767898084</v>
      </c>
      <c r="AL74" s="138">
        <f t="shared" si="13"/>
        <v>8.4341996364516725E-2</v>
      </c>
      <c r="AM74" s="137">
        <v>17327169</v>
      </c>
      <c r="AN74" s="140">
        <v>9408183</v>
      </c>
      <c r="AO74" s="140">
        <v>5734811</v>
      </c>
      <c r="AP74" s="138">
        <f t="shared" si="14"/>
        <v>0.54297288841587454</v>
      </c>
      <c r="AQ74" s="138">
        <f t="shared" si="15"/>
        <v>0.33097218593527888</v>
      </c>
      <c r="AR74" s="141">
        <f t="shared" si="16"/>
        <v>40349051</v>
      </c>
      <c r="AS74" s="140">
        <f t="shared" ref="AS74:AT74" si="159">AD74+AI74+AN74</f>
        <v>13698576</v>
      </c>
      <c r="AT74" s="144">
        <f t="shared" si="159"/>
        <v>8920737</v>
      </c>
      <c r="AU74" s="138">
        <f t="shared" si="18"/>
        <v>0.33950181380969779</v>
      </c>
      <c r="AV74" s="138">
        <f t="shared" si="19"/>
        <v>0.22108914036169028</v>
      </c>
      <c r="AW74" s="138"/>
      <c r="AX74" s="138"/>
      <c r="AY74" s="143"/>
      <c r="AZ74" s="143"/>
      <c r="BA74" s="143"/>
      <c r="BB74" s="143"/>
      <c r="BC74" s="143"/>
      <c r="BD74" s="143"/>
      <c r="BE74" s="143"/>
      <c r="BF74" s="143" t="s">
        <v>338</v>
      </c>
      <c r="BG74" s="143" t="s">
        <v>338</v>
      </c>
      <c r="BH74" s="143" t="s">
        <v>338</v>
      </c>
      <c r="BI74" s="143" t="s">
        <v>338</v>
      </c>
    </row>
    <row r="75" spans="1:61" x14ac:dyDescent="0.25">
      <c r="A75" s="136">
        <v>44331</v>
      </c>
      <c r="B75" s="137">
        <v>112301</v>
      </c>
      <c r="C75" s="140">
        <v>129313</v>
      </c>
      <c r="D75" s="140">
        <v>113974</v>
      </c>
      <c r="E75" s="138">
        <f t="shared" si="0"/>
        <v>1.1514857392187068</v>
      </c>
      <c r="F75" s="138">
        <f t="shared" si="1"/>
        <v>1.0148974630680048</v>
      </c>
      <c r="G75" s="137">
        <v>911631</v>
      </c>
      <c r="H75" s="140">
        <v>584099</v>
      </c>
      <c r="I75" s="140">
        <v>501780</v>
      </c>
      <c r="J75" s="138">
        <f t="shared" si="2"/>
        <v>0.64071866796982546</v>
      </c>
      <c r="K75" s="138">
        <f t="shared" si="3"/>
        <v>0.55042007127883974</v>
      </c>
      <c r="L75" s="137">
        <v>1976757</v>
      </c>
      <c r="M75" s="140">
        <v>1477975</v>
      </c>
      <c r="N75" s="140">
        <v>862142</v>
      </c>
      <c r="O75" s="138">
        <f t="shared" si="4"/>
        <v>0.74767662388447342</v>
      </c>
      <c r="P75" s="138">
        <f t="shared" si="5"/>
        <v>0.43613959631861682</v>
      </c>
      <c r="Q75" s="137">
        <v>3000689</v>
      </c>
      <c r="R75" s="137">
        <f t="shared" ref="R75:S75" si="160">C75+H75+M75</f>
        <v>2191387</v>
      </c>
      <c r="S75" s="137">
        <f t="shared" si="160"/>
        <v>1477896</v>
      </c>
      <c r="T75" s="139">
        <f t="shared" si="8"/>
        <v>0.73029460900479859</v>
      </c>
      <c r="U75" s="139">
        <f t="shared" si="9"/>
        <v>0.49251888482945083</v>
      </c>
      <c r="V75" s="139"/>
      <c r="W75" s="139"/>
      <c r="X75" s="139"/>
      <c r="Y75" s="139"/>
      <c r="Z75" s="139"/>
      <c r="AA75" s="139"/>
      <c r="AB75" s="139"/>
      <c r="AC75" s="137">
        <v>1468764</v>
      </c>
      <c r="AD75" s="140">
        <v>1502212</v>
      </c>
      <c r="AE75" s="140">
        <v>1368299</v>
      </c>
      <c r="AF75" s="138">
        <f t="shared" si="10"/>
        <v>1.022772889313736</v>
      </c>
      <c r="AG75" s="138">
        <f t="shared" si="11"/>
        <v>0.93159894986532898</v>
      </c>
      <c r="AH75" s="140">
        <v>21553118</v>
      </c>
      <c r="AI75" s="140">
        <v>2791566</v>
      </c>
      <c r="AJ75" s="140">
        <v>1829662</v>
      </c>
      <c r="AK75" s="138">
        <f t="shared" si="12"/>
        <v>0.12952028564962156</v>
      </c>
      <c r="AL75" s="138">
        <f t="shared" si="13"/>
        <v>8.4890826468819958E-2</v>
      </c>
      <c r="AM75" s="137">
        <v>17327169</v>
      </c>
      <c r="AN75" s="140">
        <v>9430549</v>
      </c>
      <c r="AO75" s="140">
        <v>5761421</v>
      </c>
      <c r="AP75" s="138">
        <f t="shared" si="14"/>
        <v>0.5442636936247347</v>
      </c>
      <c r="AQ75" s="138">
        <f t="shared" si="15"/>
        <v>0.33250792440473109</v>
      </c>
      <c r="AR75" s="141">
        <f t="shared" si="16"/>
        <v>40349051</v>
      </c>
      <c r="AS75" s="140">
        <f t="shared" ref="AS75:AT75" si="161">AD75+AI75+AN75</f>
        <v>13724327</v>
      </c>
      <c r="AT75" s="144">
        <f t="shared" si="161"/>
        <v>8959382</v>
      </c>
      <c r="AU75" s="138">
        <f t="shared" si="18"/>
        <v>0.34014001965002844</v>
      </c>
      <c r="AV75" s="138">
        <f t="shared" si="19"/>
        <v>0.22204690762119783</v>
      </c>
      <c r="AW75" s="138"/>
      <c r="AX75" s="138"/>
      <c r="AY75" s="143"/>
      <c r="AZ75" s="143"/>
      <c r="BA75" s="143"/>
      <c r="BB75" s="143"/>
      <c r="BC75" s="143"/>
      <c r="BD75" s="143"/>
      <c r="BE75" s="143"/>
      <c r="BF75" s="143" t="s">
        <v>338</v>
      </c>
      <c r="BG75" s="143" t="s">
        <v>338</v>
      </c>
      <c r="BH75" s="143" t="s">
        <v>338</v>
      </c>
      <c r="BI75" s="143" t="s">
        <v>338</v>
      </c>
    </row>
    <row r="76" spans="1:61" x14ac:dyDescent="0.25">
      <c r="A76" s="136">
        <v>44332</v>
      </c>
      <c r="B76" s="137">
        <v>112301</v>
      </c>
      <c r="C76" s="140">
        <v>129318</v>
      </c>
      <c r="D76" s="140">
        <v>113982</v>
      </c>
      <c r="E76" s="138">
        <f t="shared" si="0"/>
        <v>1.151530262419747</v>
      </c>
      <c r="F76" s="138">
        <f t="shared" si="1"/>
        <v>1.0149687001896688</v>
      </c>
      <c r="G76" s="137">
        <v>911631</v>
      </c>
      <c r="H76" s="140">
        <v>584827</v>
      </c>
      <c r="I76" s="140">
        <v>502660</v>
      </c>
      <c r="J76" s="138">
        <f t="shared" si="2"/>
        <v>0.64151723668896732</v>
      </c>
      <c r="K76" s="138">
        <f t="shared" si="3"/>
        <v>0.55138537412615407</v>
      </c>
      <c r="L76" s="137">
        <v>1976757</v>
      </c>
      <c r="M76" s="140">
        <v>1481782</v>
      </c>
      <c r="N76" s="140">
        <v>867073</v>
      </c>
      <c r="O76" s="138">
        <f t="shared" si="4"/>
        <v>0.74960250551787599</v>
      </c>
      <c r="P76" s="138">
        <f t="shared" si="5"/>
        <v>0.438634086030807</v>
      </c>
      <c r="Q76" s="137">
        <v>3000689</v>
      </c>
      <c r="R76" s="137">
        <f t="shared" ref="R76:S76" si="162">C76+H76+M76</f>
        <v>2195927</v>
      </c>
      <c r="S76" s="137">
        <f t="shared" si="162"/>
        <v>1483715</v>
      </c>
      <c r="T76" s="139">
        <f t="shared" si="8"/>
        <v>0.73180759485571478</v>
      </c>
      <c r="U76" s="139">
        <f t="shared" si="9"/>
        <v>0.49445810612162738</v>
      </c>
      <c r="V76" s="139"/>
      <c r="W76" s="139"/>
      <c r="X76" s="139"/>
      <c r="Y76" s="139"/>
      <c r="Z76" s="139"/>
      <c r="AA76" s="139"/>
      <c r="AB76" s="139"/>
      <c r="AC76" s="137">
        <v>1468764</v>
      </c>
      <c r="AD76" s="140">
        <v>1502228</v>
      </c>
      <c r="AE76" s="140">
        <v>1368337</v>
      </c>
      <c r="AF76" s="138">
        <f t="shared" si="10"/>
        <v>1.0227837828269211</v>
      </c>
      <c r="AG76" s="138">
        <f t="shared" si="11"/>
        <v>0.93162482195914387</v>
      </c>
      <c r="AH76" s="140">
        <v>21553118</v>
      </c>
      <c r="AI76" s="140">
        <v>2792478</v>
      </c>
      <c r="AJ76" s="140">
        <v>1832798</v>
      </c>
      <c r="AK76" s="138">
        <f t="shared" si="12"/>
        <v>0.12956259971295103</v>
      </c>
      <c r="AL76" s="138">
        <f t="shared" si="13"/>
        <v>8.503632745851436E-2</v>
      </c>
      <c r="AM76" s="137">
        <v>17327169</v>
      </c>
      <c r="AN76" s="140">
        <v>9449637</v>
      </c>
      <c r="AO76" s="140">
        <v>5774108</v>
      </c>
      <c r="AP76" s="138">
        <f t="shared" si="14"/>
        <v>0.54536531616907524</v>
      </c>
      <c r="AQ76" s="138">
        <f t="shared" si="15"/>
        <v>0.33324012710905054</v>
      </c>
      <c r="AR76" s="141">
        <f t="shared" si="16"/>
        <v>40349051</v>
      </c>
      <c r="AS76" s="140">
        <f t="shared" ref="AS76:AT76" si="163">AD76+AI76+AN76</f>
        <v>13744343</v>
      </c>
      <c r="AT76" s="144">
        <f t="shared" si="163"/>
        <v>8975243</v>
      </c>
      <c r="AU76" s="138">
        <f t="shared" si="18"/>
        <v>0.34063609079678231</v>
      </c>
      <c r="AV76" s="138">
        <f t="shared" si="19"/>
        <v>0.22244000236833328</v>
      </c>
      <c r="AW76" s="138"/>
      <c r="AX76" s="138"/>
      <c r="AY76" s="143"/>
      <c r="AZ76" s="143"/>
      <c r="BA76" s="143"/>
      <c r="BB76" s="143"/>
      <c r="BC76" s="143"/>
      <c r="BD76" s="143"/>
      <c r="BE76" s="143"/>
      <c r="BF76" s="143" t="s">
        <v>338</v>
      </c>
      <c r="BG76" s="143" t="s">
        <v>338</v>
      </c>
      <c r="BH76" s="143" t="s">
        <v>338</v>
      </c>
      <c r="BI76" s="143" t="s">
        <v>338</v>
      </c>
    </row>
    <row r="77" spans="1:61" x14ac:dyDescent="0.25">
      <c r="A77" s="136">
        <v>44333</v>
      </c>
      <c r="B77" s="137">
        <v>112301</v>
      </c>
      <c r="C77" s="140">
        <v>129401</v>
      </c>
      <c r="D77" s="140">
        <v>114352</v>
      </c>
      <c r="E77" s="138">
        <f t="shared" si="0"/>
        <v>1.152269347557012</v>
      </c>
      <c r="F77" s="138">
        <f t="shared" si="1"/>
        <v>1.0182634170666334</v>
      </c>
      <c r="G77" s="137">
        <v>911631</v>
      </c>
      <c r="H77" s="140">
        <v>585577</v>
      </c>
      <c r="I77" s="140">
        <v>507155</v>
      </c>
      <c r="J77" s="138">
        <f t="shared" si="2"/>
        <v>0.64233993797929201</v>
      </c>
      <c r="K77" s="138">
        <f t="shared" si="3"/>
        <v>0.55631609719283348</v>
      </c>
      <c r="L77" s="137">
        <v>1976757</v>
      </c>
      <c r="M77" s="140">
        <v>1490559</v>
      </c>
      <c r="N77" s="140">
        <v>888577</v>
      </c>
      <c r="O77" s="138">
        <f t="shared" si="4"/>
        <v>0.75404260614734131</v>
      </c>
      <c r="P77" s="138">
        <f t="shared" si="5"/>
        <v>0.44951250963067285</v>
      </c>
      <c r="Q77" s="137">
        <v>3000689</v>
      </c>
      <c r="R77" s="137">
        <f t="shared" ref="R77:S77" si="164">C77+H77+M77</f>
        <v>2205537</v>
      </c>
      <c r="S77" s="137">
        <f t="shared" si="164"/>
        <v>1510084</v>
      </c>
      <c r="T77" s="139">
        <f t="shared" si="8"/>
        <v>0.73501019265908596</v>
      </c>
      <c r="U77" s="139">
        <f t="shared" si="9"/>
        <v>0.50324575455836973</v>
      </c>
      <c r="V77" s="139"/>
      <c r="W77" s="139"/>
      <c r="X77" s="139"/>
      <c r="Y77" s="139"/>
      <c r="Z77" s="139"/>
      <c r="AA77" s="139"/>
      <c r="AB77" s="139"/>
      <c r="AC77" s="137">
        <v>1468764</v>
      </c>
      <c r="AD77" s="140">
        <v>1503025</v>
      </c>
      <c r="AE77" s="140">
        <v>1369938</v>
      </c>
      <c r="AF77" s="138">
        <f t="shared" si="10"/>
        <v>1.0233264159524607</v>
      </c>
      <c r="AG77" s="138">
        <f t="shared" si="11"/>
        <v>0.93271485412224153</v>
      </c>
      <c r="AH77" s="140">
        <v>21553118</v>
      </c>
      <c r="AI77" s="140">
        <v>2806995</v>
      </c>
      <c r="AJ77" s="140">
        <v>1864236</v>
      </c>
      <c r="AK77" s="138">
        <f t="shared" si="12"/>
        <v>0.13023614495127805</v>
      </c>
      <c r="AL77" s="138">
        <f t="shared" si="13"/>
        <v>8.6494956321400918E-2</v>
      </c>
      <c r="AM77" s="137">
        <v>17327169</v>
      </c>
      <c r="AN77" s="140">
        <v>9517264</v>
      </c>
      <c r="AO77" s="140">
        <v>5859097</v>
      </c>
      <c r="AP77" s="138">
        <f t="shared" si="14"/>
        <v>0.54926826188398115</v>
      </c>
      <c r="AQ77" s="138">
        <f t="shared" si="15"/>
        <v>0.33814508301962082</v>
      </c>
      <c r="AR77" s="141">
        <f t="shared" si="16"/>
        <v>40349051</v>
      </c>
      <c r="AS77" s="140">
        <f t="shared" ref="AS77:AT77" si="165">AD77+AI77+AN77</f>
        <v>13827284</v>
      </c>
      <c r="AT77" s="144">
        <f t="shared" si="165"/>
        <v>9093271</v>
      </c>
      <c r="AU77" s="138">
        <f t="shared" si="18"/>
        <v>0.34269167817602453</v>
      </c>
      <c r="AV77" s="138">
        <f t="shared" si="19"/>
        <v>0.22536517649448559</v>
      </c>
      <c r="AW77" s="138"/>
      <c r="AX77" s="138"/>
      <c r="AY77" s="143"/>
      <c r="AZ77" s="143"/>
      <c r="BA77" s="143"/>
      <c r="BB77" s="143"/>
      <c r="BC77" s="143"/>
      <c r="BD77" s="143"/>
      <c r="BE77" s="143"/>
      <c r="BF77" s="143" t="s">
        <v>338</v>
      </c>
      <c r="BG77" s="143" t="s">
        <v>338</v>
      </c>
      <c r="BH77" s="143" t="s">
        <v>338</v>
      </c>
      <c r="BI77" s="143" t="s">
        <v>338</v>
      </c>
    </row>
    <row r="78" spans="1:61" x14ac:dyDescent="0.25">
      <c r="A78" s="136">
        <v>44334</v>
      </c>
      <c r="B78" s="137">
        <v>112301</v>
      </c>
      <c r="C78" s="140">
        <v>129533</v>
      </c>
      <c r="D78" s="140">
        <v>114701</v>
      </c>
      <c r="E78" s="138">
        <f t="shared" si="0"/>
        <v>1.1534447600644695</v>
      </c>
      <c r="F78" s="138">
        <f t="shared" si="1"/>
        <v>1.0213711364992297</v>
      </c>
      <c r="G78" s="137">
        <v>911631</v>
      </c>
      <c r="H78" s="140">
        <v>586347</v>
      </c>
      <c r="I78" s="140">
        <v>510664</v>
      </c>
      <c r="J78" s="138">
        <f t="shared" si="2"/>
        <v>0.64318457797069206</v>
      </c>
      <c r="K78" s="138">
        <f t="shared" si="3"/>
        <v>0.56016524229649933</v>
      </c>
      <c r="L78" s="137">
        <v>1976757</v>
      </c>
      <c r="M78" s="140">
        <v>1507872</v>
      </c>
      <c r="N78" s="140">
        <v>915320</v>
      </c>
      <c r="O78" s="138">
        <f t="shared" si="4"/>
        <v>0.76280089054952127</v>
      </c>
      <c r="P78" s="138">
        <f t="shared" si="5"/>
        <v>0.46304123369741451</v>
      </c>
      <c r="Q78" s="137">
        <v>3000689</v>
      </c>
      <c r="R78" s="137">
        <f t="shared" ref="R78:S78" si="166">C78+H78+M78</f>
        <v>2223752</v>
      </c>
      <c r="S78" s="137">
        <f t="shared" si="166"/>
        <v>1540685</v>
      </c>
      <c r="T78" s="139">
        <f t="shared" si="8"/>
        <v>0.74108046518649551</v>
      </c>
      <c r="U78" s="139">
        <f t="shared" si="9"/>
        <v>0.51344374575305873</v>
      </c>
      <c r="V78" s="139"/>
      <c r="W78" s="139"/>
      <c r="X78" s="139"/>
      <c r="Y78" s="139"/>
      <c r="Z78" s="139"/>
      <c r="AA78" s="139"/>
      <c r="AB78" s="139"/>
      <c r="AC78" s="137">
        <v>1468764</v>
      </c>
      <c r="AD78" s="140">
        <v>1504324</v>
      </c>
      <c r="AE78" s="140">
        <v>1372017</v>
      </c>
      <c r="AF78" s="138">
        <f t="shared" si="10"/>
        <v>1.024210833054187</v>
      </c>
      <c r="AG78" s="138">
        <f t="shared" si="11"/>
        <v>0.93413032999174817</v>
      </c>
      <c r="AH78" s="140">
        <v>21553118</v>
      </c>
      <c r="AI78" s="140">
        <v>2841581</v>
      </c>
      <c r="AJ78" s="140">
        <v>1906473</v>
      </c>
      <c r="AK78" s="138">
        <f t="shared" si="12"/>
        <v>0.13184083156785018</v>
      </c>
      <c r="AL78" s="138">
        <f t="shared" si="13"/>
        <v>8.8454626379347992E-2</v>
      </c>
      <c r="AM78" s="137">
        <v>17327169</v>
      </c>
      <c r="AN78" s="140">
        <v>9632092</v>
      </c>
      <c r="AO78" s="140">
        <v>5997003</v>
      </c>
      <c r="AP78" s="138">
        <f t="shared" si="14"/>
        <v>0.55589531099973688</v>
      </c>
      <c r="AQ78" s="138">
        <f t="shared" si="15"/>
        <v>0.34610402888088643</v>
      </c>
      <c r="AR78" s="141">
        <f t="shared" si="16"/>
        <v>40349051</v>
      </c>
      <c r="AS78" s="140">
        <f t="shared" ref="AS78:AT78" si="167">AD78+AI78+AN78</f>
        <v>13977997</v>
      </c>
      <c r="AT78" s="144">
        <f t="shared" si="167"/>
        <v>9275493</v>
      </c>
      <c r="AU78" s="138">
        <f t="shared" si="18"/>
        <v>0.34642690852877805</v>
      </c>
      <c r="AV78" s="138">
        <f t="shared" si="19"/>
        <v>0.2298813174069447</v>
      </c>
      <c r="AW78" s="138"/>
      <c r="AX78" s="138"/>
      <c r="AY78" s="143"/>
      <c r="AZ78" s="143"/>
      <c r="BA78" s="143"/>
      <c r="BB78" s="143"/>
      <c r="BC78" s="143"/>
      <c r="BD78" s="143"/>
      <c r="BE78" s="143"/>
      <c r="BF78" s="143" t="s">
        <v>338</v>
      </c>
      <c r="BG78" s="143" t="s">
        <v>338</v>
      </c>
      <c r="BH78" s="143" t="s">
        <v>338</v>
      </c>
      <c r="BI78" s="143" t="s">
        <v>338</v>
      </c>
    </row>
    <row r="79" spans="1:61" x14ac:dyDescent="0.25">
      <c r="A79" s="136">
        <v>44335</v>
      </c>
      <c r="B79" s="137">
        <v>112301</v>
      </c>
      <c r="C79" s="140">
        <v>129714</v>
      </c>
      <c r="D79" s="140">
        <v>115004</v>
      </c>
      <c r="E79" s="138">
        <f t="shared" si="0"/>
        <v>1.1550564999421198</v>
      </c>
      <c r="F79" s="138">
        <f t="shared" si="1"/>
        <v>1.0240692424822575</v>
      </c>
      <c r="G79" s="137">
        <v>911631</v>
      </c>
      <c r="H79" s="140">
        <v>587128</v>
      </c>
      <c r="I79" s="140">
        <v>514002</v>
      </c>
      <c r="J79" s="138">
        <f t="shared" si="2"/>
        <v>0.64404128424768359</v>
      </c>
      <c r="K79" s="138">
        <f t="shared" si="3"/>
        <v>0.56382681150597114</v>
      </c>
      <c r="L79" s="137">
        <v>1976757</v>
      </c>
      <c r="M79" s="140">
        <v>1531144</v>
      </c>
      <c r="N79" s="140">
        <v>937777</v>
      </c>
      <c r="O79" s="138">
        <f t="shared" si="4"/>
        <v>0.77457370835160821</v>
      </c>
      <c r="P79" s="138">
        <f t="shared" si="5"/>
        <v>0.47440176005447304</v>
      </c>
      <c r="Q79" s="137">
        <v>3000689</v>
      </c>
      <c r="R79" s="137">
        <f t="shared" ref="R79:S79" si="168">C79+H79+M79</f>
        <v>2247986</v>
      </c>
      <c r="S79" s="137">
        <f t="shared" si="168"/>
        <v>1566783</v>
      </c>
      <c r="T79" s="139">
        <f t="shared" si="8"/>
        <v>0.7491566103651528</v>
      </c>
      <c r="U79" s="139">
        <f t="shared" si="9"/>
        <v>0.52214108159825956</v>
      </c>
      <c r="V79" s="139"/>
      <c r="W79" s="139"/>
      <c r="X79" s="139"/>
      <c r="Y79" s="139"/>
      <c r="Z79" s="139"/>
      <c r="AA79" s="139"/>
      <c r="AB79" s="139"/>
      <c r="AC79" s="137">
        <v>1468764</v>
      </c>
      <c r="AD79" s="140">
        <v>1505817</v>
      </c>
      <c r="AE79" s="140">
        <v>1373813</v>
      </c>
      <c r="AF79" s="138">
        <f t="shared" si="10"/>
        <v>1.0252273340032845</v>
      </c>
      <c r="AG79" s="138">
        <f t="shared" si="11"/>
        <v>0.93535312684679095</v>
      </c>
      <c r="AH79" s="140">
        <v>21553118</v>
      </c>
      <c r="AI79" s="140">
        <v>2888392</v>
      </c>
      <c r="AJ79" s="140">
        <v>1943802</v>
      </c>
      <c r="AK79" s="138">
        <f t="shared" si="12"/>
        <v>0.13401272150043442</v>
      </c>
      <c r="AL79" s="138">
        <f t="shared" si="13"/>
        <v>9.0186579964903452E-2</v>
      </c>
      <c r="AM79" s="137">
        <v>17327169</v>
      </c>
      <c r="AN79" s="140">
        <v>9800124</v>
      </c>
      <c r="AO79" s="140">
        <v>6109914</v>
      </c>
      <c r="AP79" s="138">
        <f t="shared" si="14"/>
        <v>0.56559291364907904</v>
      </c>
      <c r="AQ79" s="138">
        <f t="shared" si="15"/>
        <v>0.35262044249698266</v>
      </c>
      <c r="AR79" s="141">
        <f t="shared" si="16"/>
        <v>40349051</v>
      </c>
      <c r="AS79" s="140">
        <f t="shared" ref="AS79:AT79" si="169">AD79+AI79+AN79</f>
        <v>14194333</v>
      </c>
      <c r="AT79" s="144">
        <f t="shared" si="169"/>
        <v>9427529</v>
      </c>
      <c r="AU79" s="138">
        <f t="shared" si="18"/>
        <v>0.35178852161851343</v>
      </c>
      <c r="AV79" s="138">
        <f t="shared" si="19"/>
        <v>0.2336493366349558</v>
      </c>
      <c r="AW79" s="138"/>
      <c r="AX79" s="138"/>
      <c r="AY79" s="143"/>
      <c r="AZ79" s="143"/>
      <c r="BA79" s="143"/>
      <c r="BB79" s="143"/>
      <c r="BC79" s="143"/>
      <c r="BD79" s="143"/>
      <c r="BE79" s="143"/>
      <c r="BF79" s="143" t="s">
        <v>338</v>
      </c>
      <c r="BG79" s="143" t="s">
        <v>338</v>
      </c>
      <c r="BH79" s="143" t="s">
        <v>338</v>
      </c>
      <c r="BI79" s="143" t="s">
        <v>338</v>
      </c>
    </row>
    <row r="80" spans="1:61" x14ac:dyDescent="0.25">
      <c r="A80" s="136">
        <v>44336</v>
      </c>
      <c r="B80" s="137">
        <v>112301</v>
      </c>
      <c r="C80" s="140">
        <v>129893</v>
      </c>
      <c r="D80" s="140">
        <v>115301</v>
      </c>
      <c r="E80" s="138">
        <f t="shared" si="0"/>
        <v>1.1566504305393541</v>
      </c>
      <c r="F80" s="138">
        <f t="shared" si="1"/>
        <v>1.0267139206240372</v>
      </c>
      <c r="G80" s="137">
        <v>911631</v>
      </c>
      <c r="H80" s="140">
        <v>587816</v>
      </c>
      <c r="I80" s="140">
        <v>517660</v>
      </c>
      <c r="J80" s="138">
        <f t="shared" si="2"/>
        <v>0.64479597556467472</v>
      </c>
      <c r="K80" s="138">
        <f t="shared" si="3"/>
        <v>0.5678393999326482</v>
      </c>
      <c r="L80" s="137">
        <v>1976757</v>
      </c>
      <c r="M80" s="140">
        <v>1557616</v>
      </c>
      <c r="N80" s="140">
        <v>966272</v>
      </c>
      <c r="O80" s="138">
        <f t="shared" si="4"/>
        <v>0.78796533918938949</v>
      </c>
      <c r="P80" s="138">
        <f t="shared" si="5"/>
        <v>0.48881678425825736</v>
      </c>
      <c r="Q80" s="137">
        <v>3000689</v>
      </c>
      <c r="R80" s="137">
        <f t="shared" ref="R80:S80" si="170">C80+H80+M80</f>
        <v>2275325</v>
      </c>
      <c r="S80" s="137">
        <f t="shared" si="170"/>
        <v>1599233</v>
      </c>
      <c r="T80" s="139">
        <f t="shared" si="8"/>
        <v>0.75826751789339053</v>
      </c>
      <c r="U80" s="139">
        <f t="shared" si="9"/>
        <v>0.53295526460756182</v>
      </c>
      <c r="V80" s="139"/>
      <c r="W80" s="139"/>
      <c r="X80" s="139"/>
      <c r="Y80" s="139"/>
      <c r="Z80" s="139"/>
      <c r="AA80" s="139"/>
      <c r="AB80" s="139"/>
      <c r="AC80" s="137">
        <v>1468764</v>
      </c>
      <c r="AD80" s="140">
        <v>1507098</v>
      </c>
      <c r="AE80" s="140">
        <v>1375400</v>
      </c>
      <c r="AF80" s="138">
        <f t="shared" si="10"/>
        <v>1.0260994959026775</v>
      </c>
      <c r="AG80" s="138">
        <f t="shared" si="11"/>
        <v>0.93643362718585155</v>
      </c>
      <c r="AH80" s="140">
        <v>21553118</v>
      </c>
      <c r="AI80" s="140">
        <v>2944133</v>
      </c>
      <c r="AJ80" s="140">
        <v>1980252</v>
      </c>
      <c r="AK80" s="138">
        <f t="shared" si="12"/>
        <v>0.13659893663645326</v>
      </c>
      <c r="AL80" s="138">
        <f t="shared" si="13"/>
        <v>9.187775058810517E-2</v>
      </c>
      <c r="AM80" s="137">
        <v>17327169</v>
      </c>
      <c r="AN80" s="140">
        <v>9996350</v>
      </c>
      <c r="AO80" s="140">
        <v>6224200</v>
      </c>
      <c r="AP80" s="138">
        <f t="shared" si="14"/>
        <v>0.57691767189435272</v>
      </c>
      <c r="AQ80" s="138">
        <f t="shared" si="15"/>
        <v>0.35921621125759207</v>
      </c>
      <c r="AR80" s="141">
        <f t="shared" si="16"/>
        <v>40349051</v>
      </c>
      <c r="AS80" s="140">
        <f t="shared" ref="AS80:AT80" si="171">AD80+AI80+AN80</f>
        <v>14447581</v>
      </c>
      <c r="AT80" s="144">
        <f t="shared" si="171"/>
        <v>9579852</v>
      </c>
      <c r="AU80" s="138">
        <f t="shared" si="18"/>
        <v>0.35806495176305386</v>
      </c>
      <c r="AV80" s="138">
        <f t="shared" si="19"/>
        <v>0.23742446879357831</v>
      </c>
      <c r="AW80" s="138"/>
      <c r="AX80" s="138"/>
      <c r="AY80" s="143"/>
      <c r="AZ80" s="143"/>
      <c r="BA80" s="143"/>
      <c r="BB80" s="143"/>
      <c r="BC80" s="143"/>
      <c r="BD80" s="143"/>
      <c r="BE80" s="143"/>
      <c r="BF80" s="143" t="s">
        <v>339</v>
      </c>
      <c r="BG80" s="143" t="s">
        <v>338</v>
      </c>
      <c r="BH80" s="143" t="s">
        <v>340</v>
      </c>
      <c r="BI80" s="143" t="s">
        <v>338</v>
      </c>
    </row>
    <row r="81" spans="1:61" x14ac:dyDescent="0.25">
      <c r="A81" s="136">
        <v>44337</v>
      </c>
      <c r="B81" s="137">
        <v>112301</v>
      </c>
      <c r="C81" s="140">
        <v>130014</v>
      </c>
      <c r="D81" s="140">
        <v>115625</v>
      </c>
      <c r="E81" s="138">
        <f t="shared" si="0"/>
        <v>1.1577278920045235</v>
      </c>
      <c r="F81" s="138">
        <f t="shared" si="1"/>
        <v>1.0295990240514332</v>
      </c>
      <c r="G81" s="137">
        <v>911631</v>
      </c>
      <c r="H81" s="140">
        <v>588442</v>
      </c>
      <c r="I81" s="140">
        <v>520855</v>
      </c>
      <c r="J81" s="138">
        <f t="shared" si="2"/>
        <v>0.6454826569083324</v>
      </c>
      <c r="K81" s="138">
        <f t="shared" si="3"/>
        <v>0.57134410742943142</v>
      </c>
      <c r="L81" s="137">
        <v>1976757</v>
      </c>
      <c r="M81" s="140">
        <v>1584442</v>
      </c>
      <c r="N81" s="140">
        <v>990835</v>
      </c>
      <c r="O81" s="138">
        <f t="shared" si="4"/>
        <v>0.80153605121924443</v>
      </c>
      <c r="P81" s="138">
        <f t="shared" si="5"/>
        <v>0.50124269194443227</v>
      </c>
      <c r="Q81" s="137">
        <v>3000689</v>
      </c>
      <c r="R81" s="137">
        <f t="shared" ref="R81:S81" si="172">C81+H81+M81</f>
        <v>2302898</v>
      </c>
      <c r="S81" s="137">
        <f t="shared" si="172"/>
        <v>1627315</v>
      </c>
      <c r="T81" s="139">
        <f t="shared" si="8"/>
        <v>0.76745640751174149</v>
      </c>
      <c r="U81" s="139">
        <f t="shared" si="9"/>
        <v>0.542313781934749</v>
      </c>
      <c r="V81" s="139"/>
      <c r="W81" s="139"/>
      <c r="X81" s="139"/>
      <c r="Y81" s="139"/>
      <c r="Z81" s="139"/>
      <c r="AA81" s="139"/>
      <c r="AB81" s="139"/>
      <c r="AC81" s="137">
        <v>1468764</v>
      </c>
      <c r="AD81" s="140">
        <v>1508652</v>
      </c>
      <c r="AE81" s="140">
        <v>1377170</v>
      </c>
      <c r="AF81" s="138">
        <f t="shared" si="10"/>
        <v>1.0271575283707934</v>
      </c>
      <c r="AG81" s="138">
        <f t="shared" si="11"/>
        <v>0.93763872208196819</v>
      </c>
      <c r="AH81" s="140">
        <v>21553118</v>
      </c>
      <c r="AI81" s="140">
        <v>2987906</v>
      </c>
      <c r="AJ81" s="140">
        <v>2006984</v>
      </c>
      <c r="AK81" s="138">
        <f t="shared" si="12"/>
        <v>0.13862987248527103</v>
      </c>
      <c r="AL81" s="138">
        <f t="shared" si="13"/>
        <v>9.311803517245161E-2</v>
      </c>
      <c r="AM81" s="137">
        <v>17327169</v>
      </c>
      <c r="AN81" s="140">
        <v>10179623</v>
      </c>
      <c r="AO81" s="140">
        <v>6361674</v>
      </c>
      <c r="AP81" s="138">
        <f t="shared" si="14"/>
        <v>0.58749487582189563</v>
      </c>
      <c r="AQ81" s="138">
        <f t="shared" si="15"/>
        <v>0.3671502251752724</v>
      </c>
      <c r="AR81" s="141">
        <f t="shared" si="16"/>
        <v>40349051</v>
      </c>
      <c r="AS81" s="140">
        <f t="shared" ref="AS81:AT81" si="173">AD81+AI81+AN81</f>
        <v>14676181</v>
      </c>
      <c r="AT81" s="144">
        <f t="shared" si="173"/>
        <v>9745828</v>
      </c>
      <c r="AU81" s="138">
        <f t="shared" si="18"/>
        <v>0.36373051252184346</v>
      </c>
      <c r="AV81" s="138">
        <f t="shared" si="19"/>
        <v>0.24153797322271595</v>
      </c>
      <c r="AW81" s="138"/>
      <c r="AX81" s="138"/>
      <c r="AY81" s="143"/>
      <c r="AZ81" s="143"/>
      <c r="BA81" s="143"/>
      <c r="BB81" s="143"/>
      <c r="BC81" s="143"/>
      <c r="BD81" s="143"/>
      <c r="BE81" s="143"/>
      <c r="BF81" s="143" t="s">
        <v>341</v>
      </c>
      <c r="BG81" s="143" t="s">
        <v>338</v>
      </c>
      <c r="BH81" s="143" t="s">
        <v>340</v>
      </c>
      <c r="BI81" s="143" t="s">
        <v>338</v>
      </c>
    </row>
    <row r="82" spans="1:61" x14ac:dyDescent="0.25">
      <c r="A82" s="136">
        <v>44338</v>
      </c>
      <c r="B82" s="137">
        <v>112301</v>
      </c>
      <c r="C82" s="140">
        <v>130055</v>
      </c>
      <c r="D82" s="140">
        <v>115679</v>
      </c>
      <c r="E82" s="138">
        <f t="shared" si="0"/>
        <v>1.1580929822530521</v>
      </c>
      <c r="F82" s="138">
        <f t="shared" si="1"/>
        <v>1.0300798746226658</v>
      </c>
      <c r="G82" s="137">
        <v>911631</v>
      </c>
      <c r="H82" s="140">
        <v>588873</v>
      </c>
      <c r="I82" s="140">
        <v>521910</v>
      </c>
      <c r="J82" s="138">
        <f t="shared" si="2"/>
        <v>0.64595543591650573</v>
      </c>
      <c r="K82" s="138">
        <f t="shared" si="3"/>
        <v>0.57250137391115485</v>
      </c>
      <c r="L82" s="137">
        <v>1976757</v>
      </c>
      <c r="M82" s="140">
        <v>1597118</v>
      </c>
      <c r="N82" s="140">
        <v>1007097</v>
      </c>
      <c r="O82" s="138">
        <f t="shared" si="4"/>
        <v>0.8079485743568886</v>
      </c>
      <c r="P82" s="138">
        <f t="shared" si="5"/>
        <v>0.50946929744020131</v>
      </c>
      <c r="Q82" s="137">
        <v>3000689</v>
      </c>
      <c r="R82" s="137">
        <f t="shared" ref="R82:S82" si="174">C82+H82+M82</f>
        <v>2316046</v>
      </c>
      <c r="S82" s="137">
        <f t="shared" si="174"/>
        <v>1644686</v>
      </c>
      <c r="T82" s="139">
        <f t="shared" si="8"/>
        <v>0.7718380678570822</v>
      </c>
      <c r="U82" s="139">
        <f t="shared" si="9"/>
        <v>0.54810278572687809</v>
      </c>
      <c r="V82" s="139"/>
      <c r="W82" s="139"/>
      <c r="X82" s="139"/>
      <c r="Y82" s="139"/>
      <c r="Z82" s="139"/>
      <c r="AA82" s="139"/>
      <c r="AB82" s="139"/>
      <c r="AC82" s="137">
        <v>1468764</v>
      </c>
      <c r="AD82" s="140">
        <v>1509523</v>
      </c>
      <c r="AE82" s="140">
        <v>1378053</v>
      </c>
      <c r="AF82" s="138">
        <f t="shared" si="10"/>
        <v>1.0277505439948147</v>
      </c>
      <c r="AG82" s="138">
        <f t="shared" si="11"/>
        <v>0.93823990784087841</v>
      </c>
      <c r="AH82" s="140">
        <v>21553118</v>
      </c>
      <c r="AI82" s="140">
        <v>3030396</v>
      </c>
      <c r="AJ82" s="140">
        <v>2029296</v>
      </c>
      <c r="AK82" s="138">
        <f t="shared" si="12"/>
        <v>0.1406012809840321</v>
      </c>
      <c r="AL82" s="138">
        <f t="shared" si="13"/>
        <v>9.4153245020047682E-2</v>
      </c>
      <c r="AM82" s="137">
        <v>17327169</v>
      </c>
      <c r="AN82" s="140">
        <v>10317952</v>
      </c>
      <c r="AO82" s="140">
        <v>6445395</v>
      </c>
      <c r="AP82" s="138">
        <f t="shared" si="14"/>
        <v>0.59547823421125512</v>
      </c>
      <c r="AQ82" s="138">
        <f t="shared" si="15"/>
        <v>0.3719820012143934</v>
      </c>
      <c r="AR82" s="141">
        <f t="shared" si="16"/>
        <v>40349051</v>
      </c>
      <c r="AS82" s="140">
        <f t="shared" ref="AS82:AT82" si="175">AD82+AI82+AN82</f>
        <v>14857871</v>
      </c>
      <c r="AT82" s="144">
        <f t="shared" si="175"/>
        <v>9852744</v>
      </c>
      <c r="AU82" s="138">
        <f t="shared" si="18"/>
        <v>0.36823346848975458</v>
      </c>
      <c r="AV82" s="138">
        <f t="shared" si="19"/>
        <v>0.24418775053718117</v>
      </c>
      <c r="AW82" s="138"/>
      <c r="AX82" s="138"/>
      <c r="AY82" s="143"/>
      <c r="AZ82" s="143"/>
      <c r="BA82" s="143"/>
      <c r="BB82" s="143"/>
      <c r="BC82" s="143"/>
      <c r="BD82" s="143"/>
      <c r="BE82" s="143"/>
      <c r="BF82" s="143" t="s">
        <v>342</v>
      </c>
      <c r="BG82" s="143" t="s">
        <v>338</v>
      </c>
      <c r="BH82" s="143" t="s">
        <v>340</v>
      </c>
      <c r="BI82" s="143" t="s">
        <v>338</v>
      </c>
    </row>
    <row r="83" spans="1:61" x14ac:dyDescent="0.25">
      <c r="A83" s="136">
        <v>44339</v>
      </c>
      <c r="B83" s="137">
        <v>112301</v>
      </c>
      <c r="C83" s="140">
        <v>130055</v>
      </c>
      <c r="D83" s="140">
        <v>115685</v>
      </c>
      <c r="E83" s="138">
        <f t="shared" si="0"/>
        <v>1.1580929822530521</v>
      </c>
      <c r="F83" s="138">
        <f t="shared" si="1"/>
        <v>1.0301333024639139</v>
      </c>
      <c r="G83" s="137">
        <v>911631</v>
      </c>
      <c r="H83" s="140">
        <v>589306</v>
      </c>
      <c r="I83" s="140">
        <v>522510</v>
      </c>
      <c r="J83" s="138">
        <f t="shared" si="2"/>
        <v>0.64643040879478653</v>
      </c>
      <c r="K83" s="138">
        <f t="shared" si="3"/>
        <v>0.57315953494341465</v>
      </c>
      <c r="L83" s="137">
        <v>1976757</v>
      </c>
      <c r="M83" s="140">
        <v>1605233</v>
      </c>
      <c r="N83" s="140">
        <v>1018653</v>
      </c>
      <c r="O83" s="138">
        <f t="shared" si="4"/>
        <v>0.81205378303959463</v>
      </c>
      <c r="P83" s="138">
        <f t="shared" si="5"/>
        <v>0.51531523601535245</v>
      </c>
      <c r="Q83" s="137">
        <v>3000689</v>
      </c>
      <c r="R83" s="137">
        <f t="shared" ref="R83:S83" si="176">C83+H83+M83</f>
        <v>2324594</v>
      </c>
      <c r="S83" s="137">
        <f t="shared" si="176"/>
        <v>1656848</v>
      </c>
      <c r="T83" s="139">
        <f t="shared" si="8"/>
        <v>0.77468674694378525</v>
      </c>
      <c r="U83" s="139">
        <f t="shared" si="9"/>
        <v>0.5521558548719977</v>
      </c>
      <c r="V83" s="139"/>
      <c r="W83" s="139"/>
      <c r="X83" s="139"/>
      <c r="Y83" s="139"/>
      <c r="Z83" s="139"/>
      <c r="AA83" s="139"/>
      <c r="AB83" s="139"/>
      <c r="AC83" s="137">
        <v>1468764</v>
      </c>
      <c r="AD83" s="140">
        <v>1509602</v>
      </c>
      <c r="AE83" s="140">
        <v>1378175</v>
      </c>
      <c r="AF83" s="138">
        <f t="shared" si="10"/>
        <v>1.0278043307161668</v>
      </c>
      <c r="AG83" s="138">
        <f t="shared" si="11"/>
        <v>0.93832297087891592</v>
      </c>
      <c r="AH83" s="140">
        <v>21553118</v>
      </c>
      <c r="AI83" s="140">
        <v>3035376</v>
      </c>
      <c r="AJ83" s="140">
        <v>2031431</v>
      </c>
      <c r="AK83" s="138">
        <f t="shared" si="12"/>
        <v>0.14083233804037076</v>
      </c>
      <c r="AL83" s="138">
        <f t="shared" si="13"/>
        <v>9.4252302613478015E-2</v>
      </c>
      <c r="AM83" s="137">
        <v>17327169</v>
      </c>
      <c r="AN83" s="140">
        <v>10350966</v>
      </c>
      <c r="AO83" s="140">
        <v>6470711</v>
      </c>
      <c r="AP83" s="138">
        <f t="shared" si="14"/>
        <v>0.59738356565922568</v>
      </c>
      <c r="AQ83" s="138">
        <f t="shared" si="15"/>
        <v>0.37344305927875465</v>
      </c>
      <c r="AR83" s="141">
        <f t="shared" si="16"/>
        <v>40349051</v>
      </c>
      <c r="AS83" s="140">
        <f t="shared" ref="AS83:AT83" si="177">AD83+AI83+AN83</f>
        <v>14895944</v>
      </c>
      <c r="AT83" s="144">
        <f t="shared" si="177"/>
        <v>9880317</v>
      </c>
      <c r="AU83" s="138">
        <f t="shared" si="18"/>
        <v>0.36917705945549995</v>
      </c>
      <c r="AV83" s="138">
        <f t="shared" si="19"/>
        <v>0.24487111233421574</v>
      </c>
      <c r="AW83" s="138"/>
      <c r="AX83" s="138"/>
      <c r="AY83" s="143"/>
      <c r="AZ83" s="143"/>
      <c r="BA83" s="143"/>
      <c r="BB83" s="143"/>
      <c r="BC83" s="143"/>
      <c r="BD83" s="143"/>
      <c r="BE83" s="143"/>
      <c r="BF83" s="143" t="s">
        <v>343</v>
      </c>
      <c r="BG83" s="143" t="s">
        <v>338</v>
      </c>
      <c r="BH83" s="143" t="s">
        <v>340</v>
      </c>
      <c r="BI83" s="143" t="s">
        <v>338</v>
      </c>
    </row>
    <row r="84" spans="1:61" x14ac:dyDescent="0.25">
      <c r="A84" s="136">
        <v>44340</v>
      </c>
      <c r="B84" s="137">
        <v>112301</v>
      </c>
      <c r="C84" s="140">
        <v>130064</v>
      </c>
      <c r="D84" s="140">
        <v>115709</v>
      </c>
      <c r="E84" s="138">
        <f t="shared" si="0"/>
        <v>1.1581731240149242</v>
      </c>
      <c r="F84" s="138">
        <f t="shared" si="1"/>
        <v>1.0303470138289061</v>
      </c>
      <c r="G84" s="137">
        <v>911631</v>
      </c>
      <c r="H84" s="140">
        <v>589583</v>
      </c>
      <c r="I84" s="140">
        <v>523390</v>
      </c>
      <c r="J84" s="138">
        <f t="shared" si="2"/>
        <v>0.64673425980467969</v>
      </c>
      <c r="K84" s="138">
        <f t="shared" si="3"/>
        <v>0.57412483779072887</v>
      </c>
      <c r="L84" s="137">
        <v>1976757</v>
      </c>
      <c r="M84" s="140">
        <v>1609867</v>
      </c>
      <c r="N84" s="140">
        <v>1024668</v>
      </c>
      <c r="O84" s="138">
        <f t="shared" si="4"/>
        <v>0.81439802666690952</v>
      </c>
      <c r="P84" s="138">
        <f t="shared" si="5"/>
        <v>0.51835809864338411</v>
      </c>
      <c r="Q84" s="137">
        <v>3000689</v>
      </c>
      <c r="R84" s="137">
        <f t="shared" ref="R84:S84" si="178">C84+H84+M84</f>
        <v>2329514</v>
      </c>
      <c r="S84" s="137">
        <f t="shared" si="178"/>
        <v>1663767</v>
      </c>
      <c r="T84" s="139">
        <f t="shared" si="8"/>
        <v>0.77632637037693675</v>
      </c>
      <c r="U84" s="139">
        <f t="shared" si="9"/>
        <v>0.55446165863906594</v>
      </c>
      <c r="V84" s="139"/>
      <c r="W84" s="139"/>
      <c r="X84" s="139"/>
      <c r="Y84" s="139"/>
      <c r="Z84" s="139"/>
      <c r="AA84" s="139"/>
      <c r="AB84" s="139"/>
      <c r="AC84" s="137">
        <v>1468764</v>
      </c>
      <c r="AD84" s="140">
        <v>1509688</v>
      </c>
      <c r="AE84" s="140">
        <v>1378297</v>
      </c>
      <c r="AF84" s="138">
        <f t="shared" si="10"/>
        <v>1.0278628833495373</v>
      </c>
      <c r="AG84" s="138">
        <f t="shared" si="11"/>
        <v>0.93840603391695332</v>
      </c>
      <c r="AH84" s="140">
        <v>21553118</v>
      </c>
      <c r="AI84" s="140">
        <v>3037155</v>
      </c>
      <c r="AJ84" s="140">
        <v>2035034</v>
      </c>
      <c r="AK84" s="138">
        <f t="shared" si="12"/>
        <v>0.14091487830206284</v>
      </c>
      <c r="AL84" s="138">
        <f t="shared" si="13"/>
        <v>9.4419471001829056E-2</v>
      </c>
      <c r="AM84" s="137">
        <v>17327169</v>
      </c>
      <c r="AN84" s="140">
        <v>10358642</v>
      </c>
      <c r="AO84" s="140">
        <v>6482944</v>
      </c>
      <c r="AP84" s="138">
        <f t="shared" si="14"/>
        <v>0.59782656936052281</v>
      </c>
      <c r="AQ84" s="138">
        <f t="shared" si="15"/>
        <v>0.37414906035717665</v>
      </c>
      <c r="AR84" s="141">
        <f t="shared" si="16"/>
        <v>40349051</v>
      </c>
      <c r="AS84" s="140">
        <f t="shared" ref="AS84:AT84" si="179">AD84+AI84+AN84</f>
        <v>14905485</v>
      </c>
      <c r="AT84" s="144">
        <f t="shared" si="179"/>
        <v>9896275</v>
      </c>
      <c r="AU84" s="138">
        <f t="shared" si="18"/>
        <v>0.36941352102680186</v>
      </c>
      <c r="AV84" s="138">
        <f t="shared" si="19"/>
        <v>0.24526661110319548</v>
      </c>
      <c r="AW84" s="138"/>
      <c r="AX84" s="138"/>
      <c r="AY84" s="143"/>
      <c r="AZ84" s="143"/>
      <c r="BA84" s="143"/>
      <c r="BB84" s="143"/>
      <c r="BC84" s="143"/>
      <c r="BD84" s="143"/>
      <c r="BE84" s="143"/>
      <c r="BF84" s="143" t="s">
        <v>344</v>
      </c>
      <c r="BG84" s="143" t="s">
        <v>338</v>
      </c>
      <c r="BH84" s="143" t="s">
        <v>340</v>
      </c>
      <c r="BI84" s="143" t="s">
        <v>338</v>
      </c>
    </row>
    <row r="85" spans="1:61" x14ac:dyDescent="0.25">
      <c r="A85" s="136">
        <v>44341</v>
      </c>
      <c r="B85" s="137">
        <v>112301</v>
      </c>
      <c r="C85" s="140">
        <v>130238</v>
      </c>
      <c r="D85" s="140">
        <v>116082</v>
      </c>
      <c r="E85" s="138">
        <f t="shared" si="0"/>
        <v>1.1597225314111184</v>
      </c>
      <c r="F85" s="138">
        <f t="shared" si="1"/>
        <v>1.0336684446264948</v>
      </c>
      <c r="G85" s="137">
        <v>911631</v>
      </c>
      <c r="H85" s="140">
        <v>590267</v>
      </c>
      <c r="I85" s="140">
        <v>526945</v>
      </c>
      <c r="J85" s="138">
        <f t="shared" si="2"/>
        <v>0.64748456338145588</v>
      </c>
      <c r="K85" s="138">
        <f t="shared" si="3"/>
        <v>0.57802444190686797</v>
      </c>
      <c r="L85" s="137">
        <v>1976757</v>
      </c>
      <c r="M85" s="140">
        <v>1652727</v>
      </c>
      <c r="N85" s="140">
        <v>1061588</v>
      </c>
      <c r="O85" s="138">
        <f t="shared" si="4"/>
        <v>0.83608000376374025</v>
      </c>
      <c r="P85" s="138">
        <f t="shared" si="5"/>
        <v>0.5370351540427073</v>
      </c>
      <c r="Q85" s="137">
        <v>3000689</v>
      </c>
      <c r="R85" s="137">
        <f t="shared" ref="R85:S85" si="180">C85+H85+M85</f>
        <v>2373232</v>
      </c>
      <c r="S85" s="137">
        <f t="shared" si="180"/>
        <v>1704615</v>
      </c>
      <c r="T85" s="139">
        <f t="shared" si="8"/>
        <v>0.7908956909563104</v>
      </c>
      <c r="U85" s="139">
        <f t="shared" si="9"/>
        <v>0.56807453221576776</v>
      </c>
      <c r="V85" s="139"/>
      <c r="W85" s="139"/>
      <c r="X85" s="139"/>
      <c r="Y85" s="139"/>
      <c r="Z85" s="139"/>
      <c r="AA85" s="139"/>
      <c r="AB85" s="139"/>
      <c r="AC85" s="137">
        <v>1468764</v>
      </c>
      <c r="AD85" s="140">
        <v>1511907</v>
      </c>
      <c r="AE85" s="140">
        <v>1380437</v>
      </c>
      <c r="AF85" s="138">
        <f t="shared" si="10"/>
        <v>1.0293736774594149</v>
      </c>
      <c r="AG85" s="138">
        <f t="shared" si="11"/>
        <v>0.9398630413054786</v>
      </c>
      <c r="AH85" s="140">
        <v>21553118</v>
      </c>
      <c r="AI85" s="140">
        <v>3116601</v>
      </c>
      <c r="AJ85" s="140">
        <v>2083789</v>
      </c>
      <c r="AK85" s="138">
        <f t="shared" si="12"/>
        <v>0.1446009343056536</v>
      </c>
      <c r="AL85" s="138">
        <f t="shared" si="13"/>
        <v>9.668155670098405E-2</v>
      </c>
      <c r="AM85" s="137">
        <v>17327169</v>
      </c>
      <c r="AN85" s="140">
        <v>10683409</v>
      </c>
      <c r="AO85" s="140">
        <v>6660547</v>
      </c>
      <c r="AP85" s="138">
        <f t="shared" si="14"/>
        <v>0.61656979279188651</v>
      </c>
      <c r="AQ85" s="138">
        <f t="shared" si="15"/>
        <v>0.38439903252516322</v>
      </c>
      <c r="AR85" s="141">
        <f t="shared" si="16"/>
        <v>40349051</v>
      </c>
      <c r="AS85" s="140">
        <f t="shared" ref="AS85:AT85" si="181">AD85+AI85+AN85</f>
        <v>15311917</v>
      </c>
      <c r="AT85" s="144">
        <f t="shared" si="181"/>
        <v>10124773</v>
      </c>
      <c r="AU85" s="138">
        <f t="shared" si="18"/>
        <v>0.37948642212179912</v>
      </c>
      <c r="AV85" s="138">
        <f t="shared" si="19"/>
        <v>0.25092964392148903</v>
      </c>
      <c r="AW85" s="138"/>
      <c r="AX85" s="138"/>
      <c r="AY85" s="143"/>
      <c r="AZ85" s="143"/>
      <c r="BA85" s="143"/>
      <c r="BB85" s="143"/>
      <c r="BC85" s="143"/>
      <c r="BD85" s="143"/>
      <c r="BE85" s="143"/>
      <c r="BF85" s="143" t="s">
        <v>345</v>
      </c>
      <c r="BG85" s="143" t="s">
        <v>338</v>
      </c>
      <c r="BH85" s="143" t="s">
        <v>340</v>
      </c>
      <c r="BI85" s="143" t="s">
        <v>338</v>
      </c>
    </row>
    <row r="86" spans="1:61" x14ac:dyDescent="0.25">
      <c r="A86" s="136">
        <v>44342</v>
      </c>
      <c r="B86" s="137">
        <v>112301</v>
      </c>
      <c r="C86" s="140">
        <v>130312</v>
      </c>
      <c r="D86" s="140">
        <v>116230</v>
      </c>
      <c r="E86" s="138">
        <f t="shared" si="0"/>
        <v>1.1603814747865113</v>
      </c>
      <c r="F86" s="138">
        <f t="shared" si="1"/>
        <v>1.0349863313772807</v>
      </c>
      <c r="G86" s="137">
        <v>911631</v>
      </c>
      <c r="H86" s="140">
        <v>591012</v>
      </c>
      <c r="I86" s="140">
        <v>528669</v>
      </c>
      <c r="J86" s="138">
        <f t="shared" si="2"/>
        <v>0.64830177999651173</v>
      </c>
      <c r="K86" s="138">
        <f t="shared" si="3"/>
        <v>0.57991555793956107</v>
      </c>
      <c r="L86" s="137">
        <v>1976757</v>
      </c>
      <c r="M86" s="140">
        <v>1676765</v>
      </c>
      <c r="N86" s="140">
        <v>1087265</v>
      </c>
      <c r="O86" s="138">
        <f t="shared" si="4"/>
        <v>0.84824032493624657</v>
      </c>
      <c r="P86" s="138">
        <f t="shared" si="5"/>
        <v>0.55002461101693334</v>
      </c>
      <c r="Q86" s="137">
        <v>3000689</v>
      </c>
      <c r="R86" s="137">
        <f t="shared" ref="R86:S86" si="182">C86+H86+M86</f>
        <v>2398089</v>
      </c>
      <c r="S86" s="137">
        <f t="shared" si="182"/>
        <v>1732164</v>
      </c>
      <c r="T86" s="139">
        <f t="shared" si="8"/>
        <v>0.79917945511847444</v>
      </c>
      <c r="U86" s="139">
        <f t="shared" si="9"/>
        <v>0.57725542367103022</v>
      </c>
      <c r="V86" s="139"/>
      <c r="W86" s="139"/>
      <c r="X86" s="139"/>
      <c r="Y86" s="139"/>
      <c r="Z86" s="139"/>
      <c r="AA86" s="139"/>
      <c r="AB86" s="139"/>
      <c r="AC86" s="137">
        <v>1468764</v>
      </c>
      <c r="AD86" s="140">
        <v>1513104</v>
      </c>
      <c r="AE86" s="140">
        <v>1381501</v>
      </c>
      <c r="AF86" s="138">
        <f t="shared" si="10"/>
        <v>1.0301886484145852</v>
      </c>
      <c r="AG86" s="138">
        <f t="shared" si="11"/>
        <v>0.94058745993229687</v>
      </c>
      <c r="AH86" s="140">
        <v>21553118</v>
      </c>
      <c r="AI86" s="140">
        <v>3153442</v>
      </c>
      <c r="AJ86" s="140">
        <v>2098872</v>
      </c>
      <c r="AK86" s="138">
        <f t="shared" si="12"/>
        <v>0.14631024615556784</v>
      </c>
      <c r="AL86" s="138">
        <f t="shared" si="13"/>
        <v>9.7381362640894933E-2</v>
      </c>
      <c r="AM86" s="137">
        <v>17327169</v>
      </c>
      <c r="AN86" s="140">
        <v>10847764</v>
      </c>
      <c r="AO86" s="140">
        <v>6743753</v>
      </c>
      <c r="AP86" s="138">
        <f t="shared" si="14"/>
        <v>0.62605518535659233</v>
      </c>
      <c r="AQ86" s="138">
        <f t="shared" si="15"/>
        <v>0.38920108645561197</v>
      </c>
      <c r="AR86" s="141">
        <f t="shared" si="16"/>
        <v>40349051</v>
      </c>
      <c r="AS86" s="140">
        <f t="shared" ref="AS86:AT86" si="183">AD86+AI86+AN86</f>
        <v>15514310</v>
      </c>
      <c r="AT86" s="144">
        <f t="shared" si="183"/>
        <v>10224126</v>
      </c>
      <c r="AU86" s="138">
        <f t="shared" si="18"/>
        <v>0.38450247565921686</v>
      </c>
      <c r="AV86" s="138">
        <f t="shared" si="19"/>
        <v>0.25339198188329137</v>
      </c>
      <c r="AW86" s="138"/>
      <c r="AX86" s="138"/>
      <c r="AY86" s="143"/>
      <c r="AZ86" s="143"/>
      <c r="BA86" s="143"/>
      <c r="BB86" s="143"/>
      <c r="BC86" s="143"/>
      <c r="BD86" s="143"/>
      <c r="BE86" s="143"/>
      <c r="BF86" s="143" t="s">
        <v>346</v>
      </c>
      <c r="BG86" s="143" t="s">
        <v>338</v>
      </c>
      <c r="BH86" s="143" t="s">
        <v>340</v>
      </c>
      <c r="BI86" s="143" t="s">
        <v>338</v>
      </c>
    </row>
    <row r="87" spans="1:61" x14ac:dyDescent="0.25">
      <c r="A87" s="136">
        <v>44343</v>
      </c>
      <c r="B87" s="137">
        <v>112301</v>
      </c>
      <c r="C87" s="140">
        <v>130439</v>
      </c>
      <c r="D87" s="140">
        <v>116619</v>
      </c>
      <c r="E87" s="138">
        <f t="shared" si="0"/>
        <v>1.1615123640929288</v>
      </c>
      <c r="F87" s="138">
        <f t="shared" si="1"/>
        <v>1.0384502364181976</v>
      </c>
      <c r="G87" s="137">
        <v>911631</v>
      </c>
      <c r="H87" s="140">
        <v>591661</v>
      </c>
      <c r="I87" s="140">
        <v>531718</v>
      </c>
      <c r="J87" s="138">
        <f t="shared" si="2"/>
        <v>0.64901369084640603</v>
      </c>
      <c r="K87" s="138">
        <f t="shared" si="3"/>
        <v>0.58326011291849444</v>
      </c>
      <c r="L87" s="137">
        <v>1976757</v>
      </c>
      <c r="M87" s="140">
        <v>1707434</v>
      </c>
      <c r="N87" s="140">
        <v>1121955</v>
      </c>
      <c r="O87" s="138">
        <f t="shared" si="4"/>
        <v>0.86375513024615569</v>
      </c>
      <c r="P87" s="138">
        <f t="shared" si="5"/>
        <v>0.56757355608200699</v>
      </c>
      <c r="Q87" s="137">
        <v>3000689</v>
      </c>
      <c r="R87" s="137">
        <f t="shared" ref="R87:S87" si="184">C87+H87+M87</f>
        <v>2429534</v>
      </c>
      <c r="S87" s="137">
        <f t="shared" si="184"/>
        <v>1770292</v>
      </c>
      <c r="T87" s="139">
        <f t="shared" si="8"/>
        <v>0.80965871504844389</v>
      </c>
      <c r="U87" s="139">
        <f t="shared" si="9"/>
        <v>0.58996183876436381</v>
      </c>
      <c r="V87" s="139"/>
      <c r="W87" s="139"/>
      <c r="X87" s="139"/>
      <c r="Y87" s="139"/>
      <c r="Z87" s="139"/>
      <c r="AA87" s="139"/>
      <c r="AB87" s="139"/>
      <c r="AC87" s="137">
        <v>1468764</v>
      </c>
      <c r="AD87" s="140">
        <v>1513104</v>
      </c>
      <c r="AE87" s="140">
        <v>1381501</v>
      </c>
      <c r="AF87" s="138">
        <f t="shared" si="10"/>
        <v>1.0301886484145852</v>
      </c>
      <c r="AG87" s="138">
        <f t="shared" si="11"/>
        <v>0.94058745993229687</v>
      </c>
      <c r="AH87" s="140">
        <v>21553118</v>
      </c>
      <c r="AI87" s="140">
        <v>3153442</v>
      </c>
      <c r="AJ87" s="140">
        <v>2098872</v>
      </c>
      <c r="AK87" s="138">
        <f t="shared" si="12"/>
        <v>0.14631024615556784</v>
      </c>
      <c r="AL87" s="138">
        <f t="shared" si="13"/>
        <v>9.7381362640894933E-2</v>
      </c>
      <c r="AM87" s="137">
        <v>17327169</v>
      </c>
      <c r="AN87" s="140">
        <v>10847764</v>
      </c>
      <c r="AO87" s="140">
        <v>6743753</v>
      </c>
      <c r="AP87" s="138">
        <f t="shared" si="14"/>
        <v>0.62605518535659233</v>
      </c>
      <c r="AQ87" s="138">
        <f t="shared" si="15"/>
        <v>0.38920108645561197</v>
      </c>
      <c r="AR87" s="141">
        <f t="shared" si="16"/>
        <v>40349051</v>
      </c>
      <c r="AS87" s="140">
        <f t="shared" ref="AS87:AT87" si="185">AD87+AI87+AN87</f>
        <v>15514310</v>
      </c>
      <c r="AT87" s="144">
        <f t="shared" si="185"/>
        <v>10224126</v>
      </c>
      <c r="AU87" s="138">
        <f t="shared" si="18"/>
        <v>0.38450247565921686</v>
      </c>
      <c r="AV87" s="138">
        <f t="shared" si="19"/>
        <v>0.25339198188329137</v>
      </c>
      <c r="AW87" s="138"/>
      <c r="AX87" s="138"/>
      <c r="AY87" s="143"/>
      <c r="AZ87" s="143"/>
      <c r="BA87" s="143"/>
      <c r="BB87" s="143"/>
      <c r="BC87" s="143"/>
      <c r="BD87" s="143"/>
      <c r="BE87" s="143"/>
      <c r="BF87" s="143" t="s">
        <v>347</v>
      </c>
      <c r="BG87" s="143" t="s">
        <v>338</v>
      </c>
      <c r="BH87" s="143" t="s">
        <v>340</v>
      </c>
      <c r="BI87" s="143" t="s">
        <v>338</v>
      </c>
    </row>
    <row r="88" spans="1:61" x14ac:dyDescent="0.25">
      <c r="A88" s="136">
        <v>44344</v>
      </c>
      <c r="B88" s="137">
        <v>112301</v>
      </c>
      <c r="C88" s="140">
        <v>133442</v>
      </c>
      <c r="D88" s="140">
        <v>119578</v>
      </c>
      <c r="E88" s="138">
        <f t="shared" si="0"/>
        <v>1.18825299863759</v>
      </c>
      <c r="F88" s="138">
        <f t="shared" si="1"/>
        <v>1.0647990667937062</v>
      </c>
      <c r="G88" s="137">
        <v>911631</v>
      </c>
      <c r="H88" s="140">
        <v>591661</v>
      </c>
      <c r="I88" s="140">
        <v>531718</v>
      </c>
      <c r="J88" s="138">
        <f t="shared" si="2"/>
        <v>0.64901369084640603</v>
      </c>
      <c r="K88" s="138">
        <f t="shared" si="3"/>
        <v>0.58326011291849444</v>
      </c>
      <c r="L88" s="137">
        <v>1976757</v>
      </c>
      <c r="M88" s="140">
        <v>1707434</v>
      </c>
      <c r="N88" s="140">
        <v>1121955</v>
      </c>
      <c r="O88" s="138">
        <f t="shared" si="4"/>
        <v>0.86375513024615569</v>
      </c>
      <c r="P88" s="138">
        <f t="shared" si="5"/>
        <v>0.56757355608200699</v>
      </c>
      <c r="Q88" s="137">
        <v>3000689</v>
      </c>
      <c r="R88" s="137">
        <f t="shared" ref="R88:S88" si="186">C88+H88+M88</f>
        <v>2432537</v>
      </c>
      <c r="S88" s="137">
        <f t="shared" si="186"/>
        <v>1773251</v>
      </c>
      <c r="T88" s="139">
        <f t="shared" si="8"/>
        <v>0.81065948520489794</v>
      </c>
      <c r="U88" s="139">
        <f t="shared" si="9"/>
        <v>0.59094794562182218</v>
      </c>
      <c r="V88" s="139"/>
      <c r="W88" s="139"/>
      <c r="X88" s="139"/>
      <c r="Y88" s="139"/>
      <c r="Z88" s="139"/>
      <c r="AA88" s="139"/>
      <c r="AB88" s="139"/>
      <c r="AC88" s="137">
        <v>1468764</v>
      </c>
      <c r="AD88" s="140">
        <v>1516031</v>
      </c>
      <c r="AE88" s="140">
        <v>1384767</v>
      </c>
      <c r="AF88" s="138">
        <f t="shared" si="10"/>
        <v>1.0321814804829095</v>
      </c>
      <c r="AG88" s="138">
        <f t="shared" si="11"/>
        <v>0.94281109831123311</v>
      </c>
      <c r="AH88" s="140">
        <v>21553118</v>
      </c>
      <c r="AI88" s="140">
        <v>3251706</v>
      </c>
      <c r="AJ88" s="140">
        <v>2165628</v>
      </c>
      <c r="AK88" s="138">
        <f t="shared" si="12"/>
        <v>0.15086940089132347</v>
      </c>
      <c r="AL88" s="138">
        <f t="shared" si="13"/>
        <v>0.10047864072381546</v>
      </c>
      <c r="AM88" s="137">
        <v>17327169</v>
      </c>
      <c r="AN88" s="140">
        <v>11291975</v>
      </c>
      <c r="AO88" s="140">
        <v>6961338</v>
      </c>
      <c r="AP88" s="138">
        <f t="shared" si="14"/>
        <v>0.65169186033794668</v>
      </c>
      <c r="AQ88" s="138">
        <f t="shared" si="15"/>
        <v>0.40175853308754594</v>
      </c>
      <c r="AR88" s="141">
        <f t="shared" si="16"/>
        <v>40349051</v>
      </c>
      <c r="AS88" s="140">
        <f t="shared" ref="AS88:AT88" si="187">AD88+AI88+AN88</f>
        <v>16059712</v>
      </c>
      <c r="AT88" s="144">
        <f t="shared" si="187"/>
        <v>10511733</v>
      </c>
      <c r="AU88" s="138">
        <f t="shared" si="18"/>
        <v>0.39801957176142755</v>
      </c>
      <c r="AV88" s="138">
        <f t="shared" si="19"/>
        <v>0.26051995621904467</v>
      </c>
      <c r="AW88" s="138"/>
      <c r="AX88" s="138"/>
      <c r="AY88" s="143"/>
      <c r="AZ88" s="143"/>
      <c r="BA88" s="143"/>
      <c r="BB88" s="143"/>
      <c r="BC88" s="143"/>
      <c r="BD88" s="143"/>
      <c r="BE88" s="143"/>
      <c r="BF88" s="143" t="s">
        <v>348</v>
      </c>
      <c r="BG88" s="143" t="s">
        <v>338</v>
      </c>
      <c r="BH88" s="143" t="s">
        <v>340</v>
      </c>
      <c r="BI88" s="143" t="s">
        <v>338</v>
      </c>
    </row>
    <row r="89" spans="1:61" x14ac:dyDescent="0.25">
      <c r="A89" s="136">
        <v>44345</v>
      </c>
      <c r="B89" s="137">
        <v>112301</v>
      </c>
      <c r="C89" s="140">
        <v>133442</v>
      </c>
      <c r="D89" s="140">
        <v>119578</v>
      </c>
      <c r="E89" s="138">
        <f t="shared" si="0"/>
        <v>1.18825299863759</v>
      </c>
      <c r="F89" s="138">
        <f t="shared" si="1"/>
        <v>1.0647990667937062</v>
      </c>
      <c r="G89" s="137">
        <v>911631</v>
      </c>
      <c r="H89" s="140">
        <v>591661</v>
      </c>
      <c r="I89" s="140">
        <v>531718</v>
      </c>
      <c r="J89" s="138">
        <f t="shared" si="2"/>
        <v>0.64901369084640603</v>
      </c>
      <c r="K89" s="138">
        <f t="shared" si="3"/>
        <v>0.58326011291849444</v>
      </c>
      <c r="L89" s="137">
        <v>1976757</v>
      </c>
      <c r="M89" s="140">
        <v>1707434</v>
      </c>
      <c r="N89" s="140">
        <v>1121955</v>
      </c>
      <c r="O89" s="138">
        <f t="shared" si="4"/>
        <v>0.86375513024615569</v>
      </c>
      <c r="P89" s="138">
        <f t="shared" si="5"/>
        <v>0.56757355608200699</v>
      </c>
      <c r="Q89" s="137">
        <v>3000689</v>
      </c>
      <c r="R89" s="137">
        <f t="shared" ref="R89:S89" si="188">C89+H89+M89</f>
        <v>2432537</v>
      </c>
      <c r="S89" s="137">
        <f t="shared" si="188"/>
        <v>1773251</v>
      </c>
      <c r="T89" s="139">
        <f t="shared" si="8"/>
        <v>0.81065948520489794</v>
      </c>
      <c r="U89" s="139">
        <f t="shared" si="9"/>
        <v>0.59094794562182218</v>
      </c>
      <c r="V89" s="139"/>
      <c r="W89" s="139"/>
      <c r="X89" s="139"/>
      <c r="Y89" s="139"/>
      <c r="Z89" s="139"/>
      <c r="AA89" s="139"/>
      <c r="AB89" s="139"/>
      <c r="AC89" s="137">
        <v>1468764</v>
      </c>
      <c r="AD89" s="140">
        <v>1516876</v>
      </c>
      <c r="AE89" s="140">
        <v>1385402</v>
      </c>
      <c r="AF89" s="138">
        <f t="shared" si="10"/>
        <v>1.0327567941480047</v>
      </c>
      <c r="AG89" s="138">
        <f t="shared" si="11"/>
        <v>0.9432434346157722</v>
      </c>
      <c r="AH89" s="140">
        <v>21553118</v>
      </c>
      <c r="AI89" s="140">
        <v>3293415</v>
      </c>
      <c r="AJ89" s="140">
        <v>2176967</v>
      </c>
      <c r="AK89" s="138">
        <f t="shared" si="12"/>
        <v>0.15280457333365874</v>
      </c>
      <c r="AL89" s="138">
        <f t="shared" si="13"/>
        <v>0.10100473629847895</v>
      </c>
      <c r="AM89" s="137">
        <v>17327169</v>
      </c>
      <c r="AN89" s="140">
        <v>11446457</v>
      </c>
      <c r="AO89" s="140">
        <v>7008311</v>
      </c>
      <c r="AP89" s="138">
        <f t="shared" si="14"/>
        <v>0.66060745410863131</v>
      </c>
      <c r="AQ89" s="138">
        <f t="shared" si="15"/>
        <v>0.40446947796261468</v>
      </c>
      <c r="AR89" s="141">
        <f t="shared" si="16"/>
        <v>40349051</v>
      </c>
      <c r="AS89" s="140">
        <f t="shared" ref="AS89:AT89" si="189">AD89+AI89+AN89</f>
        <v>16256748</v>
      </c>
      <c r="AT89" s="144">
        <f t="shared" si="189"/>
        <v>10570680</v>
      </c>
      <c r="AU89" s="138">
        <f t="shared" si="18"/>
        <v>0.40290285885534211</v>
      </c>
      <c r="AV89" s="138">
        <f t="shared" si="19"/>
        <v>0.26198088277218712</v>
      </c>
      <c r="AW89" s="138"/>
      <c r="AX89" s="138"/>
      <c r="AY89" s="143"/>
      <c r="AZ89" s="143"/>
      <c r="BA89" s="143"/>
      <c r="BB89" s="143"/>
      <c r="BC89" s="143"/>
      <c r="BD89" s="143"/>
      <c r="BE89" s="143"/>
      <c r="BF89" s="143" t="s">
        <v>349</v>
      </c>
      <c r="BG89" s="143" t="s">
        <v>338</v>
      </c>
      <c r="BH89" s="143" t="s">
        <v>340</v>
      </c>
      <c r="BI89" s="143" t="s">
        <v>338</v>
      </c>
    </row>
    <row r="90" spans="1:61" x14ac:dyDescent="0.25">
      <c r="A90" s="136">
        <v>44346</v>
      </c>
      <c r="B90" s="137">
        <v>112301</v>
      </c>
      <c r="C90" s="140">
        <v>133466</v>
      </c>
      <c r="D90" s="140">
        <v>119600</v>
      </c>
      <c r="E90" s="138">
        <f t="shared" si="0"/>
        <v>1.1884667100025823</v>
      </c>
      <c r="F90" s="138">
        <f t="shared" si="1"/>
        <v>1.0649949688782825</v>
      </c>
      <c r="G90" s="137">
        <v>911631</v>
      </c>
      <c r="H90" s="140">
        <v>591661</v>
      </c>
      <c r="I90" s="140">
        <v>531718</v>
      </c>
      <c r="J90" s="138">
        <f t="shared" si="2"/>
        <v>0.64901369084640603</v>
      </c>
      <c r="K90" s="138">
        <f t="shared" si="3"/>
        <v>0.58326011291849444</v>
      </c>
      <c r="L90" s="137">
        <v>1976757</v>
      </c>
      <c r="M90" s="140">
        <v>1707434</v>
      </c>
      <c r="N90" s="140">
        <v>1124013</v>
      </c>
      <c r="O90" s="138">
        <f t="shared" si="4"/>
        <v>0.86375513024615569</v>
      </c>
      <c r="P90" s="138">
        <f t="shared" si="5"/>
        <v>0.56861465521558796</v>
      </c>
      <c r="Q90" s="137">
        <v>3000689</v>
      </c>
      <c r="R90" s="137">
        <f t="shared" ref="R90:S90" si="190">C90+H90+M90</f>
        <v>2432561</v>
      </c>
      <c r="S90" s="137">
        <f t="shared" si="190"/>
        <v>1775331</v>
      </c>
      <c r="T90" s="139">
        <f t="shared" si="8"/>
        <v>0.81066748336798644</v>
      </c>
      <c r="U90" s="139">
        <f t="shared" si="9"/>
        <v>0.59164111975616263</v>
      </c>
      <c r="V90" s="139"/>
      <c r="W90" s="139"/>
      <c r="X90" s="139"/>
      <c r="Y90" s="139"/>
      <c r="Z90" s="139"/>
      <c r="AA90" s="139"/>
      <c r="AB90" s="139"/>
      <c r="AC90" s="137">
        <v>1468764</v>
      </c>
      <c r="AD90" s="140">
        <v>1516911</v>
      </c>
      <c r="AE90" s="140">
        <v>1385433</v>
      </c>
      <c r="AF90" s="138">
        <f t="shared" si="10"/>
        <v>1.0327806237080974</v>
      </c>
      <c r="AG90" s="138">
        <f t="shared" si="11"/>
        <v>0.94326454079756861</v>
      </c>
      <c r="AH90" s="140">
        <v>21553118</v>
      </c>
      <c r="AI90" s="140">
        <v>3294841</v>
      </c>
      <c r="AJ90" s="140">
        <v>2177631</v>
      </c>
      <c r="AK90" s="138">
        <f t="shared" si="12"/>
        <v>0.15287073545461033</v>
      </c>
      <c r="AL90" s="138">
        <f t="shared" si="13"/>
        <v>0.10103554390599077</v>
      </c>
      <c r="AM90" s="137">
        <v>17327169</v>
      </c>
      <c r="AN90" s="140">
        <v>11446457</v>
      </c>
      <c r="AO90" s="140">
        <v>7008311</v>
      </c>
      <c r="AP90" s="138">
        <f t="shared" si="14"/>
        <v>0.66060745410863131</v>
      </c>
      <c r="AQ90" s="138">
        <f t="shared" si="15"/>
        <v>0.40446947796261468</v>
      </c>
      <c r="AR90" s="141">
        <f t="shared" si="16"/>
        <v>40349051</v>
      </c>
      <c r="AS90" s="140">
        <f t="shared" ref="AS90:AT90" si="191">AD90+AI90+AN90</f>
        <v>16258209</v>
      </c>
      <c r="AT90" s="144">
        <f t="shared" si="191"/>
        <v>10571375</v>
      </c>
      <c r="AU90" s="138">
        <f t="shared" si="18"/>
        <v>0.40293906788538841</v>
      </c>
      <c r="AV90" s="138">
        <f t="shared" si="19"/>
        <v>0.26199810746478275</v>
      </c>
      <c r="AW90" s="138"/>
      <c r="AX90" s="138"/>
      <c r="AY90" s="143"/>
      <c r="AZ90" s="143"/>
      <c r="BA90" s="143"/>
      <c r="BB90" s="143"/>
      <c r="BC90" s="143"/>
      <c r="BD90" s="143"/>
      <c r="BE90" s="143"/>
      <c r="BF90" s="143" t="s">
        <v>350</v>
      </c>
      <c r="BG90" s="143" t="s">
        <v>338</v>
      </c>
      <c r="BH90" s="143" t="s">
        <v>340</v>
      </c>
      <c r="BI90" s="143" t="s">
        <v>338</v>
      </c>
    </row>
    <row r="91" spans="1:61" x14ac:dyDescent="0.25">
      <c r="A91" s="136">
        <v>44347</v>
      </c>
      <c r="B91" s="137">
        <v>112301</v>
      </c>
      <c r="C91" s="140">
        <v>133466</v>
      </c>
      <c r="D91" s="140">
        <v>119600</v>
      </c>
      <c r="E91" s="138">
        <f t="shared" si="0"/>
        <v>1.1884667100025823</v>
      </c>
      <c r="F91" s="138">
        <f t="shared" si="1"/>
        <v>1.0649949688782825</v>
      </c>
      <c r="G91" s="137">
        <v>911631</v>
      </c>
      <c r="H91" s="140">
        <v>591661</v>
      </c>
      <c r="I91" s="140">
        <v>531718</v>
      </c>
      <c r="J91" s="138">
        <f t="shared" si="2"/>
        <v>0.64901369084640603</v>
      </c>
      <c r="K91" s="138">
        <f t="shared" si="3"/>
        <v>0.58326011291849444</v>
      </c>
      <c r="L91" s="137">
        <v>1976757</v>
      </c>
      <c r="M91" s="140">
        <v>1794667</v>
      </c>
      <c r="N91" s="140">
        <v>1145836</v>
      </c>
      <c r="O91" s="138">
        <f t="shared" si="4"/>
        <v>0.90788447947825657</v>
      </c>
      <c r="P91" s="138">
        <f t="shared" si="5"/>
        <v>0.57965445423994955</v>
      </c>
      <c r="Q91" s="137">
        <v>3000689</v>
      </c>
      <c r="R91" s="137">
        <f t="shared" ref="R91:S91" si="192">C91+H91+M91</f>
        <v>2519794</v>
      </c>
      <c r="S91" s="137">
        <f t="shared" si="192"/>
        <v>1797154</v>
      </c>
      <c r="T91" s="139">
        <f t="shared" si="8"/>
        <v>0.83973847339727647</v>
      </c>
      <c r="U91" s="139">
        <f t="shared" si="9"/>
        <v>0.59891378280121665</v>
      </c>
      <c r="V91" s="139"/>
      <c r="W91" s="139"/>
      <c r="X91" s="139"/>
      <c r="Y91" s="139"/>
      <c r="Z91" s="139"/>
      <c r="AA91" s="139"/>
      <c r="AB91" s="139"/>
      <c r="AC91" s="137">
        <v>1468764</v>
      </c>
      <c r="AD91" s="140">
        <v>1518202</v>
      </c>
      <c r="AE91" s="140">
        <v>1386778</v>
      </c>
      <c r="AF91" s="138">
        <f t="shared" si="10"/>
        <v>1.0336595940532312</v>
      </c>
      <c r="AG91" s="138">
        <f t="shared" si="11"/>
        <v>0.94418027674970251</v>
      </c>
      <c r="AH91" s="140">
        <v>21553118</v>
      </c>
      <c r="AI91" s="140">
        <v>3340338</v>
      </c>
      <c r="AJ91" s="140">
        <v>2198723</v>
      </c>
      <c r="AK91" s="138">
        <f t="shared" si="12"/>
        <v>0.15498165973016062</v>
      </c>
      <c r="AL91" s="138">
        <f t="shared" si="13"/>
        <v>0.10201414941448379</v>
      </c>
      <c r="AM91" s="137">
        <v>17327169</v>
      </c>
      <c r="AN91" s="140">
        <v>11663306</v>
      </c>
      <c r="AO91" s="140">
        <v>7111644</v>
      </c>
      <c r="AP91" s="138">
        <f t="shared" si="14"/>
        <v>0.67312242409593859</v>
      </c>
      <c r="AQ91" s="138">
        <f t="shared" si="15"/>
        <v>0.41043311807023986</v>
      </c>
      <c r="AR91" s="141">
        <f t="shared" si="16"/>
        <v>40349051</v>
      </c>
      <c r="AS91" s="140">
        <f t="shared" ref="AS91:AT91" si="193">AD91+AI91+AN91</f>
        <v>16521846</v>
      </c>
      <c r="AT91" s="144">
        <f t="shared" si="193"/>
        <v>10697145</v>
      </c>
      <c r="AU91" s="138">
        <f t="shared" si="18"/>
        <v>0.40947297620457046</v>
      </c>
      <c r="AV91" s="138">
        <f t="shared" si="19"/>
        <v>0.26511515723133117</v>
      </c>
      <c r="AW91" s="138"/>
      <c r="AX91" s="138"/>
      <c r="AY91" s="143"/>
      <c r="AZ91" s="143"/>
      <c r="BA91" s="143"/>
      <c r="BB91" s="143"/>
      <c r="BC91" s="143"/>
      <c r="BD91" s="143"/>
      <c r="BE91" s="143"/>
      <c r="BF91" s="143" t="s">
        <v>351</v>
      </c>
      <c r="BG91" s="143" t="s">
        <v>338</v>
      </c>
      <c r="BH91" s="143" t="s">
        <v>340</v>
      </c>
      <c r="BI91" s="143" t="s">
        <v>338</v>
      </c>
    </row>
    <row r="92" spans="1:61" x14ac:dyDescent="0.25">
      <c r="A92" s="136">
        <v>44348</v>
      </c>
      <c r="B92" s="137">
        <v>112301</v>
      </c>
      <c r="C92" s="140">
        <v>133593</v>
      </c>
      <c r="D92" s="140">
        <v>119829</v>
      </c>
      <c r="E92" s="138">
        <f t="shared" si="0"/>
        <v>1.189597599309</v>
      </c>
      <c r="F92" s="138">
        <f t="shared" si="1"/>
        <v>1.0670341314859173</v>
      </c>
      <c r="G92" s="137">
        <v>911631</v>
      </c>
      <c r="H92" s="140">
        <v>591661</v>
      </c>
      <c r="I92" s="140">
        <v>531832</v>
      </c>
      <c r="J92" s="138">
        <f t="shared" si="2"/>
        <v>0.64901369084640603</v>
      </c>
      <c r="K92" s="138">
        <f t="shared" si="3"/>
        <v>0.58338516351462377</v>
      </c>
      <c r="L92" s="137">
        <v>1976757</v>
      </c>
      <c r="M92" s="140">
        <v>1794667</v>
      </c>
      <c r="N92" s="140">
        <v>1152681</v>
      </c>
      <c r="O92" s="138">
        <f t="shared" si="4"/>
        <v>0.90788447947825657</v>
      </c>
      <c r="P92" s="138">
        <f t="shared" si="5"/>
        <v>0.58311719649911442</v>
      </c>
      <c r="Q92" s="137">
        <v>3000689</v>
      </c>
      <c r="R92" s="137">
        <f t="shared" ref="R92:S92" si="194">C92+H92+M92</f>
        <v>2519921</v>
      </c>
      <c r="S92" s="137">
        <f t="shared" si="194"/>
        <v>1804342</v>
      </c>
      <c r="T92" s="139">
        <f t="shared" si="8"/>
        <v>0.83978079701028663</v>
      </c>
      <c r="U92" s="139">
        <f t="shared" si="9"/>
        <v>0.60130923264623559</v>
      </c>
      <c r="V92" s="139"/>
      <c r="W92" s="139"/>
      <c r="X92" s="139"/>
      <c r="Y92" s="139"/>
      <c r="Z92" s="139"/>
      <c r="AA92" s="139"/>
      <c r="AB92" s="139"/>
      <c r="AC92" s="137">
        <v>1468764</v>
      </c>
      <c r="AD92" s="140">
        <v>1518383</v>
      </c>
      <c r="AE92" s="140">
        <v>1386931</v>
      </c>
      <c r="AF92" s="138">
        <f t="shared" si="10"/>
        <v>1.0337828269211391</v>
      </c>
      <c r="AG92" s="138">
        <f t="shared" si="11"/>
        <v>0.94428444596953631</v>
      </c>
      <c r="AH92" s="140">
        <v>21553118</v>
      </c>
      <c r="AI92" s="140">
        <v>3345008</v>
      </c>
      <c r="AJ92" s="140">
        <v>2200524</v>
      </c>
      <c r="AK92" s="138">
        <f t="shared" si="12"/>
        <v>0.1551983337167272</v>
      </c>
      <c r="AL92" s="138">
        <f t="shared" si="13"/>
        <v>0.10209771041015968</v>
      </c>
      <c r="AM92" s="137">
        <v>17327169</v>
      </c>
      <c r="AN92" s="140">
        <v>11704499</v>
      </c>
      <c r="AO92" s="140">
        <v>7132916</v>
      </c>
      <c r="AP92" s="138">
        <f t="shared" si="14"/>
        <v>0.67549978879988992</v>
      </c>
      <c r="AQ92" s="138">
        <f t="shared" si="15"/>
        <v>0.41166078544048368</v>
      </c>
      <c r="AR92" s="141">
        <f t="shared" si="16"/>
        <v>40349051</v>
      </c>
      <c r="AS92" s="140">
        <f t="shared" ref="AS92:AT92" si="195">AD92+AI92+AN92</f>
        <v>16567890</v>
      </c>
      <c r="AT92" s="144">
        <f t="shared" si="195"/>
        <v>10720371</v>
      </c>
      <c r="AU92" s="138">
        <f t="shared" si="18"/>
        <v>0.41061411828496286</v>
      </c>
      <c r="AV92" s="138">
        <f t="shared" si="19"/>
        <v>0.26569078415251945</v>
      </c>
      <c r="AW92" s="138"/>
      <c r="AX92" s="138"/>
      <c r="AY92" s="143"/>
      <c r="AZ92" s="143"/>
      <c r="BA92" s="143"/>
      <c r="BB92" s="143"/>
      <c r="BC92" s="143"/>
      <c r="BD92" s="143"/>
      <c r="BE92" s="143"/>
      <c r="BF92" s="143" t="s">
        <v>352</v>
      </c>
      <c r="BG92" s="143" t="s">
        <v>338</v>
      </c>
      <c r="BH92" s="143" t="s">
        <v>340</v>
      </c>
      <c r="BI92" s="143" t="s">
        <v>338</v>
      </c>
    </row>
    <row r="93" spans="1:61" x14ac:dyDescent="0.25">
      <c r="A93" s="136">
        <v>44349</v>
      </c>
      <c r="B93" s="137">
        <v>112301</v>
      </c>
      <c r="C93" s="140">
        <v>133773</v>
      </c>
      <c r="D93" s="140">
        <v>120240</v>
      </c>
      <c r="E93" s="138">
        <f t="shared" si="0"/>
        <v>1.1912004345464422</v>
      </c>
      <c r="F93" s="138">
        <f t="shared" si="1"/>
        <v>1.0706939386114105</v>
      </c>
      <c r="G93" s="137">
        <v>911631</v>
      </c>
      <c r="H93" s="140">
        <v>591661</v>
      </c>
      <c r="I93" s="140">
        <v>532949</v>
      </c>
      <c r="J93" s="138">
        <f t="shared" si="2"/>
        <v>0.64901369084640603</v>
      </c>
      <c r="K93" s="138">
        <f t="shared" si="3"/>
        <v>0.58461043996968076</v>
      </c>
      <c r="L93" s="137">
        <v>1976757</v>
      </c>
      <c r="M93" s="140">
        <v>1794667</v>
      </c>
      <c r="N93" s="140">
        <v>1176722</v>
      </c>
      <c r="O93" s="138">
        <f t="shared" si="4"/>
        <v>0.90788447947825657</v>
      </c>
      <c r="P93" s="138">
        <f t="shared" si="5"/>
        <v>0.59527903530884174</v>
      </c>
      <c r="Q93" s="137">
        <v>3000689</v>
      </c>
      <c r="R93" s="137">
        <f t="shared" ref="R93:S93" si="196">C93+H93+M93</f>
        <v>2520101</v>
      </c>
      <c r="S93" s="137">
        <f t="shared" si="196"/>
        <v>1829911</v>
      </c>
      <c r="T93" s="139">
        <f t="shared" si="8"/>
        <v>0.83984078323345068</v>
      </c>
      <c r="U93" s="139">
        <f t="shared" si="9"/>
        <v>0.60983027564669312</v>
      </c>
      <c r="V93" s="139"/>
      <c r="W93" s="139"/>
      <c r="X93" s="139"/>
      <c r="Y93" s="139"/>
      <c r="Z93" s="139"/>
      <c r="AA93" s="139"/>
      <c r="AB93" s="139"/>
      <c r="AC93" s="137">
        <v>1468764</v>
      </c>
      <c r="AD93" s="140">
        <v>1519593</v>
      </c>
      <c r="AE93" s="140">
        <v>1388681</v>
      </c>
      <c r="AF93" s="138">
        <f t="shared" si="10"/>
        <v>1.0346066488557726</v>
      </c>
      <c r="AG93" s="138">
        <f t="shared" si="11"/>
        <v>0.94547592397417146</v>
      </c>
      <c r="AH93" s="140">
        <v>21553118</v>
      </c>
      <c r="AI93" s="140">
        <v>3390271</v>
      </c>
      <c r="AJ93" s="140">
        <v>2232677</v>
      </c>
      <c r="AK93" s="138">
        <f t="shared" si="12"/>
        <v>0.15729840109444954</v>
      </c>
      <c r="AL93" s="138">
        <f t="shared" si="13"/>
        <v>0.10358951312752057</v>
      </c>
      <c r="AM93" s="137">
        <v>17327169</v>
      </c>
      <c r="AN93" s="140">
        <v>11899323</v>
      </c>
      <c r="AO93" s="140">
        <v>7255044</v>
      </c>
      <c r="AP93" s="138">
        <f t="shared" si="14"/>
        <v>0.68674363365417623</v>
      </c>
      <c r="AQ93" s="138">
        <f t="shared" si="15"/>
        <v>0.41870913823256412</v>
      </c>
      <c r="AR93" s="141">
        <f t="shared" si="16"/>
        <v>40349051</v>
      </c>
      <c r="AS93" s="140">
        <f t="shared" ref="AS93:AT93" si="197">AD93+AI93+AN93</f>
        <v>16809187</v>
      </c>
      <c r="AT93" s="144">
        <f t="shared" si="197"/>
        <v>10876402</v>
      </c>
      <c r="AU93" s="138">
        <f t="shared" si="18"/>
        <v>0.41659435806804973</v>
      </c>
      <c r="AV93" s="138">
        <f t="shared" si="19"/>
        <v>0.26955781438329246</v>
      </c>
      <c r="AW93" s="138"/>
      <c r="AX93" s="138"/>
      <c r="AY93" s="143"/>
      <c r="AZ93" s="143"/>
      <c r="BA93" s="143"/>
      <c r="BB93" s="143"/>
      <c r="BC93" s="143"/>
      <c r="BD93" s="143"/>
      <c r="BE93" s="143"/>
      <c r="BF93" s="143" t="s">
        <v>353</v>
      </c>
      <c r="BG93" s="143" t="s">
        <v>338</v>
      </c>
      <c r="BH93" s="143" t="s">
        <v>340</v>
      </c>
      <c r="BI93" s="143" t="s">
        <v>338</v>
      </c>
    </row>
    <row r="94" spans="1:61" x14ac:dyDescent="0.25">
      <c r="A94" s="136">
        <v>44350</v>
      </c>
      <c r="B94" s="137">
        <v>112301</v>
      </c>
      <c r="C94" s="140">
        <v>135712</v>
      </c>
      <c r="D94" s="140">
        <v>120240</v>
      </c>
      <c r="E94" s="138">
        <f t="shared" si="0"/>
        <v>1.2084665319097783</v>
      </c>
      <c r="F94" s="138">
        <f t="shared" si="1"/>
        <v>1.0706939386114105</v>
      </c>
      <c r="G94" s="137">
        <v>911631</v>
      </c>
      <c r="H94" s="140">
        <v>593122</v>
      </c>
      <c r="I94" s="140">
        <v>533954</v>
      </c>
      <c r="J94" s="138">
        <f t="shared" si="2"/>
        <v>0.65061631295995859</v>
      </c>
      <c r="K94" s="138">
        <f t="shared" si="3"/>
        <v>0.58571285969871578</v>
      </c>
      <c r="L94" s="137">
        <v>1976757</v>
      </c>
      <c r="M94" s="140">
        <v>1805312</v>
      </c>
      <c r="N94" s="140">
        <v>1180307</v>
      </c>
      <c r="O94" s="138">
        <f t="shared" si="4"/>
        <v>0.91326956221730848</v>
      </c>
      <c r="P94" s="138">
        <f t="shared" si="5"/>
        <v>0.59709261178789297</v>
      </c>
      <c r="Q94" s="137">
        <v>3000689</v>
      </c>
      <c r="R94" s="137">
        <f t="shared" ref="R94:S94" si="198">C94+H94+M94</f>
        <v>2534146</v>
      </c>
      <c r="S94" s="137">
        <f t="shared" si="198"/>
        <v>1834501</v>
      </c>
      <c r="T94" s="139">
        <f t="shared" si="8"/>
        <v>0.84452137492422574</v>
      </c>
      <c r="U94" s="139">
        <f t="shared" si="9"/>
        <v>0.61135992433737718</v>
      </c>
      <c r="V94" s="139"/>
      <c r="W94" s="139"/>
      <c r="X94" s="139"/>
      <c r="Y94" s="139"/>
      <c r="Z94" s="139"/>
      <c r="AA94" s="139"/>
      <c r="AB94" s="139"/>
      <c r="AC94" s="137">
        <v>1468764</v>
      </c>
      <c r="AD94" s="140">
        <v>1520919</v>
      </c>
      <c r="AE94" s="140">
        <v>1390115</v>
      </c>
      <c r="AF94" s="138">
        <f t="shared" si="10"/>
        <v>1.035509448760999</v>
      </c>
      <c r="AG94" s="138">
        <f t="shared" si="11"/>
        <v>0.94645225509339825</v>
      </c>
      <c r="AH94" s="140">
        <v>21553118</v>
      </c>
      <c r="AI94" s="140">
        <v>3441880</v>
      </c>
      <c r="AJ94" s="140">
        <v>2262419</v>
      </c>
      <c r="AK94" s="138">
        <f t="shared" si="12"/>
        <v>0.15969290382950624</v>
      </c>
      <c r="AL94" s="138">
        <f t="shared" si="13"/>
        <v>0.10496945267965405</v>
      </c>
      <c r="AM94" s="137">
        <v>17327169</v>
      </c>
      <c r="AN94" s="140">
        <v>12141282</v>
      </c>
      <c r="AO94" s="140">
        <v>7349911</v>
      </c>
      <c r="AP94" s="138">
        <f t="shared" si="14"/>
        <v>0.70070777286237584</v>
      </c>
      <c r="AQ94" s="138">
        <f t="shared" si="15"/>
        <v>0.42418418150131737</v>
      </c>
      <c r="AR94" s="141">
        <f t="shared" si="16"/>
        <v>40349051</v>
      </c>
      <c r="AS94" s="140">
        <f t="shared" ref="AS94:AT94" si="199">AD94+AI94+AN94</f>
        <v>17104081</v>
      </c>
      <c r="AT94" s="144">
        <f t="shared" si="199"/>
        <v>11002445</v>
      </c>
      <c r="AU94" s="138">
        <f t="shared" si="18"/>
        <v>0.42390293144688829</v>
      </c>
      <c r="AV94" s="138">
        <f t="shared" si="19"/>
        <v>0.27268163010822732</v>
      </c>
      <c r="AW94" s="138"/>
      <c r="AX94" s="138"/>
      <c r="AY94" s="143"/>
      <c r="AZ94" s="143"/>
      <c r="BA94" s="143"/>
      <c r="BB94" s="143"/>
      <c r="BC94" s="143"/>
      <c r="BD94" s="143"/>
      <c r="BE94" s="143"/>
      <c r="BF94" s="143" t="s">
        <v>354</v>
      </c>
      <c r="BG94" s="143" t="s">
        <v>338</v>
      </c>
      <c r="BH94" s="143" t="s">
        <v>340</v>
      </c>
      <c r="BI94" s="143" t="s">
        <v>338</v>
      </c>
    </row>
    <row r="95" spans="1:61" x14ac:dyDescent="0.25">
      <c r="A95" s="136">
        <v>44351</v>
      </c>
      <c r="B95" s="137">
        <v>112301</v>
      </c>
      <c r="C95" s="140">
        <v>135712</v>
      </c>
      <c r="D95" s="140">
        <v>120490</v>
      </c>
      <c r="E95" s="138">
        <f t="shared" si="0"/>
        <v>1.2084665319097783</v>
      </c>
      <c r="F95" s="138">
        <f t="shared" si="1"/>
        <v>1.0729200986634135</v>
      </c>
      <c r="G95" s="137">
        <v>911631</v>
      </c>
      <c r="H95" s="140">
        <v>593332</v>
      </c>
      <c r="I95" s="140">
        <v>534307</v>
      </c>
      <c r="J95" s="138">
        <f t="shared" si="2"/>
        <v>0.65084666932124946</v>
      </c>
      <c r="K95" s="138">
        <f t="shared" si="3"/>
        <v>0.58610007777269535</v>
      </c>
      <c r="L95" s="137">
        <v>1976757</v>
      </c>
      <c r="M95" s="140">
        <f t="shared" ref="M95:M119" si="200">R95-H95-C95</f>
        <v>1846940</v>
      </c>
      <c r="N95" s="140">
        <v>1186829</v>
      </c>
      <c r="O95" s="138">
        <f t="shared" si="4"/>
        <v>0.93432829629539693</v>
      </c>
      <c r="P95" s="138">
        <f t="shared" si="5"/>
        <v>0.60039195510626753</v>
      </c>
      <c r="Q95" s="137">
        <v>3000689</v>
      </c>
      <c r="R95" s="137">
        <v>2575984</v>
      </c>
      <c r="S95" s="137">
        <f t="shared" ref="S95:S97" si="201">D95+I95+N95</f>
        <v>1841626</v>
      </c>
      <c r="T95" s="139">
        <f t="shared" si="8"/>
        <v>0.85846417272833009</v>
      </c>
      <c r="U95" s="139">
        <f t="shared" si="9"/>
        <v>0.61373437900428873</v>
      </c>
      <c r="V95" s="139"/>
      <c r="W95" s="139"/>
      <c r="X95" s="139"/>
      <c r="Y95" s="139"/>
      <c r="Z95" s="139"/>
      <c r="AA95" s="139"/>
      <c r="AB95" s="139"/>
      <c r="AC95" s="137">
        <v>1468764</v>
      </c>
      <c r="AD95" s="140">
        <v>1521660</v>
      </c>
      <c r="AE95" s="140">
        <v>1390990</v>
      </c>
      <c r="AF95" s="138">
        <f t="shared" si="10"/>
        <v>1.0360139545903904</v>
      </c>
      <c r="AG95" s="138">
        <f t="shared" si="11"/>
        <v>0.94704799409571583</v>
      </c>
      <c r="AH95" s="140">
        <v>21553118</v>
      </c>
      <c r="AI95" s="140">
        <v>3472441</v>
      </c>
      <c r="AJ95" s="140">
        <v>2277856</v>
      </c>
      <c r="AK95" s="138">
        <f t="shared" si="12"/>
        <v>0.1611108425240376</v>
      </c>
      <c r="AL95" s="138">
        <f t="shared" si="13"/>
        <v>0.10568568315730466</v>
      </c>
      <c r="AM95" s="137">
        <v>17327169</v>
      </c>
      <c r="AN95" s="140">
        <v>12372171</v>
      </c>
      <c r="AO95" s="140">
        <v>7400836</v>
      </c>
      <c r="AP95" s="138">
        <f t="shared" si="14"/>
        <v>0.71403303101620352</v>
      </c>
      <c r="AQ95" s="138">
        <f t="shared" si="15"/>
        <v>0.42712320748992522</v>
      </c>
      <c r="AR95" s="141">
        <f t="shared" si="16"/>
        <v>40349051</v>
      </c>
      <c r="AS95" s="140">
        <f t="shared" ref="AS95:AT95" si="202">AD95+AI95+AN95</f>
        <v>17366272</v>
      </c>
      <c r="AT95" s="144">
        <f t="shared" si="202"/>
        <v>11069682</v>
      </c>
      <c r="AU95" s="138">
        <f t="shared" si="18"/>
        <v>0.43040100249197932</v>
      </c>
      <c r="AV95" s="138">
        <f t="shared" si="19"/>
        <v>0.2743480137859996</v>
      </c>
      <c r="AW95" s="138"/>
      <c r="AX95" s="138"/>
      <c r="AY95" s="143"/>
      <c r="AZ95" s="143"/>
      <c r="BA95" s="143"/>
      <c r="BB95" s="143"/>
      <c r="BC95" s="143"/>
      <c r="BD95" s="143"/>
      <c r="BE95" s="143"/>
      <c r="BF95" s="143" t="s">
        <v>355</v>
      </c>
      <c r="BG95" s="143" t="s">
        <v>338</v>
      </c>
      <c r="BH95" s="143" t="s">
        <v>340</v>
      </c>
      <c r="BI95" s="143" t="s">
        <v>338</v>
      </c>
    </row>
    <row r="96" spans="1:61" x14ac:dyDescent="0.25">
      <c r="A96" s="136">
        <v>44352</v>
      </c>
      <c r="B96" s="137">
        <v>112301</v>
      </c>
      <c r="C96" s="140">
        <v>135712</v>
      </c>
      <c r="D96" s="140">
        <v>120490</v>
      </c>
      <c r="E96" s="138">
        <f t="shared" si="0"/>
        <v>1.2084665319097783</v>
      </c>
      <c r="F96" s="138">
        <f t="shared" si="1"/>
        <v>1.0729200986634135</v>
      </c>
      <c r="G96" s="137">
        <v>911631</v>
      </c>
      <c r="H96" s="140">
        <v>593332</v>
      </c>
      <c r="I96" s="140">
        <v>534407</v>
      </c>
      <c r="J96" s="138">
        <f t="shared" si="2"/>
        <v>0.65084666932124946</v>
      </c>
      <c r="K96" s="138">
        <f t="shared" si="3"/>
        <v>0.58620977127807194</v>
      </c>
      <c r="L96" s="137">
        <v>1976757</v>
      </c>
      <c r="M96" s="140">
        <f t="shared" si="200"/>
        <v>1854565</v>
      </c>
      <c r="N96" s="140">
        <v>1186860</v>
      </c>
      <c r="O96" s="138">
        <f t="shared" si="4"/>
        <v>0.93818562423201235</v>
      </c>
      <c r="P96" s="138">
        <f t="shared" si="5"/>
        <v>0.60040763735755076</v>
      </c>
      <c r="Q96" s="137">
        <v>3000689</v>
      </c>
      <c r="R96" s="137">
        <v>2583609</v>
      </c>
      <c r="S96" s="137">
        <f t="shared" si="201"/>
        <v>1841757</v>
      </c>
      <c r="T96" s="139">
        <f t="shared" si="8"/>
        <v>0.86100525579291953</v>
      </c>
      <c r="U96" s="139">
        <f t="shared" si="9"/>
        <v>0.6137780356444803</v>
      </c>
      <c r="V96" s="139"/>
      <c r="W96" s="139"/>
      <c r="X96" s="139"/>
      <c r="Y96" s="139"/>
      <c r="Z96" s="139"/>
      <c r="AA96" s="139"/>
      <c r="AB96" s="139"/>
      <c r="AC96" s="137">
        <v>1468764</v>
      </c>
      <c r="AD96" s="140">
        <v>1522193</v>
      </c>
      <c r="AE96" s="140">
        <v>1391547</v>
      </c>
      <c r="AF96" s="138">
        <f t="shared" si="10"/>
        <v>1.0363768447483734</v>
      </c>
      <c r="AG96" s="138">
        <f t="shared" si="11"/>
        <v>0.94742722452347683</v>
      </c>
      <c r="AH96" s="140">
        <v>21553118</v>
      </c>
      <c r="AI96" s="140">
        <v>3499667</v>
      </c>
      <c r="AJ96" s="140">
        <v>2296633</v>
      </c>
      <c r="AK96" s="138">
        <f t="shared" si="12"/>
        <v>0.16237404722602083</v>
      </c>
      <c r="AL96" s="138">
        <f t="shared" si="13"/>
        <v>0.10655687961249968</v>
      </c>
      <c r="AM96" s="137">
        <v>17327169</v>
      </c>
      <c r="AN96" s="140">
        <v>12571219</v>
      </c>
      <c r="AO96" s="140">
        <v>7437870</v>
      </c>
      <c r="AP96" s="138">
        <f t="shared" si="14"/>
        <v>0.72552065487443451</v>
      </c>
      <c r="AQ96" s="138">
        <f t="shared" si="15"/>
        <v>0.42926054452403622</v>
      </c>
      <c r="AR96" s="141">
        <f t="shared" si="16"/>
        <v>40349051</v>
      </c>
      <c r="AS96" s="140">
        <f t="shared" ref="AS96:AT96" si="203">AD96+AI96+AN96</f>
        <v>17593079</v>
      </c>
      <c r="AT96" s="144">
        <f t="shared" si="203"/>
        <v>11126050</v>
      </c>
      <c r="AU96" s="138">
        <f t="shared" si="18"/>
        <v>0.43602212602224522</v>
      </c>
      <c r="AV96" s="138">
        <f t="shared" si="19"/>
        <v>0.27574502309856058</v>
      </c>
      <c r="AW96" s="138"/>
      <c r="AX96" s="138"/>
      <c r="AY96" s="143"/>
      <c r="AZ96" s="143"/>
      <c r="BA96" s="143"/>
      <c r="BB96" s="143"/>
      <c r="BC96" s="143"/>
      <c r="BD96" s="143"/>
      <c r="BE96" s="143"/>
      <c r="BF96" s="143" t="s">
        <v>356</v>
      </c>
      <c r="BG96" s="143" t="s">
        <v>338</v>
      </c>
      <c r="BH96" s="143" t="s">
        <v>340</v>
      </c>
      <c r="BI96" s="143" t="s">
        <v>338</v>
      </c>
    </row>
    <row r="97" spans="1:61" x14ac:dyDescent="0.25">
      <c r="A97" s="136">
        <v>44353</v>
      </c>
      <c r="B97" s="137">
        <v>112301</v>
      </c>
      <c r="C97" s="140">
        <v>135728</v>
      </c>
      <c r="D97" s="140">
        <v>120491</v>
      </c>
      <c r="E97" s="138">
        <f t="shared" si="0"/>
        <v>1.2086090061531063</v>
      </c>
      <c r="F97" s="138">
        <f t="shared" si="1"/>
        <v>1.0729290033036216</v>
      </c>
      <c r="G97" s="137">
        <v>911631</v>
      </c>
      <c r="H97" s="140">
        <v>593332</v>
      </c>
      <c r="I97" s="140">
        <v>534410</v>
      </c>
      <c r="J97" s="138">
        <f t="shared" si="2"/>
        <v>0.65084666932124946</v>
      </c>
      <c r="K97" s="138">
        <f t="shared" si="3"/>
        <v>0.58621306208323321</v>
      </c>
      <c r="L97" s="137">
        <v>1976757</v>
      </c>
      <c r="M97" s="140">
        <f t="shared" si="200"/>
        <v>1856406</v>
      </c>
      <c r="N97" s="140">
        <v>1186874</v>
      </c>
      <c r="O97" s="138">
        <f t="shared" si="4"/>
        <v>0.93911694760661024</v>
      </c>
      <c r="P97" s="138">
        <f t="shared" si="5"/>
        <v>0.60041471966458193</v>
      </c>
      <c r="Q97" s="137">
        <v>3000689</v>
      </c>
      <c r="R97" s="137">
        <v>2585466</v>
      </c>
      <c r="S97" s="137">
        <f t="shared" si="201"/>
        <v>1841775</v>
      </c>
      <c r="T97" s="139">
        <f t="shared" si="8"/>
        <v>0.86162411366189562</v>
      </c>
      <c r="U97" s="139">
        <f t="shared" si="9"/>
        <v>0.61378403426679673</v>
      </c>
      <c r="V97" s="139"/>
      <c r="W97" s="139"/>
      <c r="X97" s="139"/>
      <c r="Y97" s="139"/>
      <c r="Z97" s="139"/>
      <c r="AA97" s="139"/>
      <c r="AB97" s="139"/>
      <c r="AC97" s="137">
        <v>1468764</v>
      </c>
      <c r="AD97" s="140">
        <v>1522193</v>
      </c>
      <c r="AE97" s="140">
        <v>1391547</v>
      </c>
      <c r="AF97" s="138">
        <f t="shared" si="10"/>
        <v>1.0363768447483734</v>
      </c>
      <c r="AG97" s="138">
        <f t="shared" si="11"/>
        <v>0.94742722452347683</v>
      </c>
      <c r="AH97" s="140">
        <v>21553118</v>
      </c>
      <c r="AI97" s="140">
        <v>3499667</v>
      </c>
      <c r="AJ97" s="140">
        <v>2296633</v>
      </c>
      <c r="AK97" s="138">
        <f t="shared" si="12"/>
        <v>0.16237404722602083</v>
      </c>
      <c r="AL97" s="138">
        <f t="shared" si="13"/>
        <v>0.10655687961249968</v>
      </c>
      <c r="AM97" s="137">
        <v>17327169</v>
      </c>
      <c r="AN97" s="140">
        <v>12571219</v>
      </c>
      <c r="AO97" s="140">
        <v>7437870</v>
      </c>
      <c r="AP97" s="138">
        <f t="shared" si="14"/>
        <v>0.72552065487443451</v>
      </c>
      <c r="AQ97" s="138">
        <f t="shared" si="15"/>
        <v>0.42926054452403622</v>
      </c>
      <c r="AR97" s="141">
        <f t="shared" si="16"/>
        <v>40349051</v>
      </c>
      <c r="AS97" s="140">
        <f t="shared" ref="AS97:AT97" si="204">AD97+AI97+AN97</f>
        <v>17593079</v>
      </c>
      <c r="AT97" s="144">
        <f t="shared" si="204"/>
        <v>11126050</v>
      </c>
      <c r="AU97" s="138">
        <f t="shared" si="18"/>
        <v>0.43602212602224522</v>
      </c>
      <c r="AV97" s="138">
        <f t="shared" si="19"/>
        <v>0.27574502309856058</v>
      </c>
      <c r="AW97" s="138"/>
      <c r="AX97" s="138"/>
      <c r="AY97" s="143"/>
      <c r="AZ97" s="143"/>
      <c r="BA97" s="143"/>
      <c r="BB97" s="143"/>
      <c r="BC97" s="143"/>
      <c r="BD97" s="143"/>
      <c r="BE97" s="143"/>
      <c r="BF97" s="143" t="s">
        <v>356</v>
      </c>
      <c r="BG97" s="143" t="s">
        <v>338</v>
      </c>
      <c r="BH97" s="143" t="s">
        <v>340</v>
      </c>
      <c r="BI97" s="143" t="s">
        <v>338</v>
      </c>
    </row>
    <row r="98" spans="1:61" x14ac:dyDescent="0.25">
      <c r="A98" s="136">
        <v>44354</v>
      </c>
      <c r="B98" s="137">
        <v>112301</v>
      </c>
      <c r="C98" s="140">
        <v>135728</v>
      </c>
      <c r="D98" s="140">
        <v>120568</v>
      </c>
      <c r="E98" s="138">
        <f t="shared" si="0"/>
        <v>1.2086090061531063</v>
      </c>
      <c r="F98" s="138">
        <f t="shared" si="1"/>
        <v>1.0736146605996384</v>
      </c>
      <c r="G98" s="137">
        <v>911631</v>
      </c>
      <c r="H98" s="140">
        <v>593442</v>
      </c>
      <c r="I98" s="140">
        <v>534697</v>
      </c>
      <c r="J98" s="138">
        <f t="shared" si="2"/>
        <v>0.65096733217716374</v>
      </c>
      <c r="K98" s="138">
        <f t="shared" si="3"/>
        <v>0.58652788244366416</v>
      </c>
      <c r="L98" s="137">
        <v>1976757</v>
      </c>
      <c r="M98" s="140">
        <f t="shared" si="200"/>
        <v>1878591</v>
      </c>
      <c r="N98" s="140">
        <f>S98-D98-I98</f>
        <v>1190433</v>
      </c>
      <c r="O98" s="138">
        <f t="shared" si="4"/>
        <v>0.95033987485563476</v>
      </c>
      <c r="P98" s="138">
        <f t="shared" si="5"/>
        <v>0.60221514328771819</v>
      </c>
      <c r="Q98" s="137">
        <v>3000689</v>
      </c>
      <c r="R98" s="137">
        <v>2607761</v>
      </c>
      <c r="S98" s="137">
        <v>1845698</v>
      </c>
      <c r="T98" s="139">
        <f t="shared" si="8"/>
        <v>0.86905407391435763</v>
      </c>
      <c r="U98" s="139">
        <f t="shared" si="9"/>
        <v>0.61509140067497836</v>
      </c>
      <c r="V98" s="139"/>
      <c r="W98" s="139"/>
      <c r="X98" s="139"/>
      <c r="Y98" s="139"/>
      <c r="Z98" s="139"/>
      <c r="AA98" s="139"/>
      <c r="AB98" s="139"/>
      <c r="AC98" s="137">
        <v>1468764</v>
      </c>
      <c r="AD98" s="140">
        <v>1523336</v>
      </c>
      <c r="AE98" s="140">
        <v>1392873</v>
      </c>
      <c r="AF98" s="138">
        <f t="shared" si="10"/>
        <v>1.0371550500965439</v>
      </c>
      <c r="AG98" s="138">
        <f t="shared" si="11"/>
        <v>0.94833002442870329</v>
      </c>
      <c r="AH98" s="140">
        <v>21553118</v>
      </c>
      <c r="AI98" s="140">
        <v>3536666</v>
      </c>
      <c r="AJ98" s="140">
        <v>2319990</v>
      </c>
      <c r="AK98" s="138">
        <f t="shared" si="12"/>
        <v>0.16409068980181893</v>
      </c>
      <c r="AL98" s="138">
        <f t="shared" si="13"/>
        <v>0.10764057432432746</v>
      </c>
      <c r="AM98" s="137">
        <v>17327169</v>
      </c>
      <c r="AN98" s="140">
        <v>12693203</v>
      </c>
      <c r="AO98" s="140">
        <v>7517751</v>
      </c>
      <c r="AP98" s="138">
        <f t="shared" si="14"/>
        <v>0.73256069701865323</v>
      </c>
      <c r="AQ98" s="138">
        <f t="shared" si="15"/>
        <v>0.43387070328684391</v>
      </c>
      <c r="AR98" s="141">
        <f t="shared" si="16"/>
        <v>40349051</v>
      </c>
      <c r="AS98" s="140">
        <f t="shared" ref="AS98:AT98" si="205">AD98+AI98+AN98</f>
        <v>17753205</v>
      </c>
      <c r="AT98" s="144">
        <f t="shared" si="205"/>
        <v>11230614</v>
      </c>
      <c r="AU98" s="138">
        <f t="shared" si="18"/>
        <v>0.4399906456288154</v>
      </c>
      <c r="AV98" s="138">
        <f t="shared" si="19"/>
        <v>0.27833650907923463</v>
      </c>
      <c r="AW98" s="138"/>
      <c r="AX98" s="138"/>
      <c r="AY98" s="143"/>
      <c r="AZ98" s="143"/>
      <c r="BA98" s="143"/>
      <c r="BB98" s="143"/>
      <c r="BC98" s="143"/>
      <c r="BD98" s="143"/>
      <c r="BE98" s="143"/>
      <c r="BF98" s="143" t="s">
        <v>356</v>
      </c>
      <c r="BG98" s="143" t="s">
        <v>338</v>
      </c>
      <c r="BH98" s="143" t="s">
        <v>340</v>
      </c>
      <c r="BI98" s="143" t="s">
        <v>338</v>
      </c>
    </row>
    <row r="99" spans="1:61" x14ac:dyDescent="0.25">
      <c r="A99" s="136">
        <v>44355</v>
      </c>
      <c r="B99" s="137">
        <v>112301</v>
      </c>
      <c r="C99" s="140">
        <v>135728</v>
      </c>
      <c r="D99" s="140">
        <v>120568</v>
      </c>
      <c r="E99" s="138">
        <f t="shared" si="0"/>
        <v>1.2086090061531063</v>
      </c>
      <c r="F99" s="138">
        <f t="shared" si="1"/>
        <v>1.0736146605996384</v>
      </c>
      <c r="G99" s="137">
        <v>911631</v>
      </c>
      <c r="H99" s="140">
        <v>593442</v>
      </c>
      <c r="I99" s="140">
        <v>535079</v>
      </c>
      <c r="J99" s="138">
        <f t="shared" si="2"/>
        <v>0.65096733217716374</v>
      </c>
      <c r="K99" s="138">
        <f t="shared" si="3"/>
        <v>0.58694691163420287</v>
      </c>
      <c r="L99" s="137">
        <v>1976757</v>
      </c>
      <c r="M99" s="140">
        <f t="shared" si="200"/>
        <v>1951461</v>
      </c>
      <c r="N99" s="140">
        <v>1197044</v>
      </c>
      <c r="O99" s="138">
        <f t="shared" si="4"/>
        <v>0.98720328295283644</v>
      </c>
      <c r="P99" s="138">
        <f t="shared" si="5"/>
        <v>0.60555950984364793</v>
      </c>
      <c r="Q99" s="137">
        <v>3000689</v>
      </c>
      <c r="R99" s="137">
        <v>2680631</v>
      </c>
      <c r="S99" s="137">
        <v>1845698</v>
      </c>
      <c r="T99" s="139">
        <f t="shared" si="8"/>
        <v>0.89333849659194942</v>
      </c>
      <c r="U99" s="139">
        <f t="shared" si="9"/>
        <v>0.61509140067497836</v>
      </c>
      <c r="V99" s="139"/>
      <c r="W99" s="139"/>
      <c r="X99" s="139"/>
      <c r="Y99" s="139"/>
      <c r="Z99" s="139"/>
      <c r="AA99" s="139"/>
      <c r="AB99" s="139"/>
      <c r="AC99" s="137">
        <v>1468764</v>
      </c>
      <c r="AD99" s="140">
        <v>1525261</v>
      </c>
      <c r="AE99" s="140">
        <v>1394443</v>
      </c>
      <c r="AF99" s="138">
        <f t="shared" si="10"/>
        <v>1.0384656759016424</v>
      </c>
      <c r="AG99" s="138">
        <f t="shared" si="11"/>
        <v>0.94939895041000455</v>
      </c>
      <c r="AH99" s="140">
        <v>21553118</v>
      </c>
      <c r="AI99" s="140">
        <v>3637967</v>
      </c>
      <c r="AJ99" s="140">
        <v>2357355</v>
      </c>
      <c r="AK99" s="138">
        <f t="shared" si="12"/>
        <v>0.16879075222434173</v>
      </c>
      <c r="AL99" s="138">
        <f t="shared" si="13"/>
        <v>0.10937419820185645</v>
      </c>
      <c r="AM99" s="137">
        <v>17327169</v>
      </c>
      <c r="AN99" s="140">
        <v>13242581</v>
      </c>
      <c r="AO99" s="140">
        <v>7644223</v>
      </c>
      <c r="AP99" s="138">
        <f t="shared" si="14"/>
        <v>0.76426685744220535</v>
      </c>
      <c r="AQ99" s="138">
        <f t="shared" si="15"/>
        <v>0.44116976062275376</v>
      </c>
      <c r="AR99" s="141">
        <f t="shared" si="16"/>
        <v>40349051</v>
      </c>
      <c r="AS99" s="140">
        <f t="shared" ref="AS99:AT99" si="206">AD99+AI99+AN99</f>
        <v>18405809</v>
      </c>
      <c r="AT99" s="144">
        <f t="shared" si="206"/>
        <v>11396021</v>
      </c>
      <c r="AU99" s="138">
        <f t="shared" si="18"/>
        <v>0.4561646071923724</v>
      </c>
      <c r="AV99" s="138">
        <f t="shared" si="19"/>
        <v>0.28243591156580111</v>
      </c>
      <c r="AW99" s="138"/>
      <c r="AX99" s="138"/>
      <c r="AY99" s="143"/>
      <c r="AZ99" s="143"/>
      <c r="BA99" s="143"/>
      <c r="BB99" s="143"/>
      <c r="BC99" s="143"/>
      <c r="BD99" s="143"/>
      <c r="BE99" s="143"/>
      <c r="BF99" s="143" t="s">
        <v>357</v>
      </c>
      <c r="BG99" s="143" t="s">
        <v>338</v>
      </c>
      <c r="BH99" s="143" t="s">
        <v>340</v>
      </c>
      <c r="BI99" s="143" t="s">
        <v>338</v>
      </c>
    </row>
    <row r="100" spans="1:61" x14ac:dyDescent="0.25">
      <c r="A100" s="136">
        <v>44356</v>
      </c>
      <c r="B100" s="137">
        <v>112301</v>
      </c>
      <c r="C100" s="140">
        <v>135728</v>
      </c>
      <c r="D100" s="140">
        <v>120761</v>
      </c>
      <c r="E100" s="138">
        <f t="shared" si="0"/>
        <v>1.2086090061531063</v>
      </c>
      <c r="F100" s="138">
        <f t="shared" si="1"/>
        <v>1.0753332561597848</v>
      </c>
      <c r="G100" s="137">
        <v>911631</v>
      </c>
      <c r="H100" s="140">
        <v>593442</v>
      </c>
      <c r="I100" s="140">
        <v>535079</v>
      </c>
      <c r="J100" s="138">
        <f t="shared" si="2"/>
        <v>0.65096733217716374</v>
      </c>
      <c r="K100" s="138">
        <f t="shared" si="3"/>
        <v>0.58694691163420287</v>
      </c>
      <c r="L100" s="137">
        <v>1976757</v>
      </c>
      <c r="M100" s="140">
        <f t="shared" si="200"/>
        <v>1999271</v>
      </c>
      <c r="N100" s="140">
        <v>1199225</v>
      </c>
      <c r="O100" s="138">
        <f t="shared" si="4"/>
        <v>1.0113893614642568</v>
      </c>
      <c r="P100" s="138">
        <f t="shared" si="5"/>
        <v>0.60666283210328842</v>
      </c>
      <c r="Q100" s="137">
        <v>3000689</v>
      </c>
      <c r="R100" s="137">
        <v>2728441</v>
      </c>
      <c r="S100" s="137">
        <v>1845698</v>
      </c>
      <c r="T100" s="139">
        <f t="shared" si="8"/>
        <v>0.90927150397791978</v>
      </c>
      <c r="U100" s="139">
        <f t="shared" si="9"/>
        <v>0.61509140067497836</v>
      </c>
      <c r="V100" s="139"/>
      <c r="W100" s="139"/>
      <c r="X100" s="139"/>
      <c r="Y100" s="139"/>
      <c r="Z100" s="139"/>
      <c r="AA100" s="139"/>
      <c r="AB100" s="139"/>
      <c r="AC100" s="137">
        <v>1468764</v>
      </c>
      <c r="AD100" s="140">
        <v>1526586</v>
      </c>
      <c r="AE100" s="140">
        <v>1395252</v>
      </c>
      <c r="AF100" s="138">
        <f t="shared" si="10"/>
        <v>1.0393677949622948</v>
      </c>
      <c r="AG100" s="138">
        <f t="shared" si="11"/>
        <v>0.94994975367043311</v>
      </c>
      <c r="AH100" s="140">
        <v>21553118</v>
      </c>
      <c r="AI100" s="140">
        <v>3716307</v>
      </c>
      <c r="AJ100" s="140">
        <v>2369250</v>
      </c>
      <c r="AK100" s="138">
        <f t="shared" si="12"/>
        <v>0.17242549314674563</v>
      </c>
      <c r="AL100" s="138">
        <f t="shared" si="13"/>
        <v>0.10992609050811117</v>
      </c>
      <c r="AM100" s="137">
        <v>17327169</v>
      </c>
      <c r="AN100" s="140">
        <v>13623087</v>
      </c>
      <c r="AO100" s="140">
        <v>7685406</v>
      </c>
      <c r="AP100" s="138">
        <f t="shared" si="14"/>
        <v>0.78622693643722175</v>
      </c>
      <c r="AQ100" s="138">
        <f t="shared" si="15"/>
        <v>0.44354654819838141</v>
      </c>
      <c r="AR100" s="141">
        <f t="shared" si="16"/>
        <v>40349051</v>
      </c>
      <c r="AS100" s="140">
        <f t="shared" ref="AS100:AT100" si="207">AD100+AI100+AN100</f>
        <v>18865980</v>
      </c>
      <c r="AT100" s="144">
        <f t="shared" si="207"/>
        <v>11449908</v>
      </c>
      <c r="AU100" s="138">
        <f t="shared" si="18"/>
        <v>0.46756936117283154</v>
      </c>
      <c r="AV100" s="138">
        <f t="shared" si="19"/>
        <v>0.28377143244335534</v>
      </c>
      <c r="AW100" s="138"/>
      <c r="AX100" s="138"/>
      <c r="AY100" s="143"/>
      <c r="AZ100" s="143"/>
      <c r="BA100" s="143"/>
      <c r="BB100" s="143"/>
      <c r="BC100" s="143"/>
      <c r="BD100" s="143"/>
      <c r="BE100" s="143"/>
      <c r="BF100" s="143" t="s">
        <v>358</v>
      </c>
      <c r="BG100" s="143" t="s">
        <v>338</v>
      </c>
      <c r="BH100" s="143" t="s">
        <v>340</v>
      </c>
      <c r="BI100" s="143" t="s">
        <v>340</v>
      </c>
    </row>
    <row r="101" spans="1:61" x14ac:dyDescent="0.25">
      <c r="A101" s="136">
        <v>44357</v>
      </c>
      <c r="B101" s="137">
        <v>112301</v>
      </c>
      <c r="C101" s="140">
        <v>135728</v>
      </c>
      <c r="D101" s="140">
        <v>120833</v>
      </c>
      <c r="E101" s="138">
        <f t="shared" si="0"/>
        <v>1.2086090061531063</v>
      </c>
      <c r="F101" s="138">
        <f t="shared" si="1"/>
        <v>1.0759743902547618</v>
      </c>
      <c r="G101" s="137">
        <v>911631</v>
      </c>
      <c r="H101" s="140">
        <v>595046</v>
      </c>
      <c r="I101" s="140">
        <v>535273</v>
      </c>
      <c r="J101" s="138">
        <f t="shared" si="2"/>
        <v>0.65272681600340487</v>
      </c>
      <c r="K101" s="138">
        <f t="shared" si="3"/>
        <v>0.58715971703463354</v>
      </c>
      <c r="L101" s="137">
        <v>1976757</v>
      </c>
      <c r="M101" s="140">
        <f t="shared" si="200"/>
        <v>2059479</v>
      </c>
      <c r="N101" s="140">
        <f t="shared" ref="N101:N119" si="208">S101-D101-I101</f>
        <v>1202304</v>
      </c>
      <c r="O101" s="138">
        <f t="shared" si="4"/>
        <v>1.0418473287308456</v>
      </c>
      <c r="P101" s="138">
        <f t="shared" si="5"/>
        <v>0.60822043377107049</v>
      </c>
      <c r="Q101" s="137">
        <v>3000689</v>
      </c>
      <c r="R101" s="137">
        <v>2790253</v>
      </c>
      <c r="S101" s="137">
        <v>1858410</v>
      </c>
      <c r="T101" s="139">
        <f t="shared" si="8"/>
        <v>0.92987077301246479</v>
      </c>
      <c r="U101" s="139">
        <f t="shared" si="9"/>
        <v>0.61932776105754384</v>
      </c>
      <c r="V101" s="139"/>
      <c r="W101" s="139"/>
      <c r="X101" s="139"/>
      <c r="Y101" s="139"/>
      <c r="Z101" s="139"/>
      <c r="AA101" s="139"/>
      <c r="AB101" s="139"/>
      <c r="AC101" s="137">
        <v>1468764</v>
      </c>
      <c r="AD101" s="140">
        <v>1527967</v>
      </c>
      <c r="AE101" s="140">
        <v>1395852</v>
      </c>
      <c r="AF101" s="138">
        <f t="shared" si="10"/>
        <v>1.0403080413190955</v>
      </c>
      <c r="AG101" s="138">
        <f t="shared" si="11"/>
        <v>0.95035826041487947</v>
      </c>
      <c r="AH101" s="140">
        <v>21553118</v>
      </c>
      <c r="AI101" s="140">
        <v>3797367</v>
      </c>
      <c r="AJ101" s="140">
        <v>2377597</v>
      </c>
      <c r="AK101" s="138">
        <f t="shared" si="12"/>
        <v>0.17618643390714978</v>
      </c>
      <c r="AL101" s="138">
        <f t="shared" si="13"/>
        <v>0.1103133662609744</v>
      </c>
      <c r="AM101" s="137">
        <v>17327169</v>
      </c>
      <c r="AN101" s="140">
        <v>14042656</v>
      </c>
      <c r="AO101" s="140">
        <v>7721934</v>
      </c>
      <c r="AP101" s="138">
        <f t="shared" si="14"/>
        <v>0.81044145180323457</v>
      </c>
      <c r="AQ101" s="138">
        <f t="shared" si="15"/>
        <v>0.44565468253931151</v>
      </c>
      <c r="AR101" s="141">
        <f t="shared" si="16"/>
        <v>40349051</v>
      </c>
      <c r="AS101" s="140">
        <f t="shared" ref="AS101:AT101" si="209">AD101+AI101+AN101</f>
        <v>19367990</v>
      </c>
      <c r="AT101" s="144">
        <f t="shared" si="209"/>
        <v>11495383</v>
      </c>
      <c r="AU101" s="138">
        <f t="shared" si="18"/>
        <v>0.48001104164754704</v>
      </c>
      <c r="AV101" s="138">
        <f t="shared" si="19"/>
        <v>0.28489847258117668</v>
      </c>
      <c r="AW101" s="138"/>
      <c r="AX101" s="138"/>
      <c r="AY101" s="143"/>
      <c r="AZ101" s="143"/>
      <c r="BA101" s="143"/>
      <c r="BB101" s="143"/>
      <c r="BC101" s="143"/>
      <c r="BD101" s="143"/>
      <c r="BE101" s="143"/>
      <c r="BF101" s="143" t="s">
        <v>359</v>
      </c>
      <c r="BG101" s="143" t="s">
        <v>360</v>
      </c>
      <c r="BH101" s="143" t="s">
        <v>340</v>
      </c>
      <c r="BI101" s="143" t="s">
        <v>340</v>
      </c>
    </row>
    <row r="102" spans="1:61" x14ac:dyDescent="0.25">
      <c r="A102" s="136">
        <v>44358</v>
      </c>
      <c r="B102" s="137">
        <v>112301</v>
      </c>
      <c r="C102" s="140">
        <v>135728</v>
      </c>
      <c r="D102" s="140">
        <v>120932</v>
      </c>
      <c r="E102" s="138">
        <f t="shared" si="0"/>
        <v>1.2086090061531063</v>
      </c>
      <c r="F102" s="138">
        <f t="shared" si="1"/>
        <v>1.0768559496353549</v>
      </c>
      <c r="G102" s="137">
        <v>911631</v>
      </c>
      <c r="H102" s="140">
        <v>595046</v>
      </c>
      <c r="I102" s="140">
        <v>535273</v>
      </c>
      <c r="J102" s="138">
        <f t="shared" si="2"/>
        <v>0.65272681600340487</v>
      </c>
      <c r="K102" s="138">
        <f t="shared" si="3"/>
        <v>0.58715971703463354</v>
      </c>
      <c r="L102" s="137">
        <v>1976757</v>
      </c>
      <c r="M102" s="140">
        <f t="shared" si="200"/>
        <v>2141397</v>
      </c>
      <c r="N102" s="140">
        <f t="shared" si="208"/>
        <v>1205366</v>
      </c>
      <c r="O102" s="138">
        <f t="shared" si="4"/>
        <v>1.0832879306864729</v>
      </c>
      <c r="P102" s="138">
        <f t="shared" si="5"/>
        <v>0.6097694354946005</v>
      </c>
      <c r="Q102" s="137">
        <v>3000689</v>
      </c>
      <c r="R102" s="137">
        <v>2872171</v>
      </c>
      <c r="S102" s="137">
        <v>1861571</v>
      </c>
      <c r="T102" s="139">
        <f t="shared" si="8"/>
        <v>0.95717050317443764</v>
      </c>
      <c r="U102" s="139">
        <f t="shared" si="9"/>
        <v>0.6203811857876641</v>
      </c>
      <c r="V102" s="139"/>
      <c r="W102" s="139"/>
      <c r="X102" s="139"/>
      <c r="Y102" s="139"/>
      <c r="Z102" s="139"/>
      <c r="AA102" s="139"/>
      <c r="AB102" s="139"/>
      <c r="AC102" s="137">
        <v>1468764</v>
      </c>
      <c r="AD102" s="140">
        <v>1529037</v>
      </c>
      <c r="AE102" s="140">
        <v>1396410</v>
      </c>
      <c r="AF102" s="138">
        <f t="shared" si="10"/>
        <v>1.0410365450133581</v>
      </c>
      <c r="AG102" s="138">
        <f t="shared" si="11"/>
        <v>0.95073817168721453</v>
      </c>
      <c r="AH102" s="140">
        <v>21553118</v>
      </c>
      <c r="AI102" s="140">
        <v>3839978</v>
      </c>
      <c r="AJ102" s="140">
        <v>2382111</v>
      </c>
      <c r="AK102" s="138">
        <f t="shared" si="12"/>
        <v>0.17816345644282186</v>
      </c>
      <c r="AL102" s="138">
        <f t="shared" si="13"/>
        <v>0.11052280231565567</v>
      </c>
      <c r="AM102" s="137">
        <v>17327169</v>
      </c>
      <c r="AN102" s="140">
        <v>14390190</v>
      </c>
      <c r="AO102" s="140">
        <v>7745521</v>
      </c>
      <c r="AP102" s="138">
        <f t="shared" si="14"/>
        <v>0.83049862328924018</v>
      </c>
      <c r="AQ102" s="138">
        <f t="shared" si="15"/>
        <v>0.44701595511649939</v>
      </c>
      <c r="AR102" s="141">
        <f t="shared" si="16"/>
        <v>40349051</v>
      </c>
      <c r="AS102" s="140">
        <f t="shared" ref="AS102:AT102" si="210">AD102+AI102+AN102</f>
        <v>19759205</v>
      </c>
      <c r="AT102" s="144">
        <f t="shared" si="210"/>
        <v>11524042</v>
      </c>
      <c r="AU102" s="138">
        <f t="shared" si="18"/>
        <v>0.48970680871775646</v>
      </c>
      <c r="AV102" s="138">
        <f t="shared" si="19"/>
        <v>0.28560874950937509</v>
      </c>
      <c r="AW102" s="138"/>
      <c r="AX102" s="138"/>
      <c r="AY102" s="143"/>
      <c r="AZ102" s="143"/>
      <c r="BA102" s="143"/>
      <c r="BB102" s="143"/>
      <c r="BC102" s="143"/>
      <c r="BD102" s="143"/>
      <c r="BE102" s="143"/>
      <c r="BF102" s="143" t="s">
        <v>359</v>
      </c>
      <c r="BG102" s="143" t="s">
        <v>360</v>
      </c>
      <c r="BH102" s="143" t="s">
        <v>340</v>
      </c>
      <c r="BI102" s="143" t="s">
        <v>340</v>
      </c>
    </row>
    <row r="103" spans="1:61" x14ac:dyDescent="0.25">
      <c r="A103" s="136">
        <v>44359</v>
      </c>
      <c r="B103" s="137">
        <v>112301</v>
      </c>
      <c r="C103" s="140">
        <v>135728</v>
      </c>
      <c r="D103" s="140">
        <v>120935</v>
      </c>
      <c r="E103" s="138">
        <f t="shared" si="0"/>
        <v>1.2086090061531063</v>
      </c>
      <c r="F103" s="138">
        <f t="shared" si="1"/>
        <v>1.0768826635559789</v>
      </c>
      <c r="G103" s="137">
        <v>911631</v>
      </c>
      <c r="H103" s="140">
        <v>595046</v>
      </c>
      <c r="I103" s="140">
        <v>535273</v>
      </c>
      <c r="J103" s="138">
        <f t="shared" si="2"/>
        <v>0.65272681600340487</v>
      </c>
      <c r="K103" s="138">
        <f t="shared" si="3"/>
        <v>0.58715971703463354</v>
      </c>
      <c r="L103" s="137">
        <v>1976757</v>
      </c>
      <c r="M103" s="140">
        <f t="shared" si="200"/>
        <v>2150108</v>
      </c>
      <c r="N103" s="140">
        <f t="shared" si="208"/>
        <v>1205710</v>
      </c>
      <c r="O103" s="138">
        <f t="shared" si="4"/>
        <v>1.0876946432970769</v>
      </c>
      <c r="P103" s="138">
        <f t="shared" si="5"/>
        <v>0.60994345789593762</v>
      </c>
      <c r="Q103" s="137">
        <v>3000689</v>
      </c>
      <c r="R103" s="137">
        <v>2880882</v>
      </c>
      <c r="S103" s="137">
        <v>1861918</v>
      </c>
      <c r="T103" s="139">
        <f t="shared" si="8"/>
        <v>0.9600735031187837</v>
      </c>
      <c r="U103" s="139">
        <f t="shared" si="9"/>
        <v>0.62049682589565258</v>
      </c>
      <c r="V103" s="139"/>
      <c r="W103" s="139"/>
      <c r="X103" s="139"/>
      <c r="Y103" s="139"/>
      <c r="Z103" s="139"/>
      <c r="AA103" s="139"/>
      <c r="AB103" s="139"/>
      <c r="AC103" s="137">
        <v>1468764</v>
      </c>
      <c r="AD103" s="140">
        <v>1529719</v>
      </c>
      <c r="AE103" s="140">
        <v>1396794</v>
      </c>
      <c r="AF103" s="138">
        <f t="shared" si="10"/>
        <v>1.041500881012879</v>
      </c>
      <c r="AG103" s="138">
        <f t="shared" si="11"/>
        <v>0.95099961600366023</v>
      </c>
      <c r="AH103" s="140">
        <v>21553118</v>
      </c>
      <c r="AI103" s="140">
        <v>3888332</v>
      </c>
      <c r="AJ103" s="140">
        <v>2388526</v>
      </c>
      <c r="AK103" s="138">
        <f t="shared" si="12"/>
        <v>0.18040693694527168</v>
      </c>
      <c r="AL103" s="138">
        <f t="shared" si="13"/>
        <v>0.11082043906593932</v>
      </c>
      <c r="AM103" s="137">
        <v>17327169</v>
      </c>
      <c r="AN103" s="140">
        <v>14659974</v>
      </c>
      <c r="AO103" s="140">
        <v>7769404</v>
      </c>
      <c r="AP103" s="138">
        <f t="shared" si="14"/>
        <v>0.84606862205822542</v>
      </c>
      <c r="AQ103" s="138">
        <f t="shared" si="15"/>
        <v>0.44839431069206975</v>
      </c>
      <c r="AR103" s="141">
        <f t="shared" si="16"/>
        <v>40349051</v>
      </c>
      <c r="AS103" s="140">
        <f t="shared" ref="AS103:AT103" si="211">AD103+AI103+AN103</f>
        <v>20078025</v>
      </c>
      <c r="AT103" s="144">
        <f t="shared" si="211"/>
        <v>11554724</v>
      </c>
      <c r="AU103" s="138">
        <f t="shared" si="18"/>
        <v>0.49760835762903072</v>
      </c>
      <c r="AV103" s="138">
        <f t="shared" si="19"/>
        <v>0.28636916392407841</v>
      </c>
      <c r="AW103" s="138"/>
      <c r="AX103" s="138"/>
      <c r="AY103" s="143"/>
      <c r="AZ103" s="143"/>
      <c r="BA103" s="143"/>
      <c r="BB103" s="143"/>
      <c r="BC103" s="143"/>
      <c r="BD103" s="143"/>
      <c r="BE103" s="143"/>
      <c r="BF103" s="143" t="s">
        <v>361</v>
      </c>
      <c r="BG103" s="143" t="s">
        <v>362</v>
      </c>
      <c r="BH103" s="143" t="s">
        <v>340</v>
      </c>
      <c r="BI103" s="143" t="s">
        <v>340</v>
      </c>
    </row>
    <row r="104" spans="1:61" x14ac:dyDescent="0.25">
      <c r="A104" s="136">
        <v>44360</v>
      </c>
      <c r="B104" s="137">
        <v>112301</v>
      </c>
      <c r="C104" s="140">
        <v>135728</v>
      </c>
      <c r="D104" s="140">
        <v>120935</v>
      </c>
      <c r="E104" s="138">
        <f t="shared" si="0"/>
        <v>1.2086090061531063</v>
      </c>
      <c r="F104" s="138">
        <f t="shared" si="1"/>
        <v>1.0768826635559789</v>
      </c>
      <c r="G104" s="137">
        <v>911631</v>
      </c>
      <c r="H104" s="140">
        <v>595046</v>
      </c>
      <c r="I104" s="140">
        <v>535273</v>
      </c>
      <c r="J104" s="138">
        <f t="shared" si="2"/>
        <v>0.65272681600340487</v>
      </c>
      <c r="K104" s="138">
        <f t="shared" si="3"/>
        <v>0.58715971703463354</v>
      </c>
      <c r="L104" s="137">
        <v>1976757</v>
      </c>
      <c r="M104" s="140">
        <f t="shared" si="200"/>
        <v>2150152</v>
      </c>
      <c r="N104" s="140">
        <f t="shared" si="208"/>
        <v>1205747</v>
      </c>
      <c r="O104" s="138">
        <f t="shared" si="4"/>
        <v>1.0877169019763178</v>
      </c>
      <c r="P104" s="138">
        <f t="shared" si="5"/>
        <v>0.60996217542166287</v>
      </c>
      <c r="Q104" s="137">
        <v>3000689</v>
      </c>
      <c r="R104" s="137">
        <v>2880926</v>
      </c>
      <c r="S104" s="137">
        <v>1861955</v>
      </c>
      <c r="T104" s="139">
        <f t="shared" si="8"/>
        <v>0.96008816641777939</v>
      </c>
      <c r="U104" s="139">
        <f t="shared" si="9"/>
        <v>0.62050915639708082</v>
      </c>
      <c r="V104" s="139"/>
      <c r="W104" s="139"/>
      <c r="X104" s="139"/>
      <c r="Y104" s="139"/>
      <c r="Z104" s="139"/>
      <c r="AA104" s="139"/>
      <c r="AB104" s="139"/>
      <c r="AC104" s="137">
        <v>1468764</v>
      </c>
      <c r="AD104" s="140">
        <v>1529737</v>
      </c>
      <c r="AE104" s="140">
        <v>1396801</v>
      </c>
      <c r="AF104" s="138">
        <f t="shared" si="10"/>
        <v>1.0415131362152124</v>
      </c>
      <c r="AG104" s="138">
        <f t="shared" si="11"/>
        <v>0.95100438191567871</v>
      </c>
      <c r="AH104" s="140">
        <v>21553118</v>
      </c>
      <c r="AI104" s="140">
        <v>3889165</v>
      </c>
      <c r="AJ104" s="140">
        <v>2388715</v>
      </c>
      <c r="AK104" s="138">
        <f t="shared" si="12"/>
        <v>0.18044558564565924</v>
      </c>
      <c r="AL104" s="138">
        <f t="shared" si="13"/>
        <v>0.11082920809880037</v>
      </c>
      <c r="AM104" s="137">
        <v>17327169</v>
      </c>
      <c r="AN104" s="140">
        <v>14660882</v>
      </c>
      <c r="AO104" s="140">
        <v>7770026</v>
      </c>
      <c r="AP104" s="138">
        <f t="shared" si="14"/>
        <v>0.84612102531002031</v>
      </c>
      <c r="AQ104" s="138">
        <f t="shared" si="15"/>
        <v>0.44843020807380596</v>
      </c>
      <c r="AR104" s="141">
        <f t="shared" si="16"/>
        <v>40349051</v>
      </c>
      <c r="AS104" s="140">
        <f t="shared" ref="AS104:AT104" si="212">AD104+AI104+AN104</f>
        <v>20079784</v>
      </c>
      <c r="AT104" s="144">
        <f t="shared" si="212"/>
        <v>11555542</v>
      </c>
      <c r="AU104" s="138">
        <f t="shared" si="18"/>
        <v>0.49765195221072239</v>
      </c>
      <c r="AV104" s="138">
        <f t="shared" si="19"/>
        <v>0.28638943701550751</v>
      </c>
      <c r="AW104" s="138"/>
      <c r="AX104" s="138"/>
      <c r="AY104" s="143"/>
      <c r="AZ104" s="143"/>
      <c r="BA104" s="143"/>
      <c r="BB104" s="143"/>
      <c r="BC104" s="143"/>
      <c r="BD104" s="143"/>
      <c r="BE104" s="143"/>
      <c r="BF104" s="143" t="s">
        <v>363</v>
      </c>
      <c r="BG104" s="143" t="s">
        <v>364</v>
      </c>
      <c r="BH104" s="143" t="s">
        <v>340</v>
      </c>
      <c r="BI104" s="143" t="s">
        <v>340</v>
      </c>
    </row>
    <row r="105" spans="1:61" x14ac:dyDescent="0.25">
      <c r="A105" s="136">
        <v>44361</v>
      </c>
      <c r="B105" s="137">
        <v>112301</v>
      </c>
      <c r="C105" s="140">
        <v>135728</v>
      </c>
      <c r="D105" s="140">
        <v>120935</v>
      </c>
      <c r="E105" s="138">
        <f t="shared" si="0"/>
        <v>1.2086090061531063</v>
      </c>
      <c r="F105" s="138">
        <f t="shared" si="1"/>
        <v>1.0768826635559789</v>
      </c>
      <c r="G105" s="137">
        <v>911631</v>
      </c>
      <c r="H105" s="140">
        <v>595046</v>
      </c>
      <c r="I105" s="140">
        <v>535273</v>
      </c>
      <c r="J105" s="138">
        <f t="shared" si="2"/>
        <v>0.65272681600340487</v>
      </c>
      <c r="K105" s="138">
        <f t="shared" si="3"/>
        <v>0.58715971703463354</v>
      </c>
      <c r="L105" s="137">
        <v>1976757</v>
      </c>
      <c r="M105" s="140">
        <f t="shared" si="200"/>
        <v>2235051</v>
      </c>
      <c r="N105" s="140">
        <f t="shared" si="208"/>
        <v>1210934</v>
      </c>
      <c r="O105" s="138">
        <f t="shared" si="4"/>
        <v>1.130665529450509</v>
      </c>
      <c r="P105" s="138">
        <f t="shared" si="5"/>
        <v>0.61258617017670858</v>
      </c>
      <c r="Q105" s="137">
        <v>3000689</v>
      </c>
      <c r="R105" s="137">
        <v>2965825</v>
      </c>
      <c r="S105" s="137">
        <v>1867142</v>
      </c>
      <c r="T105" s="139">
        <f t="shared" si="8"/>
        <v>0.98838133508670845</v>
      </c>
      <c r="U105" s="139">
        <f t="shared" si="9"/>
        <v>0.62223775939459236</v>
      </c>
      <c r="V105" s="137">
        <f t="shared" ref="V105:V119" si="213">R105-R104</f>
        <v>84899</v>
      </c>
      <c r="W105" s="139"/>
      <c r="X105" s="139"/>
      <c r="Y105" s="139"/>
      <c r="Z105" s="139"/>
      <c r="AA105" s="139"/>
      <c r="AB105" s="139"/>
      <c r="AC105" s="137">
        <v>1468764</v>
      </c>
      <c r="AD105" s="140">
        <v>1530796</v>
      </c>
      <c r="AE105" s="140">
        <v>1397698</v>
      </c>
      <c r="AF105" s="138">
        <f t="shared" si="10"/>
        <v>1.0422341506191601</v>
      </c>
      <c r="AG105" s="138">
        <f t="shared" si="11"/>
        <v>0.9516150994986261</v>
      </c>
      <c r="AH105" s="140">
        <v>21553118</v>
      </c>
      <c r="AI105" s="140">
        <v>3951776</v>
      </c>
      <c r="AJ105" s="140">
        <v>2401793</v>
      </c>
      <c r="AK105" s="138">
        <f t="shared" si="12"/>
        <v>0.18335054816662721</v>
      </c>
      <c r="AL105" s="138">
        <f t="shared" si="13"/>
        <v>0.11143598805518533</v>
      </c>
      <c r="AM105" s="137">
        <v>17327169</v>
      </c>
      <c r="AN105" s="140">
        <v>15103687</v>
      </c>
      <c r="AO105" s="140">
        <v>7821054</v>
      </c>
      <c r="AP105" s="138">
        <f t="shared" si="14"/>
        <v>0.87167655604905803</v>
      </c>
      <c r="AQ105" s="138">
        <f t="shared" si="15"/>
        <v>0.45137517848414821</v>
      </c>
      <c r="AR105" s="141">
        <f t="shared" si="16"/>
        <v>40349051</v>
      </c>
      <c r="AS105" s="140">
        <f t="shared" ref="AS105:AT105" si="214">AD105+AI105+AN105</f>
        <v>20586259</v>
      </c>
      <c r="AT105" s="144">
        <f t="shared" si="214"/>
        <v>11620545</v>
      </c>
      <c r="AU105" s="138">
        <f t="shared" si="18"/>
        <v>0.51020429204146589</v>
      </c>
      <c r="AV105" s="138">
        <f t="shared" si="19"/>
        <v>0.28800045383967021</v>
      </c>
      <c r="AW105" s="138"/>
      <c r="AX105" s="138"/>
      <c r="AY105" s="143"/>
      <c r="AZ105" s="143"/>
      <c r="BA105" s="143"/>
      <c r="BB105" s="143"/>
      <c r="BC105" s="143"/>
      <c r="BD105" s="143"/>
      <c r="BE105" s="143"/>
      <c r="BF105" s="143" t="s">
        <v>365</v>
      </c>
      <c r="BG105" s="143" t="s">
        <v>366</v>
      </c>
      <c r="BH105" s="143" t="s">
        <v>340</v>
      </c>
      <c r="BI105" s="143" t="s">
        <v>340</v>
      </c>
    </row>
    <row r="106" spans="1:61" x14ac:dyDescent="0.25">
      <c r="A106" s="136">
        <v>44362</v>
      </c>
      <c r="B106" s="137">
        <v>112301</v>
      </c>
      <c r="C106" s="140">
        <v>135728</v>
      </c>
      <c r="D106" s="140">
        <v>120935</v>
      </c>
      <c r="E106" s="138">
        <f t="shared" si="0"/>
        <v>1.2086090061531063</v>
      </c>
      <c r="F106" s="138">
        <f t="shared" si="1"/>
        <v>1.0768826635559789</v>
      </c>
      <c r="G106" s="137">
        <v>911631</v>
      </c>
      <c r="H106" s="140">
        <v>595046</v>
      </c>
      <c r="I106" s="140">
        <v>535273</v>
      </c>
      <c r="J106" s="138">
        <f t="shared" si="2"/>
        <v>0.65272681600340487</v>
      </c>
      <c r="K106" s="138">
        <f t="shared" si="3"/>
        <v>0.58715971703463354</v>
      </c>
      <c r="L106" s="137">
        <v>1976757</v>
      </c>
      <c r="M106" s="140">
        <f t="shared" si="200"/>
        <v>2310799</v>
      </c>
      <c r="N106" s="140">
        <f t="shared" si="208"/>
        <v>1215119</v>
      </c>
      <c r="O106" s="138">
        <f t="shared" si="4"/>
        <v>1.1689848575216883</v>
      </c>
      <c r="P106" s="138">
        <f t="shared" si="5"/>
        <v>0.61470327409995262</v>
      </c>
      <c r="Q106" s="137">
        <v>3000689</v>
      </c>
      <c r="R106" s="137">
        <v>3041573</v>
      </c>
      <c r="S106" s="137">
        <v>1871327</v>
      </c>
      <c r="T106" s="139">
        <f t="shared" si="8"/>
        <v>1.0136248708213347</v>
      </c>
      <c r="U106" s="139">
        <f t="shared" si="9"/>
        <v>0.62363243908315724</v>
      </c>
      <c r="V106" s="137">
        <f t="shared" si="213"/>
        <v>75748</v>
      </c>
      <c r="W106" s="139"/>
      <c r="X106" s="139"/>
      <c r="Y106" s="139"/>
      <c r="Z106" s="139"/>
      <c r="AA106" s="139"/>
      <c r="AB106" s="139"/>
      <c r="AC106" s="137">
        <v>1468764</v>
      </c>
      <c r="AD106" s="140">
        <v>1531421</v>
      </c>
      <c r="AE106" s="140">
        <v>1398335</v>
      </c>
      <c r="AF106" s="138">
        <f t="shared" si="10"/>
        <v>1.0426596784779583</v>
      </c>
      <c r="AG106" s="138">
        <f t="shared" si="11"/>
        <v>0.9520487974923133</v>
      </c>
      <c r="AH106" s="140">
        <v>21553118</v>
      </c>
      <c r="AI106" s="140">
        <v>3990171</v>
      </c>
      <c r="AJ106" s="140">
        <v>2415398</v>
      </c>
      <c r="AK106" s="138">
        <f t="shared" si="12"/>
        <v>0.18513196095339896</v>
      </c>
      <c r="AL106" s="138">
        <f t="shared" si="13"/>
        <v>0.11206721923018284</v>
      </c>
      <c r="AM106" s="137">
        <v>17327169</v>
      </c>
      <c r="AN106" s="140">
        <v>15299910</v>
      </c>
      <c r="AO106" s="140">
        <v>7867826</v>
      </c>
      <c r="AP106" s="138">
        <f t="shared" si="14"/>
        <v>0.8830011411558345</v>
      </c>
      <c r="AQ106" s="138">
        <f t="shared" si="15"/>
        <v>0.45407452307990992</v>
      </c>
      <c r="AR106" s="141">
        <f t="shared" si="16"/>
        <v>40349051</v>
      </c>
      <c r="AS106" s="140">
        <f t="shared" ref="AS106:AT106" si="215">AD106+AI106+AN106</f>
        <v>20821502</v>
      </c>
      <c r="AT106" s="144">
        <f t="shared" si="215"/>
        <v>11681559</v>
      </c>
      <c r="AU106" s="138">
        <f t="shared" si="18"/>
        <v>0.5160344911209932</v>
      </c>
      <c r="AV106" s="138">
        <f t="shared" si="19"/>
        <v>0.28951260836345322</v>
      </c>
      <c r="AW106" s="138"/>
      <c r="AX106" s="138"/>
      <c r="AY106" s="143"/>
      <c r="AZ106" s="143"/>
      <c r="BA106" s="143"/>
      <c r="BB106" s="143"/>
      <c r="BC106" s="143"/>
      <c r="BD106" s="143"/>
      <c r="BE106" s="143"/>
      <c r="BF106" s="143" t="s">
        <v>367</v>
      </c>
      <c r="BG106" s="143" t="s">
        <v>368</v>
      </c>
      <c r="BH106" s="143" t="s">
        <v>340</v>
      </c>
      <c r="BI106" s="143" t="s">
        <v>340</v>
      </c>
    </row>
    <row r="107" spans="1:61" x14ac:dyDescent="0.25">
      <c r="A107" s="136">
        <v>44363</v>
      </c>
      <c r="B107" s="137">
        <v>112301</v>
      </c>
      <c r="C107" s="140">
        <v>135728</v>
      </c>
      <c r="D107" s="140">
        <v>120935</v>
      </c>
      <c r="E107" s="138">
        <f t="shared" si="0"/>
        <v>1.2086090061531063</v>
      </c>
      <c r="F107" s="138">
        <f t="shared" si="1"/>
        <v>1.0768826635559789</v>
      </c>
      <c r="G107" s="137">
        <v>911631</v>
      </c>
      <c r="H107" s="140">
        <v>595046</v>
      </c>
      <c r="I107" s="140">
        <v>535273</v>
      </c>
      <c r="J107" s="138">
        <f t="shared" si="2"/>
        <v>0.65272681600340487</v>
      </c>
      <c r="K107" s="138">
        <f t="shared" si="3"/>
        <v>0.58715971703463354</v>
      </c>
      <c r="L107" s="137">
        <v>1976757</v>
      </c>
      <c r="M107" s="140">
        <f t="shared" si="200"/>
        <v>2400877</v>
      </c>
      <c r="N107" s="140">
        <f t="shared" si="208"/>
        <v>1218963</v>
      </c>
      <c r="O107" s="138">
        <f t="shared" si="4"/>
        <v>1.214553432718336</v>
      </c>
      <c r="P107" s="138">
        <f t="shared" si="5"/>
        <v>0.61664787325908044</v>
      </c>
      <c r="Q107" s="137">
        <v>3000689</v>
      </c>
      <c r="R107" s="137">
        <v>3131651</v>
      </c>
      <c r="S107" s="137">
        <v>1875171</v>
      </c>
      <c r="T107" s="139">
        <f t="shared" si="8"/>
        <v>1.0436439764334124</v>
      </c>
      <c r="U107" s="139">
        <f t="shared" si="9"/>
        <v>0.62491347820450571</v>
      </c>
      <c r="V107" s="137">
        <f t="shared" si="213"/>
        <v>90078</v>
      </c>
      <c r="W107" s="139"/>
      <c r="X107" s="139"/>
      <c r="Y107" s="139"/>
      <c r="Z107" s="139"/>
      <c r="AA107" s="139"/>
      <c r="AB107" s="139"/>
      <c r="AC107" s="137">
        <v>1468764</v>
      </c>
      <c r="AD107" s="140">
        <v>1533279</v>
      </c>
      <c r="AE107" s="140">
        <v>1400082</v>
      </c>
      <c r="AF107" s="138">
        <f t="shared" si="10"/>
        <v>1.043924687696594</v>
      </c>
      <c r="AG107" s="138">
        <f t="shared" si="11"/>
        <v>0.95323823296322618</v>
      </c>
      <c r="AH107" s="140">
        <v>21553118</v>
      </c>
      <c r="AI107" s="140">
        <v>4096794</v>
      </c>
      <c r="AJ107" s="140">
        <v>2450278</v>
      </c>
      <c r="AK107" s="138">
        <f t="shared" si="12"/>
        <v>0.19007894820600899</v>
      </c>
      <c r="AL107" s="138">
        <f t="shared" si="13"/>
        <v>0.11368554656453883</v>
      </c>
      <c r="AM107" s="137">
        <v>17327169</v>
      </c>
      <c r="AN107" s="140">
        <v>15989147</v>
      </c>
      <c r="AO107" s="140">
        <v>7989034</v>
      </c>
      <c r="AP107" s="138">
        <f t="shared" si="14"/>
        <v>0.92277896060227727</v>
      </c>
      <c r="AQ107" s="138">
        <f t="shared" si="15"/>
        <v>0.46106978006620702</v>
      </c>
      <c r="AR107" s="141">
        <f t="shared" si="16"/>
        <v>40349051</v>
      </c>
      <c r="AS107" s="140">
        <f t="shared" ref="AS107:AT107" si="216">AD107+AI107+AN107</f>
        <v>21619220</v>
      </c>
      <c r="AT107" s="144">
        <f t="shared" si="216"/>
        <v>11839394</v>
      </c>
      <c r="AU107" s="138">
        <f t="shared" si="18"/>
        <v>0.53580491893105486</v>
      </c>
      <c r="AV107" s="138">
        <f t="shared" si="19"/>
        <v>0.29342434844378373</v>
      </c>
      <c r="AW107" s="138"/>
      <c r="AX107" s="138"/>
      <c r="AY107" s="143"/>
      <c r="AZ107" s="143"/>
      <c r="BA107" s="143"/>
      <c r="BB107" s="143"/>
      <c r="BC107" s="143"/>
      <c r="BD107" s="143"/>
      <c r="BE107" s="143"/>
      <c r="BF107" s="143" t="s">
        <v>369</v>
      </c>
      <c r="BG107" s="143" t="s">
        <v>370</v>
      </c>
      <c r="BH107" s="143" t="s">
        <v>340</v>
      </c>
      <c r="BI107" s="143" t="s">
        <v>340</v>
      </c>
    </row>
    <row r="108" spans="1:61" x14ac:dyDescent="0.25">
      <c r="A108" s="136">
        <v>44364</v>
      </c>
      <c r="B108" s="137">
        <v>112301</v>
      </c>
      <c r="C108" s="140">
        <v>135728</v>
      </c>
      <c r="D108" s="140">
        <v>120935</v>
      </c>
      <c r="E108" s="138">
        <f t="shared" si="0"/>
        <v>1.2086090061531063</v>
      </c>
      <c r="F108" s="138">
        <f t="shared" si="1"/>
        <v>1.0768826635559789</v>
      </c>
      <c r="G108" s="137">
        <v>911631</v>
      </c>
      <c r="H108" s="140">
        <v>595046</v>
      </c>
      <c r="I108" s="140">
        <v>535273</v>
      </c>
      <c r="J108" s="138">
        <f t="shared" si="2"/>
        <v>0.65272681600340487</v>
      </c>
      <c r="K108" s="138">
        <f t="shared" si="3"/>
        <v>0.58715971703463354</v>
      </c>
      <c r="L108" s="137">
        <v>1976757</v>
      </c>
      <c r="M108" s="140">
        <f t="shared" si="200"/>
        <v>2400877</v>
      </c>
      <c r="N108" s="140">
        <f t="shared" si="208"/>
        <v>1218963</v>
      </c>
      <c r="O108" s="138">
        <f t="shared" si="4"/>
        <v>1.214553432718336</v>
      </c>
      <c r="P108" s="138">
        <f t="shared" si="5"/>
        <v>0.61664787325908044</v>
      </c>
      <c r="Q108" s="137">
        <v>3000689</v>
      </c>
      <c r="R108" s="137">
        <v>3131651</v>
      </c>
      <c r="S108" s="137">
        <v>1875171</v>
      </c>
      <c r="T108" s="139">
        <f t="shared" si="8"/>
        <v>1.0436439764334124</v>
      </c>
      <c r="U108" s="139">
        <f t="shared" si="9"/>
        <v>0.62491347820450571</v>
      </c>
      <c r="V108" s="137">
        <f t="shared" si="213"/>
        <v>0</v>
      </c>
      <c r="W108" s="139"/>
      <c r="X108" s="139"/>
      <c r="Y108" s="139"/>
      <c r="Z108" s="139"/>
      <c r="AA108" s="139"/>
      <c r="AB108" s="139"/>
      <c r="AC108" s="137">
        <v>1468764</v>
      </c>
      <c r="AD108" s="140">
        <v>1533279</v>
      </c>
      <c r="AE108" s="140">
        <v>1400082</v>
      </c>
      <c r="AF108" s="138">
        <f t="shared" si="10"/>
        <v>1.043924687696594</v>
      </c>
      <c r="AG108" s="138">
        <f t="shared" si="11"/>
        <v>0.95323823296322618</v>
      </c>
      <c r="AH108" s="140">
        <v>21553118</v>
      </c>
      <c r="AI108" s="140">
        <v>4096794</v>
      </c>
      <c r="AJ108" s="140">
        <v>2450278</v>
      </c>
      <c r="AK108" s="138">
        <f t="shared" si="12"/>
        <v>0.19007894820600899</v>
      </c>
      <c r="AL108" s="138">
        <f t="shared" si="13"/>
        <v>0.11368554656453883</v>
      </c>
      <c r="AM108" s="137">
        <v>17327169</v>
      </c>
      <c r="AN108" s="140">
        <v>15989147</v>
      </c>
      <c r="AO108" s="140">
        <v>7989034</v>
      </c>
      <c r="AP108" s="138">
        <f t="shared" si="14"/>
        <v>0.92277896060227727</v>
      </c>
      <c r="AQ108" s="138">
        <f t="shared" si="15"/>
        <v>0.46106978006620702</v>
      </c>
      <c r="AR108" s="141">
        <f t="shared" si="16"/>
        <v>40349051</v>
      </c>
      <c r="AS108" s="140">
        <f t="shared" ref="AS108:AT108" si="217">AD108+AI108+AN108</f>
        <v>21619220</v>
      </c>
      <c r="AT108" s="144">
        <f t="shared" si="217"/>
        <v>11839394</v>
      </c>
      <c r="AU108" s="138">
        <f t="shared" si="18"/>
        <v>0.53580491893105486</v>
      </c>
      <c r="AV108" s="138">
        <f t="shared" si="19"/>
        <v>0.29342434844378373</v>
      </c>
      <c r="AW108" s="138"/>
      <c r="AX108" s="138"/>
      <c r="AY108" s="143"/>
      <c r="AZ108" s="143"/>
      <c r="BA108" s="143"/>
      <c r="BB108" s="143"/>
      <c r="BC108" s="143"/>
      <c r="BD108" s="143"/>
      <c r="BE108" s="143"/>
      <c r="BF108" s="143" t="s">
        <v>371</v>
      </c>
      <c r="BG108" s="143" t="s">
        <v>372</v>
      </c>
      <c r="BH108" s="143" t="s">
        <v>340</v>
      </c>
      <c r="BI108" s="143" t="s">
        <v>340</v>
      </c>
    </row>
    <row r="109" spans="1:61" x14ac:dyDescent="0.25">
      <c r="A109" s="145">
        <v>44365</v>
      </c>
      <c r="B109" s="137">
        <v>112301</v>
      </c>
      <c r="C109" s="140">
        <v>135728</v>
      </c>
      <c r="D109" s="140">
        <v>120935</v>
      </c>
      <c r="E109" s="138">
        <f t="shared" si="0"/>
        <v>1.2086090061531063</v>
      </c>
      <c r="F109" s="138">
        <f t="shared" si="1"/>
        <v>1.0768826635559789</v>
      </c>
      <c r="G109" s="137">
        <v>911631</v>
      </c>
      <c r="H109" s="140">
        <v>595046</v>
      </c>
      <c r="I109" s="140">
        <v>535273</v>
      </c>
      <c r="J109" s="138">
        <f t="shared" si="2"/>
        <v>0.65272681600340487</v>
      </c>
      <c r="K109" s="138">
        <f t="shared" si="3"/>
        <v>0.58715971703463354</v>
      </c>
      <c r="L109" s="137">
        <v>1976757</v>
      </c>
      <c r="M109" s="140">
        <f t="shared" si="200"/>
        <v>2508477</v>
      </c>
      <c r="N109" s="140">
        <f t="shared" si="208"/>
        <v>1224789</v>
      </c>
      <c r="O109" s="138">
        <f t="shared" si="4"/>
        <v>1.2689860210435577</v>
      </c>
      <c r="P109" s="138">
        <f t="shared" si="5"/>
        <v>0.61959512474219136</v>
      </c>
      <c r="Q109" s="137">
        <v>8815157</v>
      </c>
      <c r="R109" s="137">
        <v>3239251</v>
      </c>
      <c r="S109" s="137">
        <v>1880997</v>
      </c>
      <c r="T109" s="139">
        <f t="shared" si="8"/>
        <v>0.36746378992455836</v>
      </c>
      <c r="U109" s="139">
        <f t="shared" si="9"/>
        <v>0.21338213261544858</v>
      </c>
      <c r="V109" s="137">
        <f t="shared" si="213"/>
        <v>107600</v>
      </c>
      <c r="W109" s="137">
        <f t="shared" ref="W109:W119" si="218">S109-S108</f>
        <v>5826</v>
      </c>
      <c r="X109" s="143">
        <f t="shared" ref="X109:Z109" si="219">Q109-G109</f>
        <v>7903526</v>
      </c>
      <c r="Y109" s="137">
        <f t="shared" si="219"/>
        <v>2644205</v>
      </c>
      <c r="Z109" s="137">
        <f t="shared" si="219"/>
        <v>1345724</v>
      </c>
      <c r="AA109" s="139">
        <f t="shared" ref="AA109:AA119" si="220">Y109/X109</f>
        <v>0.33456016972677766</v>
      </c>
      <c r="AB109" s="139">
        <f t="shared" ref="AB109:AB119" si="221">Z109/X109</f>
        <v>0.17026881419761256</v>
      </c>
      <c r="AC109" s="137">
        <v>1468764</v>
      </c>
      <c r="AD109" s="140">
        <v>1534051</v>
      </c>
      <c r="AE109" s="140">
        <v>1400958</v>
      </c>
      <c r="AF109" s="138">
        <f t="shared" si="10"/>
        <v>1.0444502997077816</v>
      </c>
      <c r="AG109" s="138">
        <f t="shared" si="11"/>
        <v>0.95383465281011792</v>
      </c>
      <c r="AH109" s="140">
        <v>21553118</v>
      </c>
      <c r="AI109" s="140">
        <v>4135697</v>
      </c>
      <c r="AJ109" s="140">
        <v>2472797</v>
      </c>
      <c r="AK109" s="138">
        <f t="shared" si="12"/>
        <v>0.19188393066840723</v>
      </c>
      <c r="AL109" s="138">
        <f t="shared" si="13"/>
        <v>0.11473036059098271</v>
      </c>
      <c r="AM109" s="137">
        <v>17327169</v>
      </c>
      <c r="AN109" s="140">
        <v>16238687</v>
      </c>
      <c r="AO109" s="140">
        <v>8067317</v>
      </c>
      <c r="AP109" s="138">
        <f t="shared" si="14"/>
        <v>0.93718062079269848</v>
      </c>
      <c r="AQ109" s="138">
        <f t="shared" si="15"/>
        <v>0.46558771372288227</v>
      </c>
      <c r="AR109" s="137">
        <v>181554465</v>
      </c>
      <c r="AS109" s="140">
        <f t="shared" ref="AS109:AT109" si="222">AD109+AI109+AN109</f>
        <v>21908435</v>
      </c>
      <c r="AT109" s="144">
        <f t="shared" si="222"/>
        <v>11941072</v>
      </c>
      <c r="AU109" s="138">
        <f t="shared" si="18"/>
        <v>0.12067141945531332</v>
      </c>
      <c r="AV109" s="138">
        <f t="shared" si="19"/>
        <v>6.5771293479342408E-2</v>
      </c>
      <c r="AW109" s="141">
        <f t="shared" ref="AW109:AX109" si="223">AS109-AS108</f>
        <v>289215</v>
      </c>
      <c r="AX109" s="142">
        <f t="shared" si="223"/>
        <v>101678</v>
      </c>
      <c r="AY109" s="143">
        <f t="shared" ref="AY109:BA109" si="224">AR109-AH109</f>
        <v>160001347</v>
      </c>
      <c r="AZ109" s="143">
        <f t="shared" si="224"/>
        <v>17772738</v>
      </c>
      <c r="BA109" s="143">
        <f t="shared" si="224"/>
        <v>9468275</v>
      </c>
      <c r="BB109" s="139">
        <f t="shared" ref="BB109:BB119" si="225">AZ109/AY109</f>
        <v>0.11107867735638501</v>
      </c>
      <c r="BC109" s="139">
        <f t="shared" ref="BC109:BC119" si="226">BA109/AY109</f>
        <v>5.9176220560193157E-2</v>
      </c>
      <c r="BD109" s="139">
        <f t="shared" ref="BD109:BE109" si="227">V109/AW109</f>
        <v>0.3720415607765849</v>
      </c>
      <c r="BE109" s="139">
        <f t="shared" si="227"/>
        <v>5.7298530655599048E-2</v>
      </c>
      <c r="BF109" s="143" t="s">
        <v>373</v>
      </c>
      <c r="BG109" s="143" t="s">
        <v>374</v>
      </c>
      <c r="BH109" s="143" t="s">
        <v>340</v>
      </c>
      <c r="BI109" s="143" t="s">
        <v>340</v>
      </c>
    </row>
    <row r="110" spans="1:61" x14ac:dyDescent="0.25">
      <c r="A110" s="136">
        <v>44366</v>
      </c>
      <c r="B110" s="137">
        <v>112301</v>
      </c>
      <c r="C110" s="140">
        <v>135728</v>
      </c>
      <c r="D110" s="140">
        <v>120935</v>
      </c>
      <c r="E110" s="138">
        <f t="shared" si="0"/>
        <v>1.2086090061531063</v>
      </c>
      <c r="F110" s="138">
        <f t="shared" si="1"/>
        <v>1.0768826635559789</v>
      </c>
      <c r="G110" s="137">
        <v>911631</v>
      </c>
      <c r="H110" s="140">
        <v>595046</v>
      </c>
      <c r="I110" s="140">
        <v>535273</v>
      </c>
      <c r="J110" s="138">
        <f t="shared" si="2"/>
        <v>0.65272681600340487</v>
      </c>
      <c r="K110" s="138">
        <f t="shared" si="3"/>
        <v>0.58715971703463354</v>
      </c>
      <c r="L110" s="137">
        <v>1976757</v>
      </c>
      <c r="M110" s="140">
        <f t="shared" si="200"/>
        <v>2613480</v>
      </c>
      <c r="N110" s="140">
        <f t="shared" si="208"/>
        <v>1230115</v>
      </c>
      <c r="O110" s="138">
        <f t="shared" si="4"/>
        <v>1.3221048414144987</v>
      </c>
      <c r="P110" s="138">
        <f t="shared" si="5"/>
        <v>0.62228943668847514</v>
      </c>
      <c r="Q110" s="137">
        <v>8815157</v>
      </c>
      <c r="R110" s="137">
        <v>3344254</v>
      </c>
      <c r="S110" s="137">
        <v>1886323</v>
      </c>
      <c r="T110" s="139">
        <f t="shared" si="8"/>
        <v>0.3793754325646157</v>
      </c>
      <c r="U110" s="139">
        <f t="shared" si="9"/>
        <v>0.2139863192453634</v>
      </c>
      <c r="V110" s="137">
        <f t="shared" si="213"/>
        <v>105003</v>
      </c>
      <c r="W110" s="137">
        <f t="shared" si="218"/>
        <v>5326</v>
      </c>
      <c r="X110" s="143">
        <f t="shared" ref="X110:Z110" si="228">Q110-G110</f>
        <v>7903526</v>
      </c>
      <c r="Y110" s="137">
        <f t="shared" si="228"/>
        <v>2749208</v>
      </c>
      <c r="Z110" s="137">
        <f t="shared" si="228"/>
        <v>1351050</v>
      </c>
      <c r="AA110" s="139">
        <f t="shared" si="220"/>
        <v>0.34784575896884506</v>
      </c>
      <c r="AB110" s="139">
        <f t="shared" si="221"/>
        <v>0.17094269064212606</v>
      </c>
      <c r="AC110" s="137">
        <v>1468764</v>
      </c>
      <c r="AD110" s="140">
        <v>1535289</v>
      </c>
      <c r="AE110" s="140">
        <v>1402181</v>
      </c>
      <c r="AF110" s="138">
        <f t="shared" si="10"/>
        <v>1.0452931852904892</v>
      </c>
      <c r="AG110" s="138">
        <f t="shared" si="11"/>
        <v>0.95466732572421442</v>
      </c>
      <c r="AH110" s="140">
        <v>21553118</v>
      </c>
      <c r="AI110" s="140">
        <v>4187449</v>
      </c>
      <c r="AJ110" s="140">
        <v>2502835</v>
      </c>
      <c r="AK110" s="138">
        <f t="shared" si="12"/>
        <v>0.19428506817435881</v>
      </c>
      <c r="AL110" s="138">
        <f t="shared" si="13"/>
        <v>0.11612403365489857</v>
      </c>
      <c r="AM110" s="137">
        <v>17327169</v>
      </c>
      <c r="AN110" s="140">
        <v>16638134</v>
      </c>
      <c r="AO110" s="140">
        <v>8165715</v>
      </c>
      <c r="AP110" s="138">
        <f t="shared" si="14"/>
        <v>0.96023383854569666</v>
      </c>
      <c r="AQ110" s="138">
        <f t="shared" si="15"/>
        <v>0.47126654100274545</v>
      </c>
      <c r="AR110" s="137">
        <v>181554465</v>
      </c>
      <c r="AS110" s="140">
        <f t="shared" ref="AS110:AT110" si="229">AD110+AI110+AN110</f>
        <v>22360872</v>
      </c>
      <c r="AT110" s="144">
        <f t="shared" si="229"/>
        <v>12070731</v>
      </c>
      <c r="AU110" s="138">
        <f t="shared" si="18"/>
        <v>0.12316343748417313</v>
      </c>
      <c r="AV110" s="138">
        <f t="shared" si="19"/>
        <v>6.6485453827863722E-2</v>
      </c>
      <c r="AW110" s="141">
        <f t="shared" ref="AW110:AX110" si="230">AS110-AS109</f>
        <v>452437</v>
      </c>
      <c r="AX110" s="142">
        <f t="shared" si="230"/>
        <v>129659</v>
      </c>
      <c r="AY110" s="143">
        <f t="shared" ref="AY110:BA110" si="231">AR110-AH110</f>
        <v>160001347</v>
      </c>
      <c r="AZ110" s="143">
        <f t="shared" si="231"/>
        <v>18173423</v>
      </c>
      <c r="BA110" s="143">
        <f t="shared" si="231"/>
        <v>9567896</v>
      </c>
      <c r="BB110" s="139">
        <f t="shared" si="225"/>
        <v>0.11358293752364472</v>
      </c>
      <c r="BC110" s="139">
        <f t="shared" si="226"/>
        <v>5.9798846568460455E-2</v>
      </c>
      <c r="BD110" s="139">
        <f t="shared" ref="BD110:BE110" si="232">V110/AW110</f>
        <v>0.23208314085718013</v>
      </c>
      <c r="BE110" s="139">
        <f t="shared" si="232"/>
        <v>4.1076978844507513E-2</v>
      </c>
      <c r="BF110" s="143" t="s">
        <v>375</v>
      </c>
      <c r="BG110" s="143" t="s">
        <v>376</v>
      </c>
      <c r="BH110" s="143" t="s">
        <v>340</v>
      </c>
      <c r="BI110" s="143" t="s">
        <v>340</v>
      </c>
    </row>
    <row r="111" spans="1:61" x14ac:dyDescent="0.25">
      <c r="A111" s="136">
        <v>44367</v>
      </c>
      <c r="B111" s="146">
        <v>112301</v>
      </c>
      <c r="C111" s="147">
        <v>135728</v>
      </c>
      <c r="D111" s="147">
        <v>121377</v>
      </c>
      <c r="E111" s="138">
        <f t="shared" si="0"/>
        <v>1.2086090061531063</v>
      </c>
      <c r="F111" s="138">
        <f t="shared" si="1"/>
        <v>1.0808185145279205</v>
      </c>
      <c r="G111" s="146">
        <v>911631</v>
      </c>
      <c r="H111" s="147">
        <v>595654</v>
      </c>
      <c r="I111" s="147">
        <v>535273</v>
      </c>
      <c r="J111" s="138">
        <f t="shared" si="2"/>
        <v>0.65339375251609477</v>
      </c>
      <c r="K111" s="138">
        <f t="shared" si="3"/>
        <v>0.58715971703463354</v>
      </c>
      <c r="L111" s="146">
        <v>1976757</v>
      </c>
      <c r="M111" s="140">
        <f t="shared" si="200"/>
        <v>2653322</v>
      </c>
      <c r="N111" s="140">
        <f t="shared" si="208"/>
        <v>1230107</v>
      </c>
      <c r="O111" s="138">
        <f t="shared" si="4"/>
        <v>1.3422600754670402</v>
      </c>
      <c r="P111" s="138">
        <f t="shared" si="5"/>
        <v>0.62228538965588587</v>
      </c>
      <c r="Q111" s="146">
        <v>8815157</v>
      </c>
      <c r="R111" s="146">
        <v>3384704</v>
      </c>
      <c r="S111" s="146">
        <v>1886757</v>
      </c>
      <c r="T111" s="139">
        <f t="shared" si="8"/>
        <v>0.38396411998107349</v>
      </c>
      <c r="U111" s="139">
        <f t="shared" si="9"/>
        <v>0.21403555262827423</v>
      </c>
      <c r="V111" s="137">
        <f t="shared" si="213"/>
        <v>40450</v>
      </c>
      <c r="W111" s="137">
        <f t="shared" si="218"/>
        <v>434</v>
      </c>
      <c r="X111" s="148" t="s">
        <v>377</v>
      </c>
      <c r="Y111" s="137">
        <f t="shared" ref="Y111:Z111" si="233">R111-H111</f>
        <v>2789050</v>
      </c>
      <c r="Z111" s="137">
        <f t="shared" si="233"/>
        <v>1351484</v>
      </c>
      <c r="AA111" s="139">
        <f t="shared" si="220"/>
        <v>0.3528868001446443</v>
      </c>
      <c r="AB111" s="139">
        <f t="shared" si="221"/>
        <v>0.17099760284207327</v>
      </c>
      <c r="AC111" s="146">
        <v>1468764</v>
      </c>
      <c r="AD111" s="147">
        <v>1536674</v>
      </c>
      <c r="AE111" s="147">
        <v>1403648</v>
      </c>
      <c r="AF111" s="146" t="s">
        <v>378</v>
      </c>
      <c r="AG111" s="146" t="s">
        <v>379</v>
      </c>
      <c r="AH111" s="147">
        <v>21553118</v>
      </c>
      <c r="AI111" s="147">
        <v>4241449</v>
      </c>
      <c r="AJ111" s="147">
        <v>2535874</v>
      </c>
      <c r="AK111" s="146" t="s">
        <v>380</v>
      </c>
      <c r="AL111" s="146" t="s">
        <v>182</v>
      </c>
      <c r="AM111" s="146">
        <v>17327169</v>
      </c>
      <c r="AN111" s="147">
        <v>17120152</v>
      </c>
      <c r="AO111" s="147">
        <v>8263216</v>
      </c>
      <c r="AP111" s="146" t="s">
        <v>381</v>
      </c>
      <c r="AQ111" s="146" t="s">
        <v>382</v>
      </c>
      <c r="AR111" s="146">
        <v>181554465</v>
      </c>
      <c r="AS111" s="140">
        <f t="shared" ref="AS111:AT111" si="234">AD111+AI111+AN111</f>
        <v>22898275</v>
      </c>
      <c r="AT111" s="144">
        <f t="shared" si="234"/>
        <v>12202738</v>
      </c>
      <c r="AU111" s="146" t="s">
        <v>225</v>
      </c>
      <c r="AV111" s="146" t="s">
        <v>141</v>
      </c>
      <c r="AW111" s="141">
        <f t="shared" ref="AW111:AX111" si="235">AS111-AS110</f>
        <v>537403</v>
      </c>
      <c r="AX111" s="142">
        <f t="shared" si="235"/>
        <v>132007</v>
      </c>
      <c r="AY111" s="143">
        <f t="shared" ref="AY111:BA111" si="236">AR111-AH111</f>
        <v>160001347</v>
      </c>
      <c r="AZ111" s="143">
        <f t="shared" si="236"/>
        <v>18656826</v>
      </c>
      <c r="BA111" s="143">
        <f t="shared" si="236"/>
        <v>9666864</v>
      </c>
      <c r="BB111" s="139">
        <f t="shared" si="225"/>
        <v>0.11660418083855256</v>
      </c>
      <c r="BC111" s="139">
        <f t="shared" si="226"/>
        <v>6.0417391361086481E-2</v>
      </c>
      <c r="BD111" s="139">
        <f t="shared" ref="BD111:BE111" si="237">V111/AW111</f>
        <v>7.5269397454052173E-2</v>
      </c>
      <c r="BE111" s="139">
        <f t="shared" si="237"/>
        <v>3.2877044399160652E-3</v>
      </c>
      <c r="BF111" s="148" t="s">
        <v>383</v>
      </c>
      <c r="BG111" s="148" t="s">
        <v>384</v>
      </c>
      <c r="BH111" s="148" t="s">
        <v>340</v>
      </c>
      <c r="BI111" s="148" t="s">
        <v>340</v>
      </c>
    </row>
    <row r="112" spans="1:61" x14ac:dyDescent="0.25">
      <c r="A112" s="136">
        <v>44368</v>
      </c>
      <c r="B112" s="146">
        <v>112301</v>
      </c>
      <c r="C112" s="147">
        <v>135728</v>
      </c>
      <c r="D112" s="147">
        <v>121377</v>
      </c>
      <c r="E112" s="138">
        <f t="shared" si="0"/>
        <v>1.2086090061531063</v>
      </c>
      <c r="F112" s="138">
        <f t="shared" si="1"/>
        <v>1.0808185145279205</v>
      </c>
      <c r="G112" s="146">
        <v>911631</v>
      </c>
      <c r="H112" s="147">
        <v>595654</v>
      </c>
      <c r="I112" s="147">
        <v>535273</v>
      </c>
      <c r="J112" s="138">
        <f t="shared" si="2"/>
        <v>0.65339375251609477</v>
      </c>
      <c r="K112" s="138">
        <f t="shared" si="3"/>
        <v>0.58715971703463354</v>
      </c>
      <c r="L112" s="146">
        <v>1976757</v>
      </c>
      <c r="M112" s="140">
        <f t="shared" si="200"/>
        <v>2668463</v>
      </c>
      <c r="N112" s="140">
        <f t="shared" si="208"/>
        <v>1230605</v>
      </c>
      <c r="O112" s="138">
        <f t="shared" si="4"/>
        <v>1.3499195905212427</v>
      </c>
      <c r="P112" s="138">
        <f t="shared" si="5"/>
        <v>0.62253731743456575</v>
      </c>
      <c r="Q112" s="146">
        <v>8815157</v>
      </c>
      <c r="R112" s="146">
        <v>3399845</v>
      </c>
      <c r="S112" s="146">
        <v>1887255</v>
      </c>
      <c r="T112" s="139">
        <f t="shared" si="8"/>
        <v>0.38568172977520421</v>
      </c>
      <c r="U112" s="139">
        <f t="shared" si="9"/>
        <v>0.21409204623354977</v>
      </c>
      <c r="V112" s="137">
        <f t="shared" si="213"/>
        <v>15141</v>
      </c>
      <c r="W112" s="137">
        <f t="shared" si="218"/>
        <v>498</v>
      </c>
      <c r="X112" s="148" t="s">
        <v>385</v>
      </c>
      <c r="Y112" s="137">
        <f t="shared" ref="Y112:Z112" si="238">R112-H112</f>
        <v>2804191</v>
      </c>
      <c r="Z112" s="137">
        <f t="shared" si="238"/>
        <v>1351982</v>
      </c>
      <c r="AA112" s="139">
        <f t="shared" si="220"/>
        <v>0.35480248248661644</v>
      </c>
      <c r="AB112" s="139">
        <f t="shared" si="221"/>
        <v>0.1710605910500464</v>
      </c>
      <c r="AC112" s="146">
        <v>1468764</v>
      </c>
      <c r="AD112" s="147">
        <v>1536746</v>
      </c>
      <c r="AE112" s="147">
        <v>1403741</v>
      </c>
      <c r="AF112" s="146" t="s">
        <v>378</v>
      </c>
      <c r="AG112" s="146" t="s">
        <v>379</v>
      </c>
      <c r="AH112" s="147">
        <v>21553118</v>
      </c>
      <c r="AI112" s="147">
        <v>4244166</v>
      </c>
      <c r="AJ112" s="147">
        <v>2536966</v>
      </c>
      <c r="AK112" s="146" t="s">
        <v>380</v>
      </c>
      <c r="AL112" s="146" t="s">
        <v>182</v>
      </c>
      <c r="AM112" s="146">
        <v>17327169</v>
      </c>
      <c r="AN112" s="147">
        <v>17159788</v>
      </c>
      <c r="AO112" s="147">
        <v>8267637</v>
      </c>
      <c r="AP112" s="146" t="s">
        <v>381</v>
      </c>
      <c r="AQ112" s="146" t="s">
        <v>382</v>
      </c>
      <c r="AR112" s="146">
        <v>181554465</v>
      </c>
      <c r="AS112" s="140">
        <f t="shared" ref="AS112:AT112" si="239">AD112+AI112+AN112</f>
        <v>22940700</v>
      </c>
      <c r="AT112" s="144">
        <f t="shared" si="239"/>
        <v>12208344</v>
      </c>
      <c r="AU112" s="146" t="s">
        <v>225</v>
      </c>
      <c r="AV112" s="146" t="s">
        <v>141</v>
      </c>
      <c r="AW112" s="141">
        <f t="shared" ref="AW112:AX112" si="240">AS112-AS111</f>
        <v>42425</v>
      </c>
      <c r="AX112" s="142">
        <f t="shared" si="240"/>
        <v>5606</v>
      </c>
      <c r="AY112" s="143">
        <f t="shared" ref="AY112:BA112" si="241">AR112-AH112</f>
        <v>160001347</v>
      </c>
      <c r="AZ112" s="143">
        <f t="shared" si="241"/>
        <v>18696534</v>
      </c>
      <c r="BA112" s="143">
        <f t="shared" si="241"/>
        <v>9671378</v>
      </c>
      <c r="BB112" s="139">
        <f t="shared" si="225"/>
        <v>0.11685235374924688</v>
      </c>
      <c r="BC112" s="139">
        <f t="shared" si="226"/>
        <v>6.0445603623574491E-2</v>
      </c>
      <c r="BD112" s="139">
        <f t="shared" ref="BD112:BE112" si="242">V112/AW112</f>
        <v>0.35688862698880375</v>
      </c>
      <c r="BE112" s="139">
        <f t="shared" si="242"/>
        <v>8.8833392793435606E-2</v>
      </c>
      <c r="BF112" s="148" t="s">
        <v>386</v>
      </c>
      <c r="BG112" s="148" t="s">
        <v>387</v>
      </c>
      <c r="BH112" s="148" t="s">
        <v>340</v>
      </c>
      <c r="BI112" s="148" t="s">
        <v>340</v>
      </c>
    </row>
    <row r="113" spans="1:61" x14ac:dyDescent="0.25">
      <c r="A113" s="136">
        <v>44369</v>
      </c>
      <c r="B113" s="146">
        <v>112301</v>
      </c>
      <c r="C113" s="147">
        <v>135728</v>
      </c>
      <c r="D113" s="147">
        <v>121377</v>
      </c>
      <c r="E113" s="138">
        <f t="shared" si="0"/>
        <v>1.2086090061531063</v>
      </c>
      <c r="F113" s="138">
        <f t="shared" si="1"/>
        <v>1.0808185145279205</v>
      </c>
      <c r="G113" s="146">
        <v>911631</v>
      </c>
      <c r="H113" s="147">
        <v>595654</v>
      </c>
      <c r="I113" s="147">
        <v>535273</v>
      </c>
      <c r="J113" s="138">
        <f t="shared" si="2"/>
        <v>0.65339375251609477</v>
      </c>
      <c r="K113" s="138">
        <f t="shared" si="3"/>
        <v>0.58715971703463354</v>
      </c>
      <c r="L113" s="146">
        <v>1976757</v>
      </c>
      <c r="M113" s="140">
        <f t="shared" si="200"/>
        <v>2781630</v>
      </c>
      <c r="N113" s="140">
        <f t="shared" si="208"/>
        <v>1235008</v>
      </c>
      <c r="O113" s="138">
        <f t="shared" si="4"/>
        <v>1.4071684076494986</v>
      </c>
      <c r="P113" s="138">
        <f t="shared" si="5"/>
        <v>0.62476470299586651</v>
      </c>
      <c r="Q113" s="146">
        <v>8815157</v>
      </c>
      <c r="R113" s="146">
        <v>3513012</v>
      </c>
      <c r="S113" s="146">
        <v>1891658</v>
      </c>
      <c r="T113" s="139">
        <f t="shared" si="8"/>
        <v>0.39851950453066237</v>
      </c>
      <c r="U113" s="139">
        <f t="shared" si="9"/>
        <v>0.21459152684404828</v>
      </c>
      <c r="V113" s="137">
        <f t="shared" si="213"/>
        <v>113167</v>
      </c>
      <c r="W113" s="137">
        <f t="shared" si="218"/>
        <v>4403</v>
      </c>
      <c r="X113" s="148" t="s">
        <v>388</v>
      </c>
      <c r="Y113" s="137">
        <f t="shared" ref="Y113:Z113" si="243">R113-H113</f>
        <v>2917358</v>
      </c>
      <c r="Z113" s="137">
        <f t="shared" si="243"/>
        <v>1356385</v>
      </c>
      <c r="AA113" s="139">
        <f t="shared" si="220"/>
        <v>0.36912097989657278</v>
      </c>
      <c r="AB113" s="139">
        <f t="shared" si="221"/>
        <v>0.17161766239077031</v>
      </c>
      <c r="AC113" s="146">
        <v>1468764</v>
      </c>
      <c r="AD113" s="147">
        <v>1537962</v>
      </c>
      <c r="AE113" s="147">
        <v>1405320</v>
      </c>
      <c r="AF113" s="146" t="s">
        <v>378</v>
      </c>
      <c r="AG113" s="146" t="s">
        <v>379</v>
      </c>
      <c r="AH113" s="147">
        <v>21553118</v>
      </c>
      <c r="AI113" s="147">
        <v>4297454</v>
      </c>
      <c r="AJ113" s="147">
        <v>2566748</v>
      </c>
      <c r="AK113" s="146" t="s">
        <v>380</v>
      </c>
      <c r="AL113" s="146" t="s">
        <v>182</v>
      </c>
      <c r="AM113" s="146">
        <v>17327169</v>
      </c>
      <c r="AN113" s="147">
        <v>17587982</v>
      </c>
      <c r="AO113" s="147">
        <v>8391162</v>
      </c>
      <c r="AP113" s="146" t="s">
        <v>381</v>
      </c>
      <c r="AQ113" s="146" t="s">
        <v>382</v>
      </c>
      <c r="AR113" s="146">
        <v>181554465</v>
      </c>
      <c r="AS113" s="140">
        <f t="shared" ref="AS113:AT113" si="244">AD113+AI113+AN113</f>
        <v>23423398</v>
      </c>
      <c r="AT113" s="144">
        <f t="shared" si="244"/>
        <v>12363230</v>
      </c>
      <c r="AU113" s="146" t="s">
        <v>225</v>
      </c>
      <c r="AV113" s="146" t="s">
        <v>141</v>
      </c>
      <c r="AW113" s="141">
        <f t="shared" ref="AW113:AX113" si="245">AS113-AS112</f>
        <v>482698</v>
      </c>
      <c r="AX113" s="142">
        <f t="shared" si="245"/>
        <v>154886</v>
      </c>
      <c r="AY113" s="143">
        <f t="shared" ref="AY113:BA113" si="246">AR113-AH113</f>
        <v>160001347</v>
      </c>
      <c r="AZ113" s="143">
        <f t="shared" si="246"/>
        <v>19125944</v>
      </c>
      <c r="BA113" s="143">
        <f t="shared" si="246"/>
        <v>9796482</v>
      </c>
      <c r="BB113" s="139">
        <f t="shared" si="225"/>
        <v>0.1195361436550906</v>
      </c>
      <c r="BC113" s="139">
        <f t="shared" si="226"/>
        <v>6.1227497041009285E-2</v>
      </c>
      <c r="BD113" s="139">
        <f t="shared" ref="BD113:BE113" si="247">V113/AW113</f>
        <v>0.23444679696207565</v>
      </c>
      <c r="BE113" s="139">
        <f t="shared" si="247"/>
        <v>2.8427359477292975E-2</v>
      </c>
      <c r="BF113" s="148" t="s">
        <v>389</v>
      </c>
      <c r="BG113" s="148" t="s">
        <v>390</v>
      </c>
      <c r="BH113" s="148" t="s">
        <v>340</v>
      </c>
      <c r="BI113" s="148" t="s">
        <v>340</v>
      </c>
    </row>
    <row r="114" spans="1:61" x14ac:dyDescent="0.25">
      <c r="A114" s="136">
        <v>44370</v>
      </c>
      <c r="B114" s="146">
        <v>112301</v>
      </c>
      <c r="C114" s="147">
        <v>135728</v>
      </c>
      <c r="D114" s="147">
        <v>121377</v>
      </c>
      <c r="E114" s="138">
        <f t="shared" si="0"/>
        <v>1.2086090061531063</v>
      </c>
      <c r="F114" s="138">
        <f t="shared" si="1"/>
        <v>1.0808185145279205</v>
      </c>
      <c r="G114" s="146">
        <v>911631</v>
      </c>
      <c r="H114" s="147">
        <v>595654</v>
      </c>
      <c r="I114" s="147">
        <v>535273</v>
      </c>
      <c r="J114" s="138">
        <f t="shared" si="2"/>
        <v>0.65339375251609477</v>
      </c>
      <c r="K114" s="138">
        <f t="shared" si="3"/>
        <v>0.58715971703463354</v>
      </c>
      <c r="L114" s="146">
        <v>1976757</v>
      </c>
      <c r="M114" s="140">
        <f t="shared" si="200"/>
        <v>2861777</v>
      </c>
      <c r="N114" s="140">
        <f t="shared" si="208"/>
        <v>1238158</v>
      </c>
      <c r="O114" s="138">
        <f t="shared" si="4"/>
        <v>1.4477130977656838</v>
      </c>
      <c r="P114" s="138">
        <f t="shared" si="5"/>
        <v>0.62635822207787806</v>
      </c>
      <c r="Q114" s="146">
        <v>8815157</v>
      </c>
      <c r="R114" s="146">
        <v>3593159</v>
      </c>
      <c r="S114" s="146">
        <v>1894808</v>
      </c>
      <c r="T114" s="139">
        <f t="shared" si="8"/>
        <v>0.40761145830981799</v>
      </c>
      <c r="U114" s="139">
        <f t="shared" si="9"/>
        <v>0.2149488659135623</v>
      </c>
      <c r="V114" s="137">
        <f t="shared" si="213"/>
        <v>80147</v>
      </c>
      <c r="W114" s="137">
        <f t="shared" si="218"/>
        <v>3150</v>
      </c>
      <c r="X114" s="148" t="s">
        <v>391</v>
      </c>
      <c r="Y114" s="137">
        <f t="shared" ref="Y114:Z114" si="248">R114-H114</f>
        <v>2997505</v>
      </c>
      <c r="Z114" s="137">
        <f t="shared" si="248"/>
        <v>1359535</v>
      </c>
      <c r="AA114" s="139">
        <f t="shared" si="220"/>
        <v>0.37926159314402463</v>
      </c>
      <c r="AB114" s="139">
        <f t="shared" si="221"/>
        <v>0.17201619681537197</v>
      </c>
      <c r="AC114" s="146">
        <v>1468764</v>
      </c>
      <c r="AD114" s="147">
        <v>1539429</v>
      </c>
      <c r="AE114" s="147">
        <v>1407070</v>
      </c>
      <c r="AF114" s="146" t="s">
        <v>378</v>
      </c>
      <c r="AG114" s="146" t="s">
        <v>379</v>
      </c>
      <c r="AH114" s="147">
        <v>21553118</v>
      </c>
      <c r="AI114" s="147">
        <v>4330129</v>
      </c>
      <c r="AJ114" s="147">
        <v>2601206</v>
      </c>
      <c r="AK114" s="146" t="s">
        <v>380</v>
      </c>
      <c r="AL114" s="146" t="s">
        <v>182</v>
      </c>
      <c r="AM114" s="146">
        <v>17327169</v>
      </c>
      <c r="AN114" s="147">
        <v>18017043</v>
      </c>
      <c r="AO114" s="147">
        <v>8537350</v>
      </c>
      <c r="AP114" s="146" t="s">
        <v>381</v>
      </c>
      <c r="AQ114" s="146" t="s">
        <v>382</v>
      </c>
      <c r="AR114" s="146">
        <v>181554465</v>
      </c>
      <c r="AS114" s="140">
        <f t="shared" ref="AS114:AT114" si="249">AD114+AI114+AN114</f>
        <v>23886601</v>
      </c>
      <c r="AT114" s="144">
        <f t="shared" si="249"/>
        <v>12545626</v>
      </c>
      <c r="AU114" s="146" t="s">
        <v>225</v>
      </c>
      <c r="AV114" s="146" t="s">
        <v>141</v>
      </c>
      <c r="AW114" s="141">
        <f t="shared" ref="AW114:AX114" si="250">AS114-AS113</f>
        <v>463203</v>
      </c>
      <c r="AX114" s="142">
        <f t="shared" si="250"/>
        <v>182396</v>
      </c>
      <c r="AY114" s="143">
        <f t="shared" ref="AY114:BA114" si="251">AR114-AH114</f>
        <v>160001347</v>
      </c>
      <c r="AZ114" s="143">
        <f t="shared" si="251"/>
        <v>19556472</v>
      </c>
      <c r="BA114" s="143">
        <f t="shared" si="251"/>
        <v>9944420</v>
      </c>
      <c r="BB114" s="139">
        <f t="shared" si="225"/>
        <v>0.12222692100210882</v>
      </c>
      <c r="BC114" s="139">
        <f t="shared" si="226"/>
        <v>6.215210175699333E-2</v>
      </c>
      <c r="BD114" s="139">
        <f t="shared" ref="BD114:BE114" si="252">V114/AW114</f>
        <v>0.17302780854182723</v>
      </c>
      <c r="BE114" s="139">
        <f t="shared" si="252"/>
        <v>1.7270115572709927E-2</v>
      </c>
      <c r="BF114" s="148" t="s">
        <v>392</v>
      </c>
      <c r="BG114" s="148" t="s">
        <v>393</v>
      </c>
      <c r="BH114" s="148" t="s">
        <v>340</v>
      </c>
      <c r="BI114" s="148" t="s">
        <v>340</v>
      </c>
    </row>
    <row r="115" spans="1:61" x14ac:dyDescent="0.25">
      <c r="A115" s="136">
        <v>44371</v>
      </c>
      <c r="B115" s="146">
        <v>112301</v>
      </c>
      <c r="C115" s="147">
        <v>135728</v>
      </c>
      <c r="D115" s="147">
        <v>121377</v>
      </c>
      <c r="E115" s="138">
        <f t="shared" si="0"/>
        <v>1.2086090061531063</v>
      </c>
      <c r="F115" s="138">
        <f t="shared" si="1"/>
        <v>1.0808185145279205</v>
      </c>
      <c r="G115" s="146">
        <v>911631</v>
      </c>
      <c r="H115" s="147">
        <v>595654</v>
      </c>
      <c r="I115" s="147">
        <v>535273</v>
      </c>
      <c r="J115" s="138">
        <f t="shared" si="2"/>
        <v>0.65339375251609477</v>
      </c>
      <c r="K115" s="138">
        <f t="shared" si="3"/>
        <v>0.58715971703463354</v>
      </c>
      <c r="L115" s="146">
        <v>1976757</v>
      </c>
      <c r="M115" s="140">
        <f t="shared" si="200"/>
        <v>3022069</v>
      </c>
      <c r="N115" s="140">
        <f t="shared" si="208"/>
        <v>1241917</v>
      </c>
      <c r="O115" s="138">
        <f t="shared" si="4"/>
        <v>1.528801466239907</v>
      </c>
      <c r="P115" s="138">
        <f t="shared" si="5"/>
        <v>0.62825982151574522</v>
      </c>
      <c r="Q115" s="146">
        <v>8815157</v>
      </c>
      <c r="R115" s="146">
        <v>3753451</v>
      </c>
      <c r="S115" s="146">
        <v>1898567</v>
      </c>
      <c r="T115" s="139">
        <f t="shared" si="8"/>
        <v>0.42579513898618027</v>
      </c>
      <c r="U115" s="139">
        <f t="shared" si="9"/>
        <v>0.21537529053651569</v>
      </c>
      <c r="V115" s="137">
        <f t="shared" si="213"/>
        <v>160292</v>
      </c>
      <c r="W115" s="137">
        <f t="shared" si="218"/>
        <v>3759</v>
      </c>
      <c r="X115" s="148" t="s">
        <v>394</v>
      </c>
      <c r="Y115" s="137">
        <f t="shared" ref="Y115:Z115" si="253">R115-H115</f>
        <v>3157797</v>
      </c>
      <c r="Z115" s="137">
        <f t="shared" si="253"/>
        <v>1363294</v>
      </c>
      <c r="AA115" s="139">
        <f t="shared" si="220"/>
        <v>0.39954260944160397</v>
      </c>
      <c r="AB115" s="139">
        <f t="shared" si="221"/>
        <v>0.17249178531618151</v>
      </c>
      <c r="AC115" s="146">
        <v>1468764</v>
      </c>
      <c r="AD115" s="147">
        <v>1540826</v>
      </c>
      <c r="AE115" s="147">
        <v>1408028</v>
      </c>
      <c r="AF115" s="146" t="s">
        <v>378</v>
      </c>
      <c r="AG115" s="146" t="s">
        <v>379</v>
      </c>
      <c r="AH115" s="147">
        <v>21553118</v>
      </c>
      <c r="AI115" s="147">
        <v>4416377</v>
      </c>
      <c r="AJ115" s="147">
        <v>2613878</v>
      </c>
      <c r="AK115" s="146" t="s">
        <v>380</v>
      </c>
      <c r="AL115" s="146" t="s">
        <v>182</v>
      </c>
      <c r="AM115" s="146">
        <v>17327169</v>
      </c>
      <c r="AN115" s="147">
        <v>18590105</v>
      </c>
      <c r="AO115" s="147">
        <v>8610802</v>
      </c>
      <c r="AP115" s="146" t="s">
        <v>381</v>
      </c>
      <c r="AQ115" s="146" t="s">
        <v>382</v>
      </c>
      <c r="AR115" s="146">
        <v>181554465</v>
      </c>
      <c r="AS115" s="140">
        <f t="shared" ref="AS115:AT115" si="254">AD115+AI115+AN115</f>
        <v>24547308</v>
      </c>
      <c r="AT115" s="144">
        <f t="shared" si="254"/>
        <v>12632708</v>
      </c>
      <c r="AU115" s="146" t="s">
        <v>225</v>
      </c>
      <c r="AV115" s="146" t="s">
        <v>141</v>
      </c>
      <c r="AW115" s="141">
        <f t="shared" ref="AW115:AX115" si="255">AS115-AS114</f>
        <v>660707</v>
      </c>
      <c r="AX115" s="142">
        <f t="shared" si="255"/>
        <v>87082</v>
      </c>
      <c r="AY115" s="143">
        <f t="shared" ref="AY115:BA115" si="256">AR115-AH115</f>
        <v>160001347</v>
      </c>
      <c r="AZ115" s="143">
        <f t="shared" si="256"/>
        <v>20130931</v>
      </c>
      <c r="BA115" s="143">
        <f t="shared" si="256"/>
        <v>10018830</v>
      </c>
      <c r="BB115" s="139">
        <f t="shared" si="225"/>
        <v>0.12581725952594636</v>
      </c>
      <c r="BC115" s="139">
        <f t="shared" si="226"/>
        <v>6.2617160341781372E-2</v>
      </c>
      <c r="BD115" s="139">
        <f t="shared" ref="BD115:BE115" si="257">V115/AW115</f>
        <v>0.24260678333966493</v>
      </c>
      <c r="BE115" s="139">
        <f t="shared" si="257"/>
        <v>4.3166211157300016E-2</v>
      </c>
      <c r="BF115" s="148" t="s">
        <v>395</v>
      </c>
      <c r="BG115" s="148" t="s">
        <v>396</v>
      </c>
      <c r="BH115" s="148" t="s">
        <v>340</v>
      </c>
      <c r="BI115" s="148" t="s">
        <v>340</v>
      </c>
    </row>
    <row r="116" spans="1:61" x14ac:dyDescent="0.25">
      <c r="A116" s="136">
        <v>44372</v>
      </c>
      <c r="B116" s="146">
        <v>112301</v>
      </c>
      <c r="C116" s="147">
        <v>135728</v>
      </c>
      <c r="D116" s="147">
        <v>121377</v>
      </c>
      <c r="E116" s="138">
        <f t="shared" si="0"/>
        <v>1.2086090061531063</v>
      </c>
      <c r="F116" s="138">
        <f t="shared" si="1"/>
        <v>1.0808185145279205</v>
      </c>
      <c r="G116" s="146">
        <v>911631</v>
      </c>
      <c r="H116" s="147">
        <v>595654</v>
      </c>
      <c r="I116" s="147">
        <v>535273</v>
      </c>
      <c r="J116" s="138">
        <f t="shared" si="2"/>
        <v>0.65339375251609477</v>
      </c>
      <c r="K116" s="138">
        <f t="shared" si="3"/>
        <v>0.58715971703463354</v>
      </c>
      <c r="L116" s="146">
        <v>1976757</v>
      </c>
      <c r="M116" s="140">
        <f t="shared" si="200"/>
        <v>3152714</v>
      </c>
      <c r="N116" s="140">
        <f t="shared" si="208"/>
        <v>1245683</v>
      </c>
      <c r="O116" s="138">
        <f t="shared" si="4"/>
        <v>1.594892037817496</v>
      </c>
      <c r="P116" s="138">
        <f t="shared" si="5"/>
        <v>0.63016496210712802</v>
      </c>
      <c r="Q116" s="146">
        <v>8815157</v>
      </c>
      <c r="R116" s="146">
        <v>3884096</v>
      </c>
      <c r="S116" s="146">
        <v>1902333</v>
      </c>
      <c r="T116" s="139">
        <f t="shared" si="8"/>
        <v>0.44061563509305618</v>
      </c>
      <c r="U116" s="139">
        <f t="shared" si="9"/>
        <v>0.21580250924629021</v>
      </c>
      <c r="V116" s="137">
        <f t="shared" si="213"/>
        <v>130645</v>
      </c>
      <c r="W116" s="137">
        <f t="shared" si="218"/>
        <v>3766</v>
      </c>
      <c r="X116" s="148" t="s">
        <v>397</v>
      </c>
      <c r="Y116" s="137">
        <f t="shared" ref="Y116:Z116" si="258">R116-H116</f>
        <v>3288442</v>
      </c>
      <c r="Z116" s="137">
        <f t="shared" si="258"/>
        <v>1367060</v>
      </c>
      <c r="AA116" s="139">
        <f t="shared" si="220"/>
        <v>0.4160725123998375</v>
      </c>
      <c r="AB116" s="139">
        <f t="shared" si="221"/>
        <v>0.17296825937672669</v>
      </c>
      <c r="AC116" s="146">
        <v>1468764</v>
      </c>
      <c r="AD116" s="147">
        <v>1543211</v>
      </c>
      <c r="AE116" s="147">
        <v>1410448</v>
      </c>
      <c r="AF116" s="146" t="s">
        <v>378</v>
      </c>
      <c r="AG116" s="146" t="s">
        <v>379</v>
      </c>
      <c r="AH116" s="147">
        <v>21553118</v>
      </c>
      <c r="AI116" s="147">
        <v>4491314</v>
      </c>
      <c r="AJ116" s="147">
        <v>2658959</v>
      </c>
      <c r="AK116" s="146" t="s">
        <v>380</v>
      </c>
      <c r="AL116" s="146" t="s">
        <v>182</v>
      </c>
      <c r="AM116" s="146">
        <v>17327169</v>
      </c>
      <c r="AN116" s="147">
        <v>19321558</v>
      </c>
      <c r="AO116" s="147">
        <v>8799473</v>
      </c>
      <c r="AP116" s="146" t="s">
        <v>381</v>
      </c>
      <c r="AQ116" s="146" t="s">
        <v>382</v>
      </c>
      <c r="AR116" s="146">
        <v>181554465</v>
      </c>
      <c r="AS116" s="140">
        <f t="shared" ref="AS116:AT116" si="259">AD116+AI116+AN116</f>
        <v>25356083</v>
      </c>
      <c r="AT116" s="144">
        <f t="shared" si="259"/>
        <v>12868880</v>
      </c>
      <c r="AU116" s="146" t="s">
        <v>225</v>
      </c>
      <c r="AV116" s="146" t="s">
        <v>141</v>
      </c>
      <c r="AW116" s="141">
        <f t="shared" ref="AW116:AX116" si="260">AS116-AS115</f>
        <v>808775</v>
      </c>
      <c r="AX116" s="142">
        <f t="shared" si="260"/>
        <v>236172</v>
      </c>
      <c r="AY116" s="143">
        <f t="shared" ref="AY116:BA116" si="261">AR116-AH116</f>
        <v>160001347</v>
      </c>
      <c r="AZ116" s="143">
        <f t="shared" si="261"/>
        <v>20864769</v>
      </c>
      <c r="BA116" s="143">
        <f t="shared" si="261"/>
        <v>10209921</v>
      </c>
      <c r="BB116" s="139">
        <f t="shared" si="225"/>
        <v>0.1304037084137798</v>
      </c>
      <c r="BC116" s="139">
        <f t="shared" si="226"/>
        <v>6.3811469037195048E-2</v>
      </c>
      <c r="BD116" s="139">
        <f t="shared" ref="BD116:BE116" si="262">V116/AW116</f>
        <v>0.16153441933788754</v>
      </c>
      <c r="BE116" s="139">
        <f t="shared" si="262"/>
        <v>1.5946005453652424E-2</v>
      </c>
      <c r="BF116" s="148" t="s">
        <v>398</v>
      </c>
      <c r="BG116" s="148" t="s">
        <v>399</v>
      </c>
      <c r="BH116" s="148" t="s">
        <v>340</v>
      </c>
      <c r="BI116" s="148" t="s">
        <v>340</v>
      </c>
    </row>
    <row r="117" spans="1:61" x14ac:dyDescent="0.25">
      <c r="A117" s="136">
        <v>44373</v>
      </c>
      <c r="B117" s="146">
        <v>112301</v>
      </c>
      <c r="C117" s="147">
        <v>135728</v>
      </c>
      <c r="D117" s="147">
        <v>121377</v>
      </c>
      <c r="E117" s="138">
        <f t="shared" si="0"/>
        <v>1.2086090061531063</v>
      </c>
      <c r="F117" s="138">
        <f t="shared" si="1"/>
        <v>1.0808185145279205</v>
      </c>
      <c r="G117" s="146">
        <v>911631</v>
      </c>
      <c r="H117" s="147">
        <v>595654</v>
      </c>
      <c r="I117" s="147">
        <v>535273</v>
      </c>
      <c r="J117" s="138">
        <f t="shared" si="2"/>
        <v>0.65339375251609477</v>
      </c>
      <c r="K117" s="138">
        <f t="shared" si="3"/>
        <v>0.58715971703463354</v>
      </c>
      <c r="L117" s="146">
        <v>1976757</v>
      </c>
      <c r="M117" s="140">
        <f t="shared" si="200"/>
        <v>3286874</v>
      </c>
      <c r="N117" s="140">
        <f t="shared" si="208"/>
        <v>1250631</v>
      </c>
      <c r="O117" s="138">
        <f t="shared" si="4"/>
        <v>1.6627607743389805</v>
      </c>
      <c r="P117" s="138">
        <f t="shared" si="5"/>
        <v>0.63266805176357033</v>
      </c>
      <c r="Q117" s="146">
        <v>8815157</v>
      </c>
      <c r="R117" s="146">
        <v>4018256</v>
      </c>
      <c r="S117" s="146">
        <v>1907281</v>
      </c>
      <c r="T117" s="139">
        <f t="shared" si="8"/>
        <v>0.45583487622511998</v>
      </c>
      <c r="U117" s="139">
        <f t="shared" si="9"/>
        <v>0.21636381518786335</v>
      </c>
      <c r="V117" s="137">
        <f t="shared" si="213"/>
        <v>134160</v>
      </c>
      <c r="W117" s="137">
        <f t="shared" si="218"/>
        <v>4948</v>
      </c>
      <c r="X117" s="148" t="s">
        <v>400</v>
      </c>
      <c r="Y117" s="137">
        <f t="shared" ref="Y117:Z117" si="263">R117-H117</f>
        <v>3422602</v>
      </c>
      <c r="Z117" s="137">
        <f t="shared" si="263"/>
        <v>1372008</v>
      </c>
      <c r="AA117" s="139">
        <f t="shared" si="220"/>
        <v>0.4330471490467806</v>
      </c>
      <c r="AB117" s="139">
        <f t="shared" si="221"/>
        <v>0.17359428670624727</v>
      </c>
      <c r="AC117" s="146">
        <v>1468764</v>
      </c>
      <c r="AD117" s="147">
        <v>1543804</v>
      </c>
      <c r="AE117" s="147">
        <v>1411033</v>
      </c>
      <c r="AF117" s="146" t="s">
        <v>378</v>
      </c>
      <c r="AG117" s="146" t="s">
        <v>379</v>
      </c>
      <c r="AH117" s="147">
        <v>21553118</v>
      </c>
      <c r="AI117" s="147">
        <v>4508011</v>
      </c>
      <c r="AJ117" s="147">
        <v>2665030</v>
      </c>
      <c r="AK117" s="146" t="s">
        <v>380</v>
      </c>
      <c r="AL117" s="146" t="s">
        <v>182</v>
      </c>
      <c r="AM117" s="146">
        <v>17327169</v>
      </c>
      <c r="AN117" s="147">
        <v>19555505</v>
      </c>
      <c r="AO117" s="147">
        <v>8835815</v>
      </c>
      <c r="AP117" s="146" t="s">
        <v>381</v>
      </c>
      <c r="AQ117" s="146" t="s">
        <v>382</v>
      </c>
      <c r="AR117" s="146">
        <v>181554465</v>
      </c>
      <c r="AS117" s="140">
        <f t="shared" ref="AS117:AT117" si="264">AD117+AI117+AN117</f>
        <v>25607320</v>
      </c>
      <c r="AT117" s="144">
        <f t="shared" si="264"/>
        <v>12911878</v>
      </c>
      <c r="AU117" s="146" t="s">
        <v>225</v>
      </c>
      <c r="AV117" s="146" t="s">
        <v>141</v>
      </c>
      <c r="AW117" s="141">
        <f t="shared" ref="AW117:AX117" si="265">AS117-AS116</f>
        <v>251237</v>
      </c>
      <c r="AX117" s="142">
        <f t="shared" si="265"/>
        <v>42998</v>
      </c>
      <c r="AY117" s="143">
        <f t="shared" ref="AY117:BA117" si="266">AR117-AH117</f>
        <v>160001347</v>
      </c>
      <c r="AZ117" s="143">
        <f t="shared" si="266"/>
        <v>21099309</v>
      </c>
      <c r="BA117" s="143">
        <f t="shared" si="266"/>
        <v>10246848</v>
      </c>
      <c r="BB117" s="139">
        <f t="shared" si="225"/>
        <v>0.13186957107304853</v>
      </c>
      <c r="BC117" s="139">
        <f t="shared" si="226"/>
        <v>6.404226084421652E-2</v>
      </c>
      <c r="BD117" s="139">
        <f t="shared" ref="BD117:BE117" si="267">V117/AW117</f>
        <v>0.53399777898955969</v>
      </c>
      <c r="BE117" s="139">
        <f t="shared" si="267"/>
        <v>0.1150751197730127</v>
      </c>
      <c r="BF117" s="148" t="s">
        <v>401</v>
      </c>
      <c r="BG117" s="148" t="s">
        <v>402</v>
      </c>
      <c r="BH117" s="148" t="s">
        <v>340</v>
      </c>
      <c r="BI117" s="148" t="s">
        <v>340</v>
      </c>
    </row>
    <row r="118" spans="1:61" x14ac:dyDescent="0.25">
      <c r="A118" s="136">
        <v>44374</v>
      </c>
      <c r="B118" s="146">
        <v>112301</v>
      </c>
      <c r="C118" s="147">
        <v>135728</v>
      </c>
      <c r="D118" s="147">
        <v>121377</v>
      </c>
      <c r="E118" s="138">
        <f t="shared" si="0"/>
        <v>1.2086090061531063</v>
      </c>
      <c r="F118" s="138">
        <f t="shared" si="1"/>
        <v>1.0808185145279205</v>
      </c>
      <c r="G118" s="146">
        <v>911631</v>
      </c>
      <c r="H118" s="147">
        <v>595654</v>
      </c>
      <c r="I118" s="147">
        <v>535273</v>
      </c>
      <c r="J118" s="138">
        <f t="shared" si="2"/>
        <v>0.65339375251609477</v>
      </c>
      <c r="K118" s="138">
        <f t="shared" si="3"/>
        <v>0.58715971703463354</v>
      </c>
      <c r="L118" s="146">
        <v>1976757</v>
      </c>
      <c r="M118" s="140">
        <f t="shared" si="200"/>
        <v>3346354</v>
      </c>
      <c r="N118" s="140">
        <f t="shared" si="208"/>
        <v>1254580</v>
      </c>
      <c r="O118" s="138">
        <f t="shared" si="4"/>
        <v>1.6928504616399487</v>
      </c>
      <c r="P118" s="138">
        <f t="shared" si="5"/>
        <v>0.63466576822543186</v>
      </c>
      <c r="Q118" s="146">
        <v>8815157</v>
      </c>
      <c r="R118" s="146">
        <v>4077736</v>
      </c>
      <c r="S118" s="146">
        <v>1911230</v>
      </c>
      <c r="T118" s="139">
        <f t="shared" si="8"/>
        <v>0.46258234538534027</v>
      </c>
      <c r="U118" s="139">
        <f t="shared" si="9"/>
        <v>0.21681179359596203</v>
      </c>
      <c r="V118" s="137">
        <f t="shared" si="213"/>
        <v>59480</v>
      </c>
      <c r="W118" s="137">
        <f t="shared" si="218"/>
        <v>3949</v>
      </c>
      <c r="X118" s="148" t="s">
        <v>403</v>
      </c>
      <c r="Y118" s="137">
        <f t="shared" ref="Y118:Z118" si="268">R118-H118</f>
        <v>3482082</v>
      </c>
      <c r="Z118" s="137">
        <f t="shared" si="268"/>
        <v>1375957</v>
      </c>
      <c r="AA118" s="139">
        <f t="shared" si="220"/>
        <v>0.44057284255028734</v>
      </c>
      <c r="AB118" s="139">
        <f t="shared" si="221"/>
        <v>0.17409391470877644</v>
      </c>
      <c r="AC118" s="146">
        <v>1468764</v>
      </c>
      <c r="AD118" s="147">
        <v>1545890</v>
      </c>
      <c r="AE118" s="147">
        <v>1411913</v>
      </c>
      <c r="AF118" s="146" t="s">
        <v>378</v>
      </c>
      <c r="AG118" s="146" t="s">
        <v>379</v>
      </c>
      <c r="AH118" s="147">
        <v>21553118</v>
      </c>
      <c r="AI118" s="147">
        <v>4560867</v>
      </c>
      <c r="AJ118" s="147">
        <v>2684960</v>
      </c>
      <c r="AK118" s="146" t="s">
        <v>380</v>
      </c>
      <c r="AL118" s="146" t="s">
        <v>182</v>
      </c>
      <c r="AM118" s="146">
        <v>17327169</v>
      </c>
      <c r="AN118" s="147">
        <v>20218243</v>
      </c>
      <c r="AO118" s="147">
        <v>8923261</v>
      </c>
      <c r="AP118" s="146" t="s">
        <v>381</v>
      </c>
      <c r="AQ118" s="146" t="s">
        <v>382</v>
      </c>
      <c r="AR118" s="146">
        <v>181554465</v>
      </c>
      <c r="AS118" s="140">
        <f t="shared" ref="AS118:AT118" si="269">AD118+AI118+AN118</f>
        <v>26325000</v>
      </c>
      <c r="AT118" s="144">
        <f t="shared" si="269"/>
        <v>13020134</v>
      </c>
      <c r="AU118" s="146" t="s">
        <v>225</v>
      </c>
      <c r="AV118" s="146" t="s">
        <v>141</v>
      </c>
      <c r="AW118" s="141">
        <f t="shared" ref="AW118:AX118" si="270">AS118-AS117</f>
        <v>717680</v>
      </c>
      <c r="AX118" s="142">
        <f t="shared" si="270"/>
        <v>108256</v>
      </c>
      <c r="AY118" s="143">
        <f t="shared" ref="AY118:BA118" si="271">AR118-AH118</f>
        <v>160001347</v>
      </c>
      <c r="AZ118" s="143">
        <f t="shared" si="271"/>
        <v>21764133</v>
      </c>
      <c r="BA118" s="143">
        <f t="shared" si="271"/>
        <v>10335174</v>
      </c>
      <c r="BB118" s="139">
        <f t="shared" si="225"/>
        <v>0.13602468609217397</v>
      </c>
      <c r="BC118" s="139">
        <f t="shared" si="226"/>
        <v>6.4594293696789942E-2</v>
      </c>
      <c r="BD118" s="139">
        <f t="shared" ref="BD118:BE118" si="272">V118/AW118</f>
        <v>8.2878162969568611E-2</v>
      </c>
      <c r="BE118" s="139">
        <f t="shared" si="272"/>
        <v>3.6478347620455216E-2</v>
      </c>
      <c r="BF118" s="148" t="s">
        <v>404</v>
      </c>
      <c r="BG118" s="148" t="s">
        <v>405</v>
      </c>
      <c r="BH118" s="148" t="s">
        <v>340</v>
      </c>
      <c r="BI118" s="148" t="s">
        <v>340</v>
      </c>
    </row>
    <row r="119" spans="1:61" x14ac:dyDescent="0.25">
      <c r="A119" s="136">
        <v>44375</v>
      </c>
      <c r="B119" s="146">
        <v>112301</v>
      </c>
      <c r="C119" s="147">
        <v>136733</v>
      </c>
      <c r="D119" s="147">
        <v>121794</v>
      </c>
      <c r="E119" s="138">
        <f t="shared" si="0"/>
        <v>1.2175581695621589</v>
      </c>
      <c r="F119" s="138">
        <f t="shared" si="1"/>
        <v>1.0845317494946616</v>
      </c>
      <c r="G119" s="146">
        <v>911631</v>
      </c>
      <c r="H119" s="147">
        <v>599877</v>
      </c>
      <c r="I119" s="147">
        <v>535273</v>
      </c>
      <c r="J119" s="138">
        <f t="shared" si="2"/>
        <v>0.65802610924814975</v>
      </c>
      <c r="K119" s="138">
        <f t="shared" si="3"/>
        <v>0.58715971703463354</v>
      </c>
      <c r="L119" s="146">
        <v>1976757</v>
      </c>
      <c r="M119" s="140">
        <f t="shared" si="200"/>
        <v>3368399</v>
      </c>
      <c r="N119" s="140">
        <f t="shared" si="208"/>
        <v>1255847</v>
      </c>
      <c r="O119" s="138">
        <f t="shared" si="4"/>
        <v>1.7040025658186615</v>
      </c>
      <c r="P119" s="138">
        <f t="shared" si="5"/>
        <v>0.63530671701175212</v>
      </c>
      <c r="Q119" s="146">
        <v>8815157</v>
      </c>
      <c r="R119" s="146">
        <v>4105009</v>
      </c>
      <c r="S119" s="146">
        <v>1912914</v>
      </c>
      <c r="T119" s="139">
        <f t="shared" si="8"/>
        <v>0.46567622108148499</v>
      </c>
      <c r="U119" s="139">
        <f t="shared" si="9"/>
        <v>0.21700282819693398</v>
      </c>
      <c r="V119" s="137">
        <f t="shared" si="213"/>
        <v>27273</v>
      </c>
      <c r="W119" s="137">
        <f t="shared" si="218"/>
        <v>1684</v>
      </c>
      <c r="X119" s="148" t="s">
        <v>406</v>
      </c>
      <c r="Y119" s="137">
        <f t="shared" ref="Y119:Z119" si="273">R119-H119</f>
        <v>3505132</v>
      </c>
      <c r="Z119" s="137">
        <f t="shared" si="273"/>
        <v>1377641</v>
      </c>
      <c r="AA119" s="139">
        <f t="shared" si="220"/>
        <v>0.44348920369039974</v>
      </c>
      <c r="AB119" s="139">
        <f t="shared" si="221"/>
        <v>0.17430696192361544</v>
      </c>
      <c r="AC119" s="146">
        <v>1468764</v>
      </c>
      <c r="AD119" s="147">
        <v>1546838</v>
      </c>
      <c r="AE119" s="147">
        <v>1412247</v>
      </c>
      <c r="AF119" s="146" t="s">
        <v>378</v>
      </c>
      <c r="AG119" s="146" t="s">
        <v>379</v>
      </c>
      <c r="AH119" s="147">
        <v>21553118</v>
      </c>
      <c r="AI119" s="147">
        <v>4599221</v>
      </c>
      <c r="AJ119" s="147">
        <v>2689233</v>
      </c>
      <c r="AK119" s="146" t="s">
        <v>380</v>
      </c>
      <c r="AL119" s="146" t="s">
        <v>182</v>
      </c>
      <c r="AM119" s="146">
        <v>17327169</v>
      </c>
      <c r="AN119" s="147">
        <v>20915791</v>
      </c>
      <c r="AO119" s="147">
        <v>8961524</v>
      </c>
      <c r="AP119" s="146" t="s">
        <v>381</v>
      </c>
      <c r="AQ119" s="146" t="s">
        <v>382</v>
      </c>
      <c r="AR119" s="146">
        <v>181554465</v>
      </c>
      <c r="AS119" s="140">
        <f t="shared" ref="AS119:AT119" si="274">AD119+AI119+AN119</f>
        <v>27061850</v>
      </c>
      <c r="AT119" s="144">
        <f t="shared" si="274"/>
        <v>13063004</v>
      </c>
      <c r="AU119" s="146" t="s">
        <v>225</v>
      </c>
      <c r="AV119" s="146" t="s">
        <v>141</v>
      </c>
      <c r="AW119" s="141">
        <f t="shared" ref="AW119:AX119" si="275">AS119-AS118</f>
        <v>736850</v>
      </c>
      <c r="AX119" s="142">
        <f t="shared" si="275"/>
        <v>42870</v>
      </c>
      <c r="AY119" s="143">
        <f t="shared" ref="AY119:BA119" si="276">AR119-AH119</f>
        <v>160001347</v>
      </c>
      <c r="AZ119" s="143">
        <f t="shared" si="276"/>
        <v>22462629</v>
      </c>
      <c r="BA119" s="143">
        <f t="shared" si="276"/>
        <v>10373771</v>
      </c>
      <c r="BB119" s="139">
        <f t="shared" si="225"/>
        <v>0.14039024933958838</v>
      </c>
      <c r="BC119" s="139">
        <f t="shared" si="226"/>
        <v>6.4835522915941454E-2</v>
      </c>
      <c r="BD119" s="139">
        <f t="shared" ref="BD119:BE119" si="277">V119/AW119</f>
        <v>3.7012960575422409E-2</v>
      </c>
      <c r="BE119" s="139">
        <f t="shared" si="277"/>
        <v>3.928154886867273E-2</v>
      </c>
      <c r="BF119" s="148" t="s">
        <v>407</v>
      </c>
      <c r="BG119" s="148" t="s">
        <v>408</v>
      </c>
      <c r="BH119" s="148" t="s">
        <v>340</v>
      </c>
      <c r="BI119" s="148" t="s">
        <v>340</v>
      </c>
    </row>
    <row r="120" spans="1:61" x14ac:dyDescent="0.25">
      <c r="A120" s="149"/>
      <c r="B120" s="149"/>
      <c r="C120" s="149"/>
      <c r="D120" s="149"/>
      <c r="E120" s="150"/>
      <c r="F120" s="150"/>
      <c r="G120" s="149"/>
      <c r="H120" s="149"/>
      <c r="I120" s="149"/>
      <c r="J120" s="150"/>
      <c r="K120" s="150"/>
      <c r="L120" s="149"/>
      <c r="M120" s="149"/>
      <c r="N120" s="149"/>
      <c r="O120" s="150"/>
      <c r="P120" s="150"/>
      <c r="Q120" s="149"/>
      <c r="R120" s="149"/>
      <c r="S120" s="149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49"/>
      <c r="AD120" s="149"/>
      <c r="AE120" s="149"/>
      <c r="AF120" s="150"/>
      <c r="AG120" s="150"/>
      <c r="AH120" s="149"/>
      <c r="AI120" s="149"/>
      <c r="AJ120" s="149"/>
      <c r="AK120" s="150"/>
      <c r="AL120" s="150"/>
      <c r="AM120" s="149"/>
      <c r="AN120" s="149"/>
      <c r="AO120" s="149"/>
      <c r="AP120" s="150"/>
      <c r="AQ120" s="150"/>
      <c r="AR120" s="150"/>
      <c r="AS120" s="150"/>
      <c r="AT120" s="150"/>
      <c r="AU120" s="150"/>
      <c r="AV120" s="150"/>
      <c r="AW120" s="150"/>
      <c r="AX120" s="150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</row>
    <row r="121" spans="1:61" x14ac:dyDescent="0.25">
      <c r="A121" s="149"/>
      <c r="B121" s="149"/>
      <c r="C121" s="149"/>
      <c r="D121" s="149"/>
      <c r="E121" s="150"/>
      <c r="F121" s="150"/>
      <c r="G121" s="149"/>
      <c r="H121" s="149"/>
      <c r="I121" s="149"/>
      <c r="J121" s="150"/>
      <c r="K121" s="150"/>
      <c r="L121" s="149"/>
      <c r="M121" s="149"/>
      <c r="N121" s="149"/>
      <c r="O121" s="150"/>
      <c r="P121" s="150"/>
      <c r="Q121" s="149"/>
      <c r="R121" s="149"/>
      <c r="S121" s="149"/>
      <c r="T121" s="150"/>
      <c r="U121" s="150"/>
      <c r="V121" s="150"/>
      <c r="W121" s="150"/>
      <c r="X121" s="150"/>
      <c r="Y121" s="150"/>
      <c r="Z121" s="150"/>
      <c r="AA121" s="150"/>
      <c r="AB121" s="150"/>
      <c r="AC121" s="149"/>
      <c r="AD121" s="149"/>
      <c r="AE121" s="149"/>
      <c r="AF121" s="150"/>
      <c r="AG121" s="150"/>
      <c r="AH121" s="149"/>
      <c r="AI121" s="149"/>
      <c r="AJ121" s="149"/>
      <c r="AK121" s="150"/>
      <c r="AL121" s="150"/>
      <c r="AM121" s="149"/>
      <c r="AN121" s="149"/>
      <c r="AO121" s="149"/>
      <c r="AP121" s="150"/>
      <c r="AQ121" s="150"/>
      <c r="AR121" s="150"/>
      <c r="AS121" s="150"/>
      <c r="AT121" s="150"/>
      <c r="AU121" s="150"/>
      <c r="AV121" s="150"/>
      <c r="AW121" s="150"/>
      <c r="AX121" s="150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</row>
    <row r="122" spans="1:61" x14ac:dyDescent="0.25">
      <c r="A122" s="149"/>
      <c r="B122" s="149"/>
      <c r="C122" s="149"/>
      <c r="D122" s="149"/>
      <c r="E122" s="150"/>
      <c r="F122" s="150"/>
      <c r="G122" s="149"/>
      <c r="H122" s="149"/>
      <c r="I122" s="149"/>
      <c r="J122" s="150"/>
      <c r="K122" s="150"/>
      <c r="L122" s="149"/>
      <c r="M122" s="149"/>
      <c r="N122" s="149"/>
      <c r="O122" s="150"/>
      <c r="P122" s="150"/>
      <c r="Q122" s="149"/>
      <c r="R122" s="149"/>
      <c r="S122" s="149"/>
      <c r="T122" s="150"/>
      <c r="U122" s="150"/>
      <c r="V122" s="150"/>
      <c r="W122" s="150"/>
      <c r="X122" s="150"/>
      <c r="Y122" s="150"/>
      <c r="Z122" s="150"/>
      <c r="AA122" s="150"/>
      <c r="AB122" s="150"/>
      <c r="AC122" s="149"/>
      <c r="AD122" s="149"/>
      <c r="AE122" s="149"/>
      <c r="AF122" s="150"/>
      <c r="AG122" s="150"/>
      <c r="AH122" s="149"/>
      <c r="AI122" s="149"/>
      <c r="AJ122" s="149"/>
      <c r="AK122" s="150"/>
      <c r="AL122" s="150"/>
      <c r="AM122" s="149"/>
      <c r="AN122" s="149"/>
      <c r="AO122" s="149"/>
      <c r="AP122" s="150"/>
      <c r="AQ122" s="150"/>
      <c r="AR122" s="150"/>
      <c r="AS122" s="150"/>
      <c r="AT122" s="150"/>
      <c r="AU122" s="150"/>
      <c r="AV122" s="150"/>
      <c r="AW122" s="150"/>
      <c r="AX122" s="150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</row>
    <row r="123" spans="1:61" x14ac:dyDescent="0.25">
      <c r="A123" s="149"/>
      <c r="B123" s="149"/>
      <c r="C123" s="149"/>
      <c r="D123" s="149"/>
      <c r="E123" s="150"/>
      <c r="F123" s="150"/>
      <c r="G123" s="149"/>
      <c r="H123" s="149"/>
      <c r="I123" s="149"/>
      <c r="J123" s="150"/>
      <c r="K123" s="150"/>
      <c r="L123" s="149"/>
      <c r="M123" s="149"/>
      <c r="N123" s="149"/>
      <c r="O123" s="150"/>
      <c r="P123" s="150"/>
      <c r="Q123" s="149"/>
      <c r="R123" s="149"/>
      <c r="S123" s="149"/>
      <c r="T123" s="150"/>
      <c r="U123" s="150"/>
      <c r="V123" s="150"/>
      <c r="W123" s="150"/>
      <c r="X123" s="150"/>
      <c r="Y123" s="150"/>
      <c r="Z123" s="150"/>
      <c r="AA123" s="150"/>
      <c r="AB123" s="150"/>
      <c r="AC123" s="149"/>
      <c r="AD123" s="149"/>
      <c r="AE123" s="149"/>
      <c r="AF123" s="150"/>
      <c r="AG123" s="150"/>
      <c r="AH123" s="149"/>
      <c r="AI123" s="149"/>
      <c r="AJ123" s="149"/>
      <c r="AK123" s="150"/>
      <c r="AL123" s="150"/>
      <c r="AM123" s="149"/>
      <c r="AN123" s="149"/>
      <c r="AO123" s="149"/>
      <c r="AP123" s="150"/>
      <c r="AQ123" s="150"/>
      <c r="AR123" s="150"/>
      <c r="AS123" s="150"/>
      <c r="AT123" s="150"/>
      <c r="AU123" s="150"/>
      <c r="AV123" s="150"/>
      <c r="AW123" s="150"/>
      <c r="AX123" s="150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</row>
    <row r="124" spans="1:61" x14ac:dyDescent="0.25">
      <c r="A124" s="149"/>
      <c r="B124" s="149"/>
      <c r="C124" s="149"/>
      <c r="D124" s="149"/>
      <c r="E124" s="150"/>
      <c r="F124" s="150"/>
      <c r="G124" s="149"/>
      <c r="H124" s="149"/>
      <c r="I124" s="149"/>
      <c r="J124" s="150"/>
      <c r="K124" s="150"/>
      <c r="L124" s="149"/>
      <c r="M124" s="149"/>
      <c r="N124" s="149"/>
      <c r="O124" s="150"/>
      <c r="P124" s="150"/>
      <c r="Q124" s="149"/>
      <c r="R124" s="149"/>
      <c r="S124" s="149"/>
      <c r="T124" s="150"/>
      <c r="U124" s="150"/>
      <c r="V124" s="150"/>
      <c r="W124" s="150"/>
      <c r="X124" s="150"/>
      <c r="Y124" s="150"/>
      <c r="Z124" s="150"/>
      <c r="AA124" s="150"/>
      <c r="AB124" s="150"/>
      <c r="AC124" s="149"/>
      <c r="AD124" s="149"/>
      <c r="AE124" s="149"/>
      <c r="AF124" s="150"/>
      <c r="AG124" s="150"/>
      <c r="AH124" s="149"/>
      <c r="AI124" s="149"/>
      <c r="AJ124" s="149"/>
      <c r="AK124" s="150"/>
      <c r="AL124" s="150"/>
      <c r="AM124" s="149"/>
      <c r="AN124" s="149"/>
      <c r="AO124" s="149"/>
      <c r="AP124" s="150"/>
      <c r="AQ124" s="150"/>
      <c r="AR124" s="150"/>
      <c r="AS124" s="150"/>
      <c r="AT124" s="150"/>
      <c r="AU124" s="150"/>
      <c r="AV124" s="150"/>
      <c r="AW124" s="150"/>
      <c r="AX124" s="150"/>
      <c r="AY124" s="151"/>
      <c r="AZ124" s="151"/>
      <c r="BA124" s="151"/>
      <c r="BB124" s="151"/>
      <c r="BC124" s="151"/>
      <c r="BD124" s="151"/>
      <c r="BE124" s="151"/>
      <c r="BF124" s="151"/>
      <c r="BG124" s="151"/>
      <c r="BH124" s="151"/>
      <c r="BI124" s="151"/>
    </row>
    <row r="125" spans="1:61" x14ac:dyDescent="0.25">
      <c r="A125" s="149"/>
      <c r="B125" s="149"/>
      <c r="C125" s="149"/>
      <c r="D125" s="149"/>
      <c r="E125" s="150"/>
      <c r="F125" s="150"/>
      <c r="G125" s="149"/>
      <c r="H125" s="149"/>
      <c r="I125" s="149"/>
      <c r="J125" s="150"/>
      <c r="K125" s="150"/>
      <c r="L125" s="149"/>
      <c r="M125" s="149"/>
      <c r="N125" s="149"/>
      <c r="O125" s="150"/>
      <c r="P125" s="150"/>
      <c r="Q125" s="149"/>
      <c r="R125" s="149"/>
      <c r="S125" s="149"/>
      <c r="T125" s="150"/>
      <c r="U125" s="150"/>
      <c r="V125" s="150"/>
      <c r="W125" s="150"/>
      <c r="X125" s="150"/>
      <c r="Y125" s="150"/>
      <c r="Z125" s="150"/>
      <c r="AA125" s="150"/>
      <c r="AB125" s="150"/>
      <c r="AC125" s="149"/>
      <c r="AD125" s="149"/>
      <c r="AE125" s="149"/>
      <c r="AF125" s="150"/>
      <c r="AG125" s="150"/>
      <c r="AH125" s="149"/>
      <c r="AI125" s="149"/>
      <c r="AJ125" s="149"/>
      <c r="AK125" s="150"/>
      <c r="AL125" s="150"/>
      <c r="AM125" s="149"/>
      <c r="AN125" s="149"/>
      <c r="AO125" s="149"/>
      <c r="AP125" s="150"/>
      <c r="AQ125" s="150"/>
      <c r="AR125" s="150"/>
      <c r="AS125" s="150"/>
      <c r="AT125" s="150"/>
      <c r="AU125" s="150"/>
      <c r="AV125" s="150"/>
      <c r="AW125" s="150"/>
      <c r="AX125" s="150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</row>
    <row r="126" spans="1:61" x14ac:dyDescent="0.25">
      <c r="A126" s="149"/>
      <c r="B126" s="149"/>
      <c r="C126" s="149"/>
      <c r="D126" s="149"/>
      <c r="E126" s="150"/>
      <c r="F126" s="150"/>
      <c r="G126" s="149"/>
      <c r="H126" s="149"/>
      <c r="I126" s="149"/>
      <c r="J126" s="150"/>
      <c r="K126" s="150"/>
      <c r="L126" s="149"/>
      <c r="M126" s="149"/>
      <c r="N126" s="149"/>
      <c r="O126" s="150"/>
      <c r="P126" s="150"/>
      <c r="Q126" s="149"/>
      <c r="R126" s="149"/>
      <c r="S126" s="149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49"/>
      <c r="AD126" s="149"/>
      <c r="AE126" s="149"/>
      <c r="AF126" s="150"/>
      <c r="AG126" s="150"/>
      <c r="AH126" s="149"/>
      <c r="AI126" s="149"/>
      <c r="AJ126" s="149"/>
      <c r="AK126" s="150"/>
      <c r="AL126" s="150"/>
      <c r="AM126" s="149"/>
      <c r="AN126" s="149"/>
      <c r="AO126" s="149"/>
      <c r="AP126" s="150"/>
      <c r="AQ126" s="150"/>
      <c r="AR126" s="150"/>
      <c r="AS126" s="150"/>
      <c r="AT126" s="150"/>
      <c r="AU126" s="150"/>
      <c r="AV126" s="150"/>
      <c r="AW126" s="150"/>
      <c r="AX126" s="150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</row>
    <row r="127" spans="1:61" x14ac:dyDescent="0.25">
      <c r="A127" s="149"/>
      <c r="B127" s="149"/>
      <c r="C127" s="149"/>
      <c r="D127" s="149"/>
      <c r="E127" s="150"/>
      <c r="F127" s="150"/>
      <c r="G127" s="149"/>
      <c r="H127" s="149"/>
      <c r="I127" s="149"/>
      <c r="J127" s="150"/>
      <c r="K127" s="150"/>
      <c r="L127" s="149"/>
      <c r="M127" s="149"/>
      <c r="N127" s="149"/>
      <c r="O127" s="150"/>
      <c r="P127" s="150"/>
      <c r="Q127" s="149"/>
      <c r="R127" s="149"/>
      <c r="S127" s="149"/>
      <c r="T127" s="150"/>
      <c r="U127" s="150"/>
      <c r="V127" s="150"/>
      <c r="W127" s="150"/>
      <c r="X127" s="150"/>
      <c r="Y127" s="150"/>
      <c r="Z127" s="150"/>
      <c r="AA127" s="150"/>
      <c r="AB127" s="150"/>
      <c r="AC127" s="149"/>
      <c r="AD127" s="149"/>
      <c r="AE127" s="149"/>
      <c r="AF127" s="150"/>
      <c r="AG127" s="150"/>
      <c r="AH127" s="149"/>
      <c r="AI127" s="149"/>
      <c r="AJ127" s="149"/>
      <c r="AK127" s="150"/>
      <c r="AL127" s="150"/>
      <c r="AM127" s="149"/>
      <c r="AN127" s="149"/>
      <c r="AO127" s="149"/>
      <c r="AP127" s="150"/>
      <c r="AQ127" s="150"/>
      <c r="AR127" s="150"/>
      <c r="AS127" s="150"/>
      <c r="AT127" s="150"/>
      <c r="AU127" s="150"/>
      <c r="AV127" s="150"/>
      <c r="AW127" s="150"/>
      <c r="AX127" s="150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</row>
    <row r="128" spans="1:61" x14ac:dyDescent="0.25">
      <c r="A128" s="149"/>
      <c r="B128" s="149"/>
      <c r="C128" s="149"/>
      <c r="D128" s="149"/>
      <c r="E128" s="150"/>
      <c r="F128" s="150"/>
      <c r="G128" s="149"/>
      <c r="H128" s="149"/>
      <c r="I128" s="149"/>
      <c r="J128" s="150"/>
      <c r="K128" s="150"/>
      <c r="L128" s="149"/>
      <c r="M128" s="149"/>
      <c r="N128" s="149"/>
      <c r="O128" s="150"/>
      <c r="P128" s="150"/>
      <c r="Q128" s="149"/>
      <c r="R128" s="149"/>
      <c r="S128" s="149"/>
      <c r="T128" s="150"/>
      <c r="U128" s="150"/>
      <c r="V128" s="150"/>
      <c r="W128" s="150"/>
      <c r="X128" s="150"/>
      <c r="Y128" s="150"/>
      <c r="Z128" s="150"/>
      <c r="AA128" s="150"/>
      <c r="AB128" s="150"/>
      <c r="AC128" s="149"/>
      <c r="AD128" s="149"/>
      <c r="AE128" s="149"/>
      <c r="AF128" s="150"/>
      <c r="AG128" s="150"/>
      <c r="AH128" s="149"/>
      <c r="AI128" s="149"/>
      <c r="AJ128" s="149"/>
      <c r="AK128" s="150"/>
      <c r="AL128" s="150"/>
      <c r="AM128" s="149"/>
      <c r="AN128" s="149"/>
      <c r="AO128" s="149"/>
      <c r="AP128" s="150"/>
      <c r="AQ128" s="150"/>
      <c r="AR128" s="150"/>
      <c r="AS128" s="150"/>
      <c r="AT128" s="150"/>
      <c r="AU128" s="150"/>
      <c r="AV128" s="150"/>
      <c r="AW128" s="150"/>
      <c r="AX128" s="150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</row>
    <row r="129" spans="1:61" x14ac:dyDescent="0.25">
      <c r="A129" s="149"/>
      <c r="B129" s="149"/>
      <c r="C129" s="149"/>
      <c r="D129" s="149"/>
      <c r="E129" s="150"/>
      <c r="F129" s="150"/>
      <c r="G129" s="149"/>
      <c r="H129" s="149"/>
      <c r="I129" s="149"/>
      <c r="J129" s="150"/>
      <c r="K129" s="150"/>
      <c r="L129" s="149"/>
      <c r="M129" s="149"/>
      <c r="N129" s="149"/>
      <c r="O129" s="150"/>
      <c r="P129" s="150"/>
      <c r="Q129" s="149"/>
      <c r="R129" s="149"/>
      <c r="S129" s="149"/>
      <c r="T129" s="150"/>
      <c r="U129" s="150"/>
      <c r="V129" s="150"/>
      <c r="W129" s="150"/>
      <c r="X129" s="150"/>
      <c r="Y129" s="150"/>
      <c r="Z129" s="150"/>
      <c r="AA129" s="150"/>
      <c r="AB129" s="150"/>
      <c r="AC129" s="149"/>
      <c r="AD129" s="149"/>
      <c r="AE129" s="149"/>
      <c r="AF129" s="150"/>
      <c r="AG129" s="150"/>
      <c r="AH129" s="149"/>
      <c r="AI129" s="149"/>
      <c r="AJ129" s="149"/>
      <c r="AK129" s="150"/>
      <c r="AL129" s="150"/>
      <c r="AM129" s="149"/>
      <c r="AN129" s="149"/>
      <c r="AO129" s="149"/>
      <c r="AP129" s="150"/>
      <c r="AQ129" s="150"/>
      <c r="AR129" s="150"/>
      <c r="AS129" s="150"/>
      <c r="AT129" s="150"/>
      <c r="AU129" s="150"/>
      <c r="AV129" s="150"/>
      <c r="AW129" s="150"/>
      <c r="AX129" s="150"/>
      <c r="AY129" s="151"/>
      <c r="AZ129" s="151"/>
      <c r="BA129" s="151"/>
      <c r="BB129" s="151"/>
      <c r="BC129" s="151"/>
      <c r="BD129" s="151"/>
      <c r="BE129" s="151"/>
      <c r="BF129" s="151"/>
      <c r="BG129" s="151"/>
      <c r="BH129" s="151"/>
      <c r="BI129" s="151"/>
    </row>
    <row r="130" spans="1:61" x14ac:dyDescent="0.25">
      <c r="A130" s="149"/>
      <c r="B130" s="149"/>
      <c r="C130" s="149"/>
      <c r="D130" s="149"/>
      <c r="E130" s="150"/>
      <c r="F130" s="150"/>
      <c r="G130" s="149"/>
      <c r="H130" s="149"/>
      <c r="I130" s="149"/>
      <c r="J130" s="150"/>
      <c r="K130" s="150"/>
      <c r="L130" s="149"/>
      <c r="M130" s="149"/>
      <c r="N130" s="149"/>
      <c r="O130" s="150"/>
      <c r="P130" s="150"/>
      <c r="Q130" s="149"/>
      <c r="R130" s="149"/>
      <c r="S130" s="149"/>
      <c r="T130" s="150"/>
      <c r="U130" s="150"/>
      <c r="V130" s="150"/>
      <c r="W130" s="150"/>
      <c r="X130" s="150"/>
      <c r="Y130" s="150"/>
      <c r="Z130" s="150"/>
      <c r="AA130" s="150"/>
      <c r="AB130" s="150"/>
      <c r="AC130" s="149"/>
      <c r="AD130" s="149"/>
      <c r="AE130" s="149"/>
      <c r="AF130" s="150"/>
      <c r="AG130" s="150"/>
      <c r="AH130" s="149"/>
      <c r="AI130" s="149"/>
      <c r="AJ130" s="149"/>
      <c r="AK130" s="150"/>
      <c r="AL130" s="150"/>
      <c r="AM130" s="149"/>
      <c r="AN130" s="149"/>
      <c r="AO130" s="149"/>
      <c r="AP130" s="150"/>
      <c r="AQ130" s="150"/>
      <c r="AR130" s="150"/>
      <c r="AS130" s="150"/>
      <c r="AT130" s="150"/>
      <c r="AU130" s="150"/>
      <c r="AV130" s="150"/>
      <c r="AW130" s="150"/>
      <c r="AX130" s="150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</row>
    <row r="131" spans="1:61" x14ac:dyDescent="0.25">
      <c r="A131" s="149"/>
      <c r="B131" s="149"/>
      <c r="C131" s="149"/>
      <c r="D131" s="149"/>
      <c r="E131" s="150"/>
      <c r="F131" s="150"/>
      <c r="G131" s="149"/>
      <c r="H131" s="149"/>
      <c r="I131" s="149"/>
      <c r="J131" s="150"/>
      <c r="K131" s="150"/>
      <c r="L131" s="149"/>
      <c r="M131" s="149"/>
      <c r="N131" s="149"/>
      <c r="O131" s="150"/>
      <c r="P131" s="150"/>
      <c r="Q131" s="149"/>
      <c r="R131" s="149"/>
      <c r="S131" s="149"/>
      <c r="T131" s="150"/>
      <c r="U131" s="150"/>
      <c r="V131" s="150"/>
      <c r="W131" s="150"/>
      <c r="X131" s="150"/>
      <c r="Y131" s="150"/>
      <c r="Z131" s="150"/>
      <c r="AA131" s="150"/>
      <c r="AB131" s="150"/>
      <c r="AC131" s="149"/>
      <c r="AD131" s="149"/>
      <c r="AE131" s="149"/>
      <c r="AF131" s="150"/>
      <c r="AG131" s="150"/>
      <c r="AH131" s="149"/>
      <c r="AI131" s="149"/>
      <c r="AJ131" s="149"/>
      <c r="AK131" s="150"/>
      <c r="AL131" s="150"/>
      <c r="AM131" s="149"/>
      <c r="AN131" s="149"/>
      <c r="AO131" s="149"/>
      <c r="AP131" s="150"/>
      <c r="AQ131" s="150"/>
      <c r="AR131" s="150"/>
      <c r="AS131" s="150"/>
      <c r="AT131" s="150"/>
      <c r="AU131" s="150"/>
      <c r="AV131" s="150"/>
      <c r="AW131" s="150"/>
      <c r="AX131" s="150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</row>
    <row r="132" spans="1:61" x14ac:dyDescent="0.25">
      <c r="A132" s="149"/>
      <c r="B132" s="149"/>
      <c r="C132" s="149"/>
      <c r="D132" s="149"/>
      <c r="E132" s="150"/>
      <c r="F132" s="150"/>
      <c r="G132" s="149"/>
      <c r="H132" s="149"/>
      <c r="I132" s="149"/>
      <c r="J132" s="150"/>
      <c r="K132" s="150"/>
      <c r="L132" s="149"/>
      <c r="M132" s="149"/>
      <c r="N132" s="149"/>
      <c r="O132" s="150"/>
      <c r="P132" s="150"/>
      <c r="Q132" s="149"/>
      <c r="R132" s="149"/>
      <c r="S132" s="149"/>
      <c r="T132" s="150"/>
      <c r="U132" s="150"/>
      <c r="V132" s="150"/>
      <c r="W132" s="150"/>
      <c r="X132" s="150"/>
      <c r="Y132" s="150"/>
      <c r="Z132" s="150"/>
      <c r="AA132" s="150"/>
      <c r="AB132" s="150"/>
      <c r="AC132" s="149"/>
      <c r="AD132" s="149"/>
      <c r="AE132" s="149"/>
      <c r="AF132" s="150"/>
      <c r="AG132" s="150"/>
      <c r="AH132" s="149"/>
      <c r="AI132" s="149"/>
      <c r="AJ132" s="149"/>
      <c r="AK132" s="150"/>
      <c r="AL132" s="150"/>
      <c r="AM132" s="149"/>
      <c r="AN132" s="149"/>
      <c r="AO132" s="149"/>
      <c r="AP132" s="150"/>
      <c r="AQ132" s="150"/>
      <c r="AR132" s="150"/>
      <c r="AS132" s="150"/>
      <c r="AT132" s="150"/>
      <c r="AU132" s="150"/>
      <c r="AV132" s="150"/>
      <c r="AW132" s="150"/>
      <c r="AX132" s="150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</row>
    <row r="133" spans="1:61" x14ac:dyDescent="0.25">
      <c r="A133" s="149"/>
      <c r="B133" s="149"/>
      <c r="C133" s="149"/>
      <c r="D133" s="149"/>
      <c r="E133" s="150"/>
      <c r="F133" s="150"/>
      <c r="G133" s="149"/>
      <c r="H133" s="149"/>
      <c r="I133" s="149"/>
      <c r="J133" s="150"/>
      <c r="K133" s="150"/>
      <c r="L133" s="149"/>
      <c r="M133" s="149"/>
      <c r="N133" s="149"/>
      <c r="O133" s="150"/>
      <c r="P133" s="150"/>
      <c r="Q133" s="149"/>
      <c r="R133" s="149"/>
      <c r="S133" s="149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49"/>
      <c r="AD133" s="149"/>
      <c r="AE133" s="149"/>
      <c r="AF133" s="150"/>
      <c r="AG133" s="150"/>
      <c r="AH133" s="149"/>
      <c r="AI133" s="149"/>
      <c r="AJ133" s="149"/>
      <c r="AK133" s="150"/>
      <c r="AL133" s="150"/>
      <c r="AM133" s="149"/>
      <c r="AN133" s="149"/>
      <c r="AO133" s="149"/>
      <c r="AP133" s="150"/>
      <c r="AQ133" s="150"/>
      <c r="AR133" s="150"/>
      <c r="AS133" s="150"/>
      <c r="AT133" s="150"/>
      <c r="AU133" s="150"/>
      <c r="AV133" s="150"/>
      <c r="AW133" s="150"/>
      <c r="AX133" s="150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</row>
    <row r="134" spans="1:61" x14ac:dyDescent="0.25">
      <c r="A134" s="149"/>
      <c r="B134" s="149"/>
      <c r="C134" s="149"/>
      <c r="D134" s="149"/>
      <c r="E134" s="150"/>
      <c r="F134" s="150"/>
      <c r="G134" s="149"/>
      <c r="H134" s="149"/>
      <c r="I134" s="149"/>
      <c r="J134" s="150"/>
      <c r="K134" s="150"/>
      <c r="L134" s="149"/>
      <c r="M134" s="149"/>
      <c r="N134" s="149"/>
      <c r="O134" s="150"/>
      <c r="P134" s="150"/>
      <c r="Q134" s="149"/>
      <c r="R134" s="149"/>
      <c r="S134" s="149"/>
      <c r="T134" s="150"/>
      <c r="U134" s="150"/>
      <c r="V134" s="150"/>
      <c r="W134" s="150"/>
      <c r="X134" s="150"/>
      <c r="Y134" s="150"/>
      <c r="Z134" s="150"/>
      <c r="AA134" s="150"/>
      <c r="AB134" s="150"/>
      <c r="AC134" s="149"/>
      <c r="AD134" s="149"/>
      <c r="AE134" s="149"/>
      <c r="AF134" s="150"/>
      <c r="AG134" s="150"/>
      <c r="AH134" s="149"/>
      <c r="AI134" s="149"/>
      <c r="AJ134" s="149"/>
      <c r="AK134" s="150"/>
      <c r="AL134" s="150"/>
      <c r="AM134" s="149"/>
      <c r="AN134" s="149"/>
      <c r="AO134" s="149"/>
      <c r="AP134" s="150"/>
      <c r="AQ134" s="150"/>
      <c r="AR134" s="150"/>
      <c r="AS134" s="150"/>
      <c r="AT134" s="150"/>
      <c r="AU134" s="150"/>
      <c r="AV134" s="150"/>
      <c r="AW134" s="150"/>
      <c r="AX134" s="150"/>
      <c r="AY134" s="151"/>
      <c r="AZ134" s="151"/>
      <c r="BA134" s="151"/>
      <c r="BB134" s="151"/>
      <c r="BC134" s="151"/>
      <c r="BD134" s="151"/>
      <c r="BE134" s="151"/>
      <c r="BF134" s="151"/>
      <c r="BG134" s="151"/>
      <c r="BH134" s="151"/>
      <c r="BI134" s="151"/>
    </row>
    <row r="135" spans="1:61" x14ac:dyDescent="0.25">
      <c r="A135" s="149"/>
      <c r="B135" s="149"/>
      <c r="C135" s="149"/>
      <c r="D135" s="149"/>
      <c r="E135" s="150"/>
      <c r="F135" s="150"/>
      <c r="G135" s="149"/>
      <c r="H135" s="149"/>
      <c r="I135" s="149"/>
      <c r="J135" s="150"/>
      <c r="K135" s="150"/>
      <c r="L135" s="149"/>
      <c r="M135" s="149"/>
      <c r="N135" s="149"/>
      <c r="O135" s="150"/>
      <c r="P135" s="150"/>
      <c r="Q135" s="149"/>
      <c r="R135" s="149"/>
      <c r="S135" s="149"/>
      <c r="T135" s="150"/>
      <c r="U135" s="150"/>
      <c r="V135" s="150"/>
      <c r="W135" s="150"/>
      <c r="X135" s="150"/>
      <c r="Y135" s="150"/>
      <c r="Z135" s="150"/>
      <c r="AA135" s="150"/>
      <c r="AB135" s="150"/>
      <c r="AC135" s="149"/>
      <c r="AD135" s="149"/>
      <c r="AE135" s="149"/>
      <c r="AF135" s="150"/>
      <c r="AG135" s="150"/>
      <c r="AH135" s="149"/>
      <c r="AI135" s="149"/>
      <c r="AJ135" s="149"/>
      <c r="AK135" s="150"/>
      <c r="AL135" s="150"/>
      <c r="AM135" s="149"/>
      <c r="AN135" s="149"/>
      <c r="AO135" s="149"/>
      <c r="AP135" s="150"/>
      <c r="AQ135" s="150"/>
      <c r="AR135" s="150"/>
      <c r="AS135" s="150"/>
      <c r="AT135" s="150"/>
      <c r="AU135" s="150"/>
      <c r="AV135" s="150"/>
      <c r="AW135" s="150"/>
      <c r="AX135" s="150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</row>
    <row r="136" spans="1:61" x14ac:dyDescent="0.25">
      <c r="A136" s="149"/>
      <c r="B136" s="149"/>
      <c r="C136" s="149"/>
      <c r="D136" s="149"/>
      <c r="E136" s="150"/>
      <c r="F136" s="150"/>
      <c r="G136" s="149"/>
      <c r="H136" s="149"/>
      <c r="I136" s="149"/>
      <c r="J136" s="150"/>
      <c r="K136" s="150"/>
      <c r="L136" s="149"/>
      <c r="M136" s="149"/>
      <c r="N136" s="149"/>
      <c r="O136" s="150"/>
      <c r="P136" s="150"/>
      <c r="Q136" s="149"/>
      <c r="R136" s="149"/>
      <c r="S136" s="149"/>
      <c r="T136" s="150"/>
      <c r="U136" s="150"/>
      <c r="V136" s="150"/>
      <c r="W136" s="150"/>
      <c r="X136" s="150"/>
      <c r="Y136" s="150"/>
      <c r="Z136" s="150"/>
      <c r="AA136" s="150"/>
      <c r="AB136" s="150"/>
      <c r="AC136" s="149"/>
      <c r="AD136" s="149"/>
      <c r="AE136" s="149"/>
      <c r="AF136" s="150"/>
      <c r="AG136" s="150"/>
      <c r="AH136" s="149"/>
      <c r="AI136" s="149"/>
      <c r="AJ136" s="149"/>
      <c r="AK136" s="150"/>
      <c r="AL136" s="150"/>
      <c r="AM136" s="149"/>
      <c r="AN136" s="149"/>
      <c r="AO136" s="149"/>
      <c r="AP136" s="150"/>
      <c r="AQ136" s="150"/>
      <c r="AR136" s="150"/>
      <c r="AS136" s="150"/>
      <c r="AT136" s="150"/>
      <c r="AU136" s="150"/>
      <c r="AV136" s="150"/>
      <c r="AW136" s="150"/>
      <c r="AX136" s="150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</row>
    <row r="137" spans="1:61" x14ac:dyDescent="0.25">
      <c r="A137" s="149"/>
      <c r="B137" s="149"/>
      <c r="C137" s="149"/>
      <c r="D137" s="149"/>
      <c r="E137" s="150"/>
      <c r="F137" s="150"/>
      <c r="G137" s="149"/>
      <c r="H137" s="149"/>
      <c r="I137" s="149"/>
      <c r="J137" s="150"/>
      <c r="K137" s="150"/>
      <c r="L137" s="149"/>
      <c r="M137" s="149"/>
      <c r="N137" s="149"/>
      <c r="O137" s="150"/>
      <c r="P137" s="150"/>
      <c r="Q137" s="149"/>
      <c r="R137" s="149"/>
      <c r="S137" s="149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49"/>
      <c r="AD137" s="149"/>
      <c r="AE137" s="149"/>
      <c r="AF137" s="150"/>
      <c r="AG137" s="150"/>
      <c r="AH137" s="149"/>
      <c r="AI137" s="149"/>
      <c r="AJ137" s="149"/>
      <c r="AK137" s="150"/>
      <c r="AL137" s="150"/>
      <c r="AM137" s="149"/>
      <c r="AN137" s="149"/>
      <c r="AO137" s="149"/>
      <c r="AP137" s="150"/>
      <c r="AQ137" s="150"/>
      <c r="AR137" s="150"/>
      <c r="AS137" s="150"/>
      <c r="AT137" s="150"/>
      <c r="AU137" s="150"/>
      <c r="AV137" s="150"/>
      <c r="AW137" s="150"/>
      <c r="AX137" s="150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</row>
    <row r="138" spans="1:61" x14ac:dyDescent="0.25">
      <c r="A138" s="149"/>
      <c r="B138" s="149"/>
      <c r="C138" s="149"/>
      <c r="D138" s="149"/>
      <c r="E138" s="150"/>
      <c r="F138" s="150"/>
      <c r="G138" s="149"/>
      <c r="H138" s="149"/>
      <c r="I138" s="149"/>
      <c r="J138" s="150"/>
      <c r="K138" s="150"/>
      <c r="L138" s="149"/>
      <c r="M138" s="149"/>
      <c r="N138" s="149"/>
      <c r="O138" s="150"/>
      <c r="P138" s="150"/>
      <c r="Q138" s="149"/>
      <c r="R138" s="149"/>
      <c r="S138" s="149"/>
      <c r="T138" s="150"/>
      <c r="U138" s="150"/>
      <c r="V138" s="150"/>
      <c r="W138" s="150"/>
      <c r="X138" s="150"/>
      <c r="Y138" s="150"/>
      <c r="Z138" s="150"/>
      <c r="AA138" s="150"/>
      <c r="AB138" s="150"/>
      <c r="AC138" s="149"/>
      <c r="AD138" s="149"/>
      <c r="AE138" s="149"/>
      <c r="AF138" s="150"/>
      <c r="AG138" s="150"/>
      <c r="AH138" s="149"/>
      <c r="AI138" s="149"/>
      <c r="AJ138" s="149"/>
      <c r="AK138" s="150"/>
      <c r="AL138" s="150"/>
      <c r="AM138" s="149"/>
      <c r="AN138" s="149"/>
      <c r="AO138" s="149"/>
      <c r="AP138" s="150"/>
      <c r="AQ138" s="150"/>
      <c r="AR138" s="150"/>
      <c r="AS138" s="150"/>
      <c r="AT138" s="150"/>
      <c r="AU138" s="150"/>
      <c r="AV138" s="150"/>
      <c r="AW138" s="150"/>
      <c r="AX138" s="150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</row>
    <row r="139" spans="1:61" x14ac:dyDescent="0.25">
      <c r="A139" s="149"/>
      <c r="B139" s="149"/>
      <c r="C139" s="149"/>
      <c r="D139" s="149"/>
      <c r="E139" s="150"/>
      <c r="F139" s="150"/>
      <c r="G139" s="149"/>
      <c r="H139" s="149"/>
      <c r="I139" s="149"/>
      <c r="J139" s="150"/>
      <c r="K139" s="150"/>
      <c r="L139" s="149"/>
      <c r="M139" s="149"/>
      <c r="N139" s="149"/>
      <c r="O139" s="150"/>
      <c r="P139" s="150"/>
      <c r="Q139" s="149"/>
      <c r="R139" s="149"/>
      <c r="S139" s="149"/>
      <c r="T139" s="150"/>
      <c r="U139" s="150"/>
      <c r="V139" s="150"/>
      <c r="W139" s="150"/>
      <c r="X139" s="150"/>
      <c r="Y139" s="150"/>
      <c r="Z139" s="150"/>
      <c r="AA139" s="150"/>
      <c r="AB139" s="150"/>
      <c r="AC139" s="149"/>
      <c r="AD139" s="149"/>
      <c r="AE139" s="149"/>
      <c r="AF139" s="150"/>
      <c r="AG139" s="150"/>
      <c r="AH139" s="149"/>
      <c r="AI139" s="149"/>
      <c r="AJ139" s="149"/>
      <c r="AK139" s="150"/>
      <c r="AL139" s="150"/>
      <c r="AM139" s="149"/>
      <c r="AN139" s="149"/>
      <c r="AO139" s="149"/>
      <c r="AP139" s="150"/>
      <c r="AQ139" s="150"/>
      <c r="AR139" s="150"/>
      <c r="AS139" s="150"/>
      <c r="AT139" s="150"/>
      <c r="AU139" s="150"/>
      <c r="AV139" s="150"/>
      <c r="AW139" s="150"/>
      <c r="AX139" s="150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51"/>
    </row>
    <row r="140" spans="1:61" x14ac:dyDescent="0.25">
      <c r="A140" s="149"/>
      <c r="B140" s="149"/>
      <c r="C140" s="149"/>
      <c r="D140" s="149"/>
      <c r="E140" s="150"/>
      <c r="F140" s="150"/>
      <c r="G140" s="149"/>
      <c r="H140" s="149"/>
      <c r="I140" s="149"/>
      <c r="J140" s="150"/>
      <c r="K140" s="150"/>
      <c r="L140" s="149"/>
      <c r="M140" s="149"/>
      <c r="N140" s="149"/>
      <c r="O140" s="150"/>
      <c r="P140" s="150"/>
      <c r="Q140" s="149"/>
      <c r="R140" s="149"/>
      <c r="S140" s="149"/>
      <c r="T140" s="150"/>
      <c r="U140" s="150"/>
      <c r="V140" s="150"/>
      <c r="W140" s="150"/>
      <c r="X140" s="150"/>
      <c r="Y140" s="150"/>
      <c r="Z140" s="150"/>
      <c r="AA140" s="150"/>
      <c r="AB140" s="150"/>
      <c r="AC140" s="149"/>
      <c r="AD140" s="149"/>
      <c r="AE140" s="149"/>
      <c r="AF140" s="150"/>
      <c r="AG140" s="150"/>
      <c r="AH140" s="149"/>
      <c r="AI140" s="149"/>
      <c r="AJ140" s="149"/>
      <c r="AK140" s="150"/>
      <c r="AL140" s="150"/>
      <c r="AM140" s="149"/>
      <c r="AN140" s="149"/>
      <c r="AO140" s="149"/>
      <c r="AP140" s="150"/>
      <c r="AQ140" s="150"/>
      <c r="AR140" s="150"/>
      <c r="AS140" s="150"/>
      <c r="AT140" s="150"/>
      <c r="AU140" s="150"/>
      <c r="AV140" s="150"/>
      <c r="AW140" s="150"/>
      <c r="AX140" s="150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</row>
    <row r="141" spans="1:61" x14ac:dyDescent="0.25">
      <c r="A141" s="149"/>
      <c r="B141" s="149"/>
      <c r="C141" s="149"/>
      <c r="D141" s="149"/>
      <c r="E141" s="150"/>
      <c r="F141" s="150"/>
      <c r="G141" s="149"/>
      <c r="H141" s="149"/>
      <c r="I141" s="149"/>
      <c r="J141" s="150"/>
      <c r="K141" s="150"/>
      <c r="L141" s="149"/>
      <c r="M141" s="149"/>
      <c r="N141" s="149"/>
      <c r="O141" s="150"/>
      <c r="P141" s="150"/>
      <c r="Q141" s="149"/>
      <c r="R141" s="149"/>
      <c r="S141" s="149"/>
      <c r="T141" s="150"/>
      <c r="U141" s="150"/>
      <c r="V141" s="150"/>
      <c r="W141" s="150"/>
      <c r="X141" s="150"/>
      <c r="Y141" s="150"/>
      <c r="Z141" s="150"/>
      <c r="AA141" s="150"/>
      <c r="AB141" s="150"/>
      <c r="AC141" s="149"/>
      <c r="AD141" s="149"/>
      <c r="AE141" s="149"/>
      <c r="AF141" s="150"/>
      <c r="AG141" s="150"/>
      <c r="AH141" s="149"/>
      <c r="AI141" s="149"/>
      <c r="AJ141" s="149"/>
      <c r="AK141" s="150"/>
      <c r="AL141" s="150"/>
      <c r="AM141" s="149"/>
      <c r="AN141" s="149"/>
      <c r="AO141" s="149"/>
      <c r="AP141" s="150"/>
      <c r="AQ141" s="150"/>
      <c r="AR141" s="150"/>
      <c r="AS141" s="150"/>
      <c r="AT141" s="150"/>
      <c r="AU141" s="150"/>
      <c r="AV141" s="150"/>
      <c r="AW141" s="150"/>
      <c r="AX141" s="150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</row>
    <row r="142" spans="1:61" x14ac:dyDescent="0.25">
      <c r="A142" s="149"/>
      <c r="B142" s="149"/>
      <c r="C142" s="149"/>
      <c r="D142" s="149"/>
      <c r="E142" s="150"/>
      <c r="F142" s="150"/>
      <c r="G142" s="149"/>
      <c r="H142" s="149"/>
      <c r="I142" s="149"/>
      <c r="J142" s="150"/>
      <c r="K142" s="150"/>
      <c r="L142" s="149"/>
      <c r="M142" s="149"/>
      <c r="N142" s="149"/>
      <c r="O142" s="150"/>
      <c r="P142" s="150"/>
      <c r="Q142" s="149"/>
      <c r="R142" s="149"/>
      <c r="S142" s="149"/>
      <c r="T142" s="150"/>
      <c r="U142" s="150"/>
      <c r="V142" s="150"/>
      <c r="W142" s="150"/>
      <c r="X142" s="150"/>
      <c r="Y142" s="150"/>
      <c r="Z142" s="150"/>
      <c r="AA142" s="150"/>
      <c r="AB142" s="150"/>
      <c r="AC142" s="149"/>
      <c r="AD142" s="149"/>
      <c r="AE142" s="149"/>
      <c r="AF142" s="150"/>
      <c r="AG142" s="150"/>
      <c r="AH142" s="149"/>
      <c r="AI142" s="149"/>
      <c r="AJ142" s="149"/>
      <c r="AK142" s="150"/>
      <c r="AL142" s="150"/>
      <c r="AM142" s="149"/>
      <c r="AN142" s="149"/>
      <c r="AO142" s="149"/>
      <c r="AP142" s="150"/>
      <c r="AQ142" s="150"/>
      <c r="AR142" s="150"/>
      <c r="AS142" s="150"/>
      <c r="AT142" s="150"/>
      <c r="AU142" s="150"/>
      <c r="AV142" s="150"/>
      <c r="AW142" s="150"/>
      <c r="AX142" s="150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</row>
    <row r="143" spans="1:61" x14ac:dyDescent="0.25">
      <c r="A143" s="149"/>
      <c r="B143" s="149"/>
      <c r="C143" s="149"/>
      <c r="D143" s="149"/>
      <c r="E143" s="150"/>
      <c r="F143" s="150"/>
      <c r="G143" s="149"/>
      <c r="H143" s="149"/>
      <c r="I143" s="149"/>
      <c r="J143" s="150"/>
      <c r="K143" s="150"/>
      <c r="L143" s="149"/>
      <c r="M143" s="149"/>
      <c r="N143" s="149"/>
      <c r="O143" s="150"/>
      <c r="P143" s="150"/>
      <c r="Q143" s="149"/>
      <c r="R143" s="149"/>
      <c r="S143" s="149"/>
      <c r="T143" s="150"/>
      <c r="U143" s="150"/>
      <c r="V143" s="150"/>
      <c r="W143" s="150"/>
      <c r="X143" s="150"/>
      <c r="Y143" s="150"/>
      <c r="Z143" s="150"/>
      <c r="AA143" s="150"/>
      <c r="AB143" s="150"/>
      <c r="AC143" s="149"/>
      <c r="AD143" s="149"/>
      <c r="AE143" s="149"/>
      <c r="AF143" s="150"/>
      <c r="AG143" s="150"/>
      <c r="AH143" s="149"/>
      <c r="AI143" s="149"/>
      <c r="AJ143" s="149"/>
      <c r="AK143" s="150"/>
      <c r="AL143" s="150"/>
      <c r="AM143" s="149"/>
      <c r="AN143" s="149"/>
      <c r="AO143" s="149"/>
      <c r="AP143" s="150"/>
      <c r="AQ143" s="150"/>
      <c r="AR143" s="150"/>
      <c r="AS143" s="150"/>
      <c r="AT143" s="150"/>
      <c r="AU143" s="150"/>
      <c r="AV143" s="150"/>
      <c r="AW143" s="150"/>
      <c r="AX143" s="150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</row>
    <row r="144" spans="1:61" x14ac:dyDescent="0.25">
      <c r="A144" s="149"/>
      <c r="B144" s="149"/>
      <c r="C144" s="149"/>
      <c r="D144" s="149"/>
      <c r="E144" s="150"/>
      <c r="F144" s="150"/>
      <c r="G144" s="149"/>
      <c r="H144" s="149"/>
      <c r="I144" s="149"/>
      <c r="J144" s="150"/>
      <c r="K144" s="150"/>
      <c r="L144" s="149"/>
      <c r="M144" s="149"/>
      <c r="N144" s="149"/>
      <c r="O144" s="150"/>
      <c r="P144" s="150"/>
      <c r="Q144" s="149"/>
      <c r="R144" s="149"/>
      <c r="S144" s="149"/>
      <c r="T144" s="150"/>
      <c r="U144" s="150"/>
      <c r="V144" s="150"/>
      <c r="W144" s="150"/>
      <c r="X144" s="150"/>
      <c r="Y144" s="150"/>
      <c r="Z144" s="150"/>
      <c r="AA144" s="150"/>
      <c r="AB144" s="150"/>
      <c r="AC144" s="149"/>
      <c r="AD144" s="149"/>
      <c r="AE144" s="149"/>
      <c r="AF144" s="150"/>
      <c r="AG144" s="150"/>
      <c r="AH144" s="149"/>
      <c r="AI144" s="149"/>
      <c r="AJ144" s="149"/>
      <c r="AK144" s="150"/>
      <c r="AL144" s="150"/>
      <c r="AM144" s="149"/>
      <c r="AN144" s="149"/>
      <c r="AO144" s="149"/>
      <c r="AP144" s="150"/>
      <c r="AQ144" s="150"/>
      <c r="AR144" s="150"/>
      <c r="AS144" s="150"/>
      <c r="AT144" s="150"/>
      <c r="AU144" s="150"/>
      <c r="AV144" s="150"/>
      <c r="AW144" s="150"/>
      <c r="AX144" s="150"/>
      <c r="AY144" s="151"/>
      <c r="AZ144" s="151"/>
      <c r="BA144" s="151"/>
      <c r="BB144" s="151"/>
      <c r="BC144" s="151"/>
      <c r="BD144" s="151"/>
      <c r="BE144" s="151"/>
      <c r="BF144" s="151"/>
      <c r="BG144" s="151"/>
      <c r="BH144" s="151"/>
      <c r="BI144" s="151"/>
    </row>
    <row r="145" spans="1:61" x14ac:dyDescent="0.25">
      <c r="A145" s="149"/>
      <c r="B145" s="149"/>
      <c r="C145" s="149"/>
      <c r="D145" s="149"/>
      <c r="E145" s="150"/>
      <c r="F145" s="150"/>
      <c r="G145" s="149"/>
      <c r="H145" s="149"/>
      <c r="I145" s="149"/>
      <c r="J145" s="150"/>
      <c r="K145" s="150"/>
      <c r="L145" s="149"/>
      <c r="M145" s="149"/>
      <c r="N145" s="149"/>
      <c r="O145" s="150"/>
      <c r="P145" s="150"/>
      <c r="Q145" s="149"/>
      <c r="R145" s="149"/>
      <c r="S145" s="149"/>
      <c r="T145" s="150"/>
      <c r="U145" s="150"/>
      <c r="V145" s="150"/>
      <c r="W145" s="150"/>
      <c r="X145" s="150"/>
      <c r="Y145" s="150"/>
      <c r="Z145" s="150"/>
      <c r="AA145" s="150"/>
      <c r="AB145" s="150"/>
      <c r="AC145" s="149"/>
      <c r="AD145" s="149"/>
      <c r="AE145" s="149"/>
      <c r="AF145" s="150"/>
      <c r="AG145" s="150"/>
      <c r="AH145" s="149"/>
      <c r="AI145" s="149"/>
      <c r="AJ145" s="149"/>
      <c r="AK145" s="150"/>
      <c r="AL145" s="150"/>
      <c r="AM145" s="149"/>
      <c r="AN145" s="149"/>
      <c r="AO145" s="149"/>
      <c r="AP145" s="150"/>
      <c r="AQ145" s="150"/>
      <c r="AR145" s="150"/>
      <c r="AS145" s="150"/>
      <c r="AT145" s="150"/>
      <c r="AU145" s="150"/>
      <c r="AV145" s="150"/>
      <c r="AW145" s="150"/>
      <c r="AX145" s="150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</row>
    <row r="146" spans="1:61" x14ac:dyDescent="0.25">
      <c r="A146" s="149"/>
      <c r="B146" s="149"/>
      <c r="C146" s="149"/>
      <c r="D146" s="149"/>
      <c r="E146" s="150"/>
      <c r="F146" s="150"/>
      <c r="G146" s="149"/>
      <c r="H146" s="149"/>
      <c r="I146" s="149"/>
      <c r="J146" s="150"/>
      <c r="K146" s="150"/>
      <c r="L146" s="149"/>
      <c r="M146" s="149"/>
      <c r="N146" s="149"/>
      <c r="O146" s="150"/>
      <c r="P146" s="150"/>
      <c r="Q146" s="149"/>
      <c r="R146" s="149"/>
      <c r="S146" s="149"/>
      <c r="T146" s="150"/>
      <c r="U146" s="150"/>
      <c r="V146" s="150"/>
      <c r="W146" s="150"/>
      <c r="X146" s="150"/>
      <c r="Y146" s="150"/>
      <c r="Z146" s="150"/>
      <c r="AA146" s="150"/>
      <c r="AB146" s="150"/>
      <c r="AC146" s="149"/>
      <c r="AD146" s="149"/>
      <c r="AE146" s="149"/>
      <c r="AF146" s="150"/>
      <c r="AG146" s="150"/>
      <c r="AH146" s="149"/>
      <c r="AI146" s="149"/>
      <c r="AJ146" s="149"/>
      <c r="AK146" s="150"/>
      <c r="AL146" s="150"/>
      <c r="AM146" s="149"/>
      <c r="AN146" s="149"/>
      <c r="AO146" s="149"/>
      <c r="AP146" s="150"/>
      <c r="AQ146" s="150"/>
      <c r="AR146" s="150"/>
      <c r="AS146" s="150"/>
      <c r="AT146" s="150"/>
      <c r="AU146" s="150"/>
      <c r="AV146" s="150"/>
      <c r="AW146" s="150"/>
      <c r="AX146" s="150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</row>
    <row r="147" spans="1:61" x14ac:dyDescent="0.25">
      <c r="A147" s="149"/>
      <c r="B147" s="149"/>
      <c r="C147" s="149"/>
      <c r="D147" s="149"/>
      <c r="E147" s="150"/>
      <c r="F147" s="150"/>
      <c r="G147" s="149"/>
      <c r="H147" s="149"/>
      <c r="I147" s="149"/>
      <c r="J147" s="150"/>
      <c r="K147" s="150"/>
      <c r="L147" s="149"/>
      <c r="M147" s="149"/>
      <c r="N147" s="149"/>
      <c r="O147" s="150"/>
      <c r="P147" s="150"/>
      <c r="Q147" s="149"/>
      <c r="R147" s="149"/>
      <c r="S147" s="149"/>
      <c r="T147" s="150"/>
      <c r="U147" s="150"/>
      <c r="V147" s="150"/>
      <c r="W147" s="150"/>
      <c r="X147" s="150"/>
      <c r="Y147" s="150"/>
      <c r="Z147" s="150"/>
      <c r="AA147" s="150"/>
      <c r="AB147" s="150"/>
      <c r="AC147" s="149"/>
      <c r="AD147" s="149"/>
      <c r="AE147" s="149"/>
      <c r="AF147" s="150"/>
      <c r="AG147" s="150"/>
      <c r="AH147" s="149"/>
      <c r="AI147" s="149"/>
      <c r="AJ147" s="149"/>
      <c r="AK147" s="150"/>
      <c r="AL147" s="150"/>
      <c r="AM147" s="149"/>
      <c r="AN147" s="149"/>
      <c r="AO147" s="149"/>
      <c r="AP147" s="150"/>
      <c r="AQ147" s="150"/>
      <c r="AR147" s="150"/>
      <c r="AS147" s="150"/>
      <c r="AT147" s="150"/>
      <c r="AU147" s="150"/>
      <c r="AV147" s="150"/>
      <c r="AW147" s="150"/>
      <c r="AX147" s="150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</row>
    <row r="148" spans="1:61" x14ac:dyDescent="0.25">
      <c r="A148" s="149"/>
      <c r="B148" s="149"/>
      <c r="C148" s="149"/>
      <c r="D148" s="149"/>
      <c r="E148" s="150"/>
      <c r="F148" s="150"/>
      <c r="G148" s="149"/>
      <c r="H148" s="149"/>
      <c r="I148" s="149"/>
      <c r="J148" s="150"/>
      <c r="K148" s="150"/>
      <c r="L148" s="149"/>
      <c r="M148" s="149"/>
      <c r="N148" s="149"/>
      <c r="O148" s="150"/>
      <c r="P148" s="150"/>
      <c r="Q148" s="149"/>
      <c r="R148" s="149"/>
      <c r="S148" s="149"/>
      <c r="T148" s="150"/>
      <c r="U148" s="150"/>
      <c r="V148" s="150"/>
      <c r="W148" s="150"/>
      <c r="X148" s="150"/>
      <c r="Y148" s="150"/>
      <c r="Z148" s="150"/>
      <c r="AA148" s="150"/>
      <c r="AB148" s="150"/>
      <c r="AC148" s="149"/>
      <c r="AD148" s="149"/>
      <c r="AE148" s="149"/>
      <c r="AF148" s="150"/>
      <c r="AG148" s="150"/>
      <c r="AH148" s="149"/>
      <c r="AI148" s="149"/>
      <c r="AJ148" s="149"/>
      <c r="AK148" s="150"/>
      <c r="AL148" s="150"/>
      <c r="AM148" s="149"/>
      <c r="AN148" s="149"/>
      <c r="AO148" s="149"/>
      <c r="AP148" s="150"/>
      <c r="AQ148" s="150"/>
      <c r="AR148" s="150"/>
      <c r="AS148" s="150"/>
      <c r="AT148" s="150"/>
      <c r="AU148" s="150"/>
      <c r="AV148" s="150"/>
      <c r="AW148" s="150"/>
      <c r="AX148" s="150"/>
      <c r="AY148" s="151"/>
      <c r="AZ148" s="151"/>
      <c r="BA148" s="151"/>
      <c r="BB148" s="151"/>
      <c r="BC148" s="151"/>
      <c r="BD148" s="151"/>
      <c r="BE148" s="151"/>
      <c r="BF148" s="151"/>
      <c r="BG148" s="151"/>
      <c r="BH148" s="151"/>
      <c r="BI148" s="151"/>
    </row>
    <row r="149" spans="1:61" x14ac:dyDescent="0.25">
      <c r="A149" s="149"/>
      <c r="B149" s="149"/>
      <c r="C149" s="149"/>
      <c r="D149" s="149"/>
      <c r="E149" s="150"/>
      <c r="F149" s="150"/>
      <c r="G149" s="149"/>
      <c r="H149" s="149"/>
      <c r="I149" s="149"/>
      <c r="J149" s="150"/>
      <c r="K149" s="150"/>
      <c r="L149" s="149"/>
      <c r="M149" s="149"/>
      <c r="N149" s="149"/>
      <c r="O149" s="150"/>
      <c r="P149" s="150"/>
      <c r="Q149" s="149"/>
      <c r="R149" s="149"/>
      <c r="S149" s="149"/>
      <c r="T149" s="150"/>
      <c r="U149" s="150"/>
      <c r="V149" s="150"/>
      <c r="W149" s="150"/>
      <c r="X149" s="150"/>
      <c r="Y149" s="150"/>
      <c r="Z149" s="150"/>
      <c r="AA149" s="150"/>
      <c r="AB149" s="150"/>
      <c r="AC149" s="149"/>
      <c r="AD149" s="149"/>
      <c r="AE149" s="149"/>
      <c r="AF149" s="150"/>
      <c r="AG149" s="150"/>
      <c r="AH149" s="149"/>
      <c r="AI149" s="149"/>
      <c r="AJ149" s="149"/>
      <c r="AK149" s="150"/>
      <c r="AL149" s="150"/>
      <c r="AM149" s="149"/>
      <c r="AN149" s="149"/>
      <c r="AO149" s="149"/>
      <c r="AP149" s="150"/>
      <c r="AQ149" s="150"/>
      <c r="AR149" s="150"/>
      <c r="AS149" s="150"/>
      <c r="AT149" s="150"/>
      <c r="AU149" s="150"/>
      <c r="AV149" s="150"/>
      <c r="AW149" s="150"/>
      <c r="AX149" s="150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</row>
    <row r="150" spans="1:61" x14ac:dyDescent="0.25">
      <c r="A150" s="149"/>
      <c r="B150" s="149"/>
      <c r="C150" s="149"/>
      <c r="D150" s="149"/>
      <c r="E150" s="150"/>
      <c r="F150" s="150"/>
      <c r="G150" s="149"/>
      <c r="H150" s="149"/>
      <c r="I150" s="149"/>
      <c r="J150" s="150"/>
      <c r="K150" s="150"/>
      <c r="L150" s="149"/>
      <c r="M150" s="149"/>
      <c r="N150" s="149"/>
      <c r="O150" s="150"/>
      <c r="P150" s="150"/>
      <c r="Q150" s="149"/>
      <c r="R150" s="149"/>
      <c r="S150" s="149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49"/>
      <c r="AD150" s="149"/>
      <c r="AE150" s="149"/>
      <c r="AF150" s="150"/>
      <c r="AG150" s="150"/>
      <c r="AH150" s="149"/>
      <c r="AI150" s="149"/>
      <c r="AJ150" s="149"/>
      <c r="AK150" s="150"/>
      <c r="AL150" s="150"/>
      <c r="AM150" s="149"/>
      <c r="AN150" s="149"/>
      <c r="AO150" s="149"/>
      <c r="AP150" s="150"/>
      <c r="AQ150" s="150"/>
      <c r="AR150" s="150"/>
      <c r="AS150" s="150"/>
      <c r="AT150" s="150"/>
      <c r="AU150" s="150"/>
      <c r="AV150" s="150"/>
      <c r="AW150" s="150"/>
      <c r="AX150" s="150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</row>
    <row r="151" spans="1:61" x14ac:dyDescent="0.25">
      <c r="A151" s="149"/>
      <c r="B151" s="149"/>
      <c r="C151" s="149"/>
      <c r="D151" s="149"/>
      <c r="E151" s="150"/>
      <c r="F151" s="150"/>
      <c r="G151" s="149"/>
      <c r="H151" s="149"/>
      <c r="I151" s="149"/>
      <c r="J151" s="150"/>
      <c r="K151" s="150"/>
      <c r="L151" s="149"/>
      <c r="M151" s="149"/>
      <c r="N151" s="149"/>
      <c r="O151" s="150"/>
      <c r="P151" s="150"/>
      <c r="Q151" s="149"/>
      <c r="R151" s="149"/>
      <c r="S151" s="149"/>
      <c r="T151" s="150"/>
      <c r="U151" s="150"/>
      <c r="V151" s="150"/>
      <c r="W151" s="150"/>
      <c r="X151" s="150"/>
      <c r="Y151" s="150"/>
      <c r="Z151" s="150"/>
      <c r="AA151" s="150"/>
      <c r="AB151" s="150"/>
      <c r="AC151" s="149"/>
      <c r="AD151" s="149"/>
      <c r="AE151" s="149"/>
      <c r="AF151" s="150"/>
      <c r="AG151" s="150"/>
      <c r="AH151" s="149"/>
      <c r="AI151" s="149"/>
      <c r="AJ151" s="149"/>
      <c r="AK151" s="150"/>
      <c r="AL151" s="150"/>
      <c r="AM151" s="149"/>
      <c r="AN151" s="149"/>
      <c r="AO151" s="149"/>
      <c r="AP151" s="150"/>
      <c r="AQ151" s="150"/>
      <c r="AR151" s="150"/>
      <c r="AS151" s="150"/>
      <c r="AT151" s="150"/>
      <c r="AU151" s="150"/>
      <c r="AV151" s="150"/>
      <c r="AW151" s="150"/>
      <c r="AX151" s="150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</row>
    <row r="152" spans="1:61" x14ac:dyDescent="0.25">
      <c r="A152" s="149"/>
      <c r="B152" s="149"/>
      <c r="C152" s="149"/>
      <c r="D152" s="149"/>
      <c r="E152" s="150"/>
      <c r="F152" s="150"/>
      <c r="G152" s="149"/>
      <c r="H152" s="149"/>
      <c r="I152" s="149"/>
      <c r="J152" s="150"/>
      <c r="K152" s="150"/>
      <c r="L152" s="149"/>
      <c r="M152" s="149"/>
      <c r="N152" s="149"/>
      <c r="O152" s="150"/>
      <c r="P152" s="150"/>
      <c r="Q152" s="149"/>
      <c r="R152" s="149"/>
      <c r="S152" s="149"/>
      <c r="T152" s="150"/>
      <c r="U152" s="150"/>
      <c r="V152" s="150"/>
      <c r="W152" s="150"/>
      <c r="X152" s="150"/>
      <c r="Y152" s="150"/>
      <c r="Z152" s="150"/>
      <c r="AA152" s="150"/>
      <c r="AB152" s="150"/>
      <c r="AC152" s="149"/>
      <c r="AD152" s="149"/>
      <c r="AE152" s="149"/>
      <c r="AF152" s="150"/>
      <c r="AG152" s="150"/>
      <c r="AH152" s="149"/>
      <c r="AI152" s="149"/>
      <c r="AJ152" s="149"/>
      <c r="AK152" s="150"/>
      <c r="AL152" s="150"/>
      <c r="AM152" s="149"/>
      <c r="AN152" s="149"/>
      <c r="AO152" s="149"/>
      <c r="AP152" s="150"/>
      <c r="AQ152" s="150"/>
      <c r="AR152" s="150"/>
      <c r="AS152" s="150"/>
      <c r="AT152" s="150"/>
      <c r="AU152" s="150"/>
      <c r="AV152" s="150"/>
      <c r="AW152" s="150"/>
      <c r="AX152" s="150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</row>
    <row r="153" spans="1:61" x14ac:dyDescent="0.25">
      <c r="A153" s="149"/>
      <c r="B153" s="149"/>
      <c r="C153" s="149"/>
      <c r="D153" s="149"/>
      <c r="E153" s="150"/>
      <c r="F153" s="150"/>
      <c r="G153" s="149"/>
      <c r="H153" s="149"/>
      <c r="I153" s="149"/>
      <c r="J153" s="150"/>
      <c r="K153" s="150"/>
      <c r="L153" s="149"/>
      <c r="M153" s="149"/>
      <c r="N153" s="149"/>
      <c r="O153" s="150"/>
      <c r="P153" s="150"/>
      <c r="Q153" s="149"/>
      <c r="R153" s="149"/>
      <c r="S153" s="149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49"/>
      <c r="AD153" s="149"/>
      <c r="AE153" s="149"/>
      <c r="AF153" s="150"/>
      <c r="AG153" s="150"/>
      <c r="AH153" s="149"/>
      <c r="AI153" s="149"/>
      <c r="AJ153" s="149"/>
      <c r="AK153" s="150"/>
      <c r="AL153" s="150"/>
      <c r="AM153" s="149"/>
      <c r="AN153" s="149"/>
      <c r="AO153" s="149"/>
      <c r="AP153" s="150"/>
      <c r="AQ153" s="150"/>
      <c r="AR153" s="150"/>
      <c r="AS153" s="150"/>
      <c r="AT153" s="150"/>
      <c r="AU153" s="150"/>
      <c r="AV153" s="150"/>
      <c r="AW153" s="150"/>
      <c r="AX153" s="150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</row>
    <row r="154" spans="1:61" x14ac:dyDescent="0.25">
      <c r="A154" s="149"/>
      <c r="B154" s="149"/>
      <c r="C154" s="149"/>
      <c r="D154" s="149"/>
      <c r="E154" s="150"/>
      <c r="F154" s="150"/>
      <c r="G154" s="149"/>
      <c r="H154" s="149"/>
      <c r="I154" s="149"/>
      <c r="J154" s="150"/>
      <c r="K154" s="150"/>
      <c r="L154" s="149"/>
      <c r="M154" s="149"/>
      <c r="N154" s="149"/>
      <c r="O154" s="150"/>
      <c r="P154" s="150"/>
      <c r="Q154" s="149"/>
      <c r="R154" s="149"/>
      <c r="S154" s="149"/>
      <c r="T154" s="150"/>
      <c r="U154" s="150"/>
      <c r="V154" s="150"/>
      <c r="W154" s="150"/>
      <c r="X154" s="150"/>
      <c r="Y154" s="150"/>
      <c r="Z154" s="150"/>
      <c r="AA154" s="150"/>
      <c r="AB154" s="150"/>
      <c r="AC154" s="149"/>
      <c r="AD154" s="149"/>
      <c r="AE154" s="149"/>
      <c r="AF154" s="150"/>
      <c r="AG154" s="150"/>
      <c r="AH154" s="149"/>
      <c r="AI154" s="149"/>
      <c r="AJ154" s="149"/>
      <c r="AK154" s="150"/>
      <c r="AL154" s="150"/>
      <c r="AM154" s="149"/>
      <c r="AN154" s="149"/>
      <c r="AO154" s="149"/>
      <c r="AP154" s="150"/>
      <c r="AQ154" s="150"/>
      <c r="AR154" s="150"/>
      <c r="AS154" s="150"/>
      <c r="AT154" s="150"/>
      <c r="AU154" s="150"/>
      <c r="AV154" s="150"/>
      <c r="AW154" s="150"/>
      <c r="AX154" s="150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</row>
    <row r="155" spans="1:61" x14ac:dyDescent="0.25">
      <c r="A155" s="149"/>
      <c r="B155" s="149"/>
      <c r="C155" s="149"/>
      <c r="D155" s="149"/>
      <c r="E155" s="150"/>
      <c r="F155" s="150"/>
      <c r="G155" s="149"/>
      <c r="H155" s="149"/>
      <c r="I155" s="149"/>
      <c r="J155" s="150"/>
      <c r="K155" s="150"/>
      <c r="L155" s="149"/>
      <c r="M155" s="149"/>
      <c r="N155" s="149"/>
      <c r="O155" s="150"/>
      <c r="P155" s="150"/>
      <c r="Q155" s="149"/>
      <c r="R155" s="149"/>
      <c r="S155" s="149"/>
      <c r="T155" s="150"/>
      <c r="U155" s="150"/>
      <c r="V155" s="150"/>
      <c r="W155" s="150"/>
      <c r="X155" s="150"/>
      <c r="Y155" s="150"/>
      <c r="Z155" s="150"/>
      <c r="AA155" s="150"/>
      <c r="AB155" s="150"/>
      <c r="AC155" s="149"/>
      <c r="AD155" s="149"/>
      <c r="AE155" s="149"/>
      <c r="AF155" s="150"/>
      <c r="AG155" s="150"/>
      <c r="AH155" s="149"/>
      <c r="AI155" s="149"/>
      <c r="AJ155" s="149"/>
      <c r="AK155" s="150"/>
      <c r="AL155" s="150"/>
      <c r="AM155" s="149"/>
      <c r="AN155" s="149"/>
      <c r="AO155" s="149"/>
      <c r="AP155" s="150"/>
      <c r="AQ155" s="150"/>
      <c r="AR155" s="150"/>
      <c r="AS155" s="150"/>
      <c r="AT155" s="150"/>
      <c r="AU155" s="150"/>
      <c r="AV155" s="150"/>
      <c r="AW155" s="150"/>
      <c r="AX155" s="150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</row>
    <row r="156" spans="1:61" x14ac:dyDescent="0.25">
      <c r="A156" s="149"/>
      <c r="B156" s="149"/>
      <c r="C156" s="149"/>
      <c r="D156" s="149"/>
      <c r="E156" s="150"/>
      <c r="F156" s="150"/>
      <c r="G156" s="149"/>
      <c r="H156" s="149"/>
      <c r="I156" s="149"/>
      <c r="J156" s="150"/>
      <c r="K156" s="150"/>
      <c r="L156" s="149"/>
      <c r="M156" s="149"/>
      <c r="N156" s="149"/>
      <c r="O156" s="150"/>
      <c r="P156" s="150"/>
      <c r="Q156" s="149"/>
      <c r="R156" s="149"/>
      <c r="S156" s="149"/>
      <c r="T156" s="150"/>
      <c r="U156" s="150"/>
      <c r="V156" s="150"/>
      <c r="W156" s="150"/>
      <c r="X156" s="150"/>
      <c r="Y156" s="150"/>
      <c r="Z156" s="150"/>
      <c r="AA156" s="150"/>
      <c r="AB156" s="150"/>
      <c r="AC156" s="149"/>
      <c r="AD156" s="149"/>
      <c r="AE156" s="149"/>
      <c r="AF156" s="150"/>
      <c r="AG156" s="150"/>
      <c r="AH156" s="149"/>
      <c r="AI156" s="149"/>
      <c r="AJ156" s="149"/>
      <c r="AK156" s="150"/>
      <c r="AL156" s="150"/>
      <c r="AM156" s="149"/>
      <c r="AN156" s="149"/>
      <c r="AO156" s="149"/>
      <c r="AP156" s="150"/>
      <c r="AQ156" s="150"/>
      <c r="AR156" s="150"/>
      <c r="AS156" s="150"/>
      <c r="AT156" s="150"/>
      <c r="AU156" s="150"/>
      <c r="AV156" s="150"/>
      <c r="AW156" s="150"/>
      <c r="AX156" s="150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</row>
    <row r="157" spans="1:61" x14ac:dyDescent="0.25">
      <c r="A157" s="149"/>
      <c r="B157" s="149"/>
      <c r="C157" s="149"/>
      <c r="D157" s="149"/>
      <c r="E157" s="150"/>
      <c r="F157" s="150"/>
      <c r="G157" s="149"/>
      <c r="H157" s="149"/>
      <c r="I157" s="149"/>
      <c r="J157" s="150"/>
      <c r="K157" s="150"/>
      <c r="L157" s="149"/>
      <c r="M157" s="149"/>
      <c r="N157" s="149"/>
      <c r="O157" s="150"/>
      <c r="P157" s="150"/>
      <c r="Q157" s="149"/>
      <c r="R157" s="149"/>
      <c r="S157" s="149"/>
      <c r="T157" s="150"/>
      <c r="U157" s="150"/>
      <c r="V157" s="150"/>
      <c r="W157" s="150"/>
      <c r="X157" s="150"/>
      <c r="Y157" s="150"/>
      <c r="Z157" s="150"/>
      <c r="AA157" s="150"/>
      <c r="AB157" s="150"/>
      <c r="AC157" s="149"/>
      <c r="AD157" s="149"/>
      <c r="AE157" s="149"/>
      <c r="AF157" s="150"/>
      <c r="AG157" s="150"/>
      <c r="AH157" s="149"/>
      <c r="AI157" s="149"/>
      <c r="AJ157" s="149"/>
      <c r="AK157" s="150"/>
      <c r="AL157" s="150"/>
      <c r="AM157" s="149"/>
      <c r="AN157" s="149"/>
      <c r="AO157" s="149"/>
      <c r="AP157" s="150"/>
      <c r="AQ157" s="150"/>
      <c r="AR157" s="150"/>
      <c r="AS157" s="150"/>
      <c r="AT157" s="150"/>
      <c r="AU157" s="150"/>
      <c r="AV157" s="150"/>
      <c r="AW157" s="150"/>
      <c r="AX157" s="150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</row>
    <row r="158" spans="1:61" x14ac:dyDescent="0.25">
      <c r="A158" s="149"/>
      <c r="B158" s="149"/>
      <c r="C158" s="149"/>
      <c r="D158" s="149"/>
      <c r="E158" s="150"/>
      <c r="F158" s="150"/>
      <c r="G158" s="149"/>
      <c r="H158" s="149"/>
      <c r="I158" s="149"/>
      <c r="J158" s="150"/>
      <c r="K158" s="150"/>
      <c r="L158" s="149"/>
      <c r="M158" s="149"/>
      <c r="N158" s="149"/>
      <c r="O158" s="150"/>
      <c r="P158" s="150"/>
      <c r="Q158" s="149"/>
      <c r="R158" s="149"/>
      <c r="S158" s="149"/>
      <c r="T158" s="150"/>
      <c r="U158" s="150"/>
      <c r="V158" s="150"/>
      <c r="W158" s="150"/>
      <c r="X158" s="150"/>
      <c r="Y158" s="150"/>
      <c r="Z158" s="150"/>
      <c r="AA158" s="150"/>
      <c r="AB158" s="150"/>
      <c r="AC158" s="149"/>
      <c r="AD158" s="149"/>
      <c r="AE158" s="149"/>
      <c r="AF158" s="150"/>
      <c r="AG158" s="150"/>
      <c r="AH158" s="149"/>
      <c r="AI158" s="149"/>
      <c r="AJ158" s="149"/>
      <c r="AK158" s="150"/>
      <c r="AL158" s="150"/>
      <c r="AM158" s="149"/>
      <c r="AN158" s="149"/>
      <c r="AO158" s="149"/>
      <c r="AP158" s="150"/>
      <c r="AQ158" s="150"/>
      <c r="AR158" s="150"/>
      <c r="AS158" s="150"/>
      <c r="AT158" s="150"/>
      <c r="AU158" s="150"/>
      <c r="AV158" s="150"/>
      <c r="AW158" s="150"/>
      <c r="AX158" s="150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</row>
    <row r="159" spans="1:61" x14ac:dyDescent="0.25">
      <c r="A159" s="149"/>
      <c r="B159" s="149"/>
      <c r="C159" s="149"/>
      <c r="D159" s="149"/>
      <c r="E159" s="150"/>
      <c r="F159" s="150"/>
      <c r="G159" s="149"/>
      <c r="H159" s="149"/>
      <c r="I159" s="149"/>
      <c r="J159" s="150"/>
      <c r="K159" s="150"/>
      <c r="L159" s="149"/>
      <c r="M159" s="149"/>
      <c r="N159" s="149"/>
      <c r="O159" s="150"/>
      <c r="P159" s="150"/>
      <c r="Q159" s="149"/>
      <c r="R159" s="149"/>
      <c r="S159" s="149"/>
      <c r="T159" s="150"/>
      <c r="U159" s="150"/>
      <c r="V159" s="150"/>
      <c r="W159" s="150"/>
      <c r="X159" s="150"/>
      <c r="Y159" s="150"/>
      <c r="Z159" s="150"/>
      <c r="AA159" s="150"/>
      <c r="AB159" s="150"/>
      <c r="AC159" s="149"/>
      <c r="AD159" s="149"/>
      <c r="AE159" s="149"/>
      <c r="AF159" s="150"/>
      <c r="AG159" s="150"/>
      <c r="AH159" s="149"/>
      <c r="AI159" s="149"/>
      <c r="AJ159" s="149"/>
      <c r="AK159" s="150"/>
      <c r="AL159" s="150"/>
      <c r="AM159" s="149"/>
      <c r="AN159" s="149"/>
      <c r="AO159" s="149"/>
      <c r="AP159" s="150"/>
      <c r="AQ159" s="150"/>
      <c r="AR159" s="150"/>
      <c r="AS159" s="150"/>
      <c r="AT159" s="150"/>
      <c r="AU159" s="150"/>
      <c r="AV159" s="150"/>
      <c r="AW159" s="150"/>
      <c r="AX159" s="150"/>
      <c r="AY159" s="151"/>
      <c r="AZ159" s="151"/>
      <c r="BA159" s="151"/>
      <c r="BB159" s="151"/>
      <c r="BC159" s="151"/>
      <c r="BD159" s="151"/>
      <c r="BE159" s="151"/>
      <c r="BF159" s="151"/>
      <c r="BG159" s="151"/>
      <c r="BH159" s="151"/>
      <c r="BI159" s="151"/>
    </row>
    <row r="160" spans="1:61" x14ac:dyDescent="0.25">
      <c r="A160" s="149"/>
      <c r="B160" s="149"/>
      <c r="C160" s="149"/>
      <c r="D160" s="149"/>
      <c r="E160" s="150"/>
      <c r="F160" s="150"/>
      <c r="G160" s="149"/>
      <c r="H160" s="149"/>
      <c r="I160" s="149"/>
      <c r="J160" s="150"/>
      <c r="K160" s="150"/>
      <c r="L160" s="149"/>
      <c r="M160" s="149"/>
      <c r="N160" s="149"/>
      <c r="O160" s="150"/>
      <c r="P160" s="150"/>
      <c r="Q160" s="149"/>
      <c r="R160" s="149"/>
      <c r="S160" s="149"/>
      <c r="T160" s="150"/>
      <c r="U160" s="150"/>
      <c r="V160" s="150"/>
      <c r="W160" s="150"/>
      <c r="X160" s="150"/>
      <c r="Y160" s="150"/>
      <c r="Z160" s="150"/>
      <c r="AA160" s="150"/>
      <c r="AB160" s="150"/>
      <c r="AC160" s="149"/>
      <c r="AD160" s="149"/>
      <c r="AE160" s="149"/>
      <c r="AF160" s="150"/>
      <c r="AG160" s="150"/>
      <c r="AH160" s="149"/>
      <c r="AI160" s="149"/>
      <c r="AJ160" s="149"/>
      <c r="AK160" s="150"/>
      <c r="AL160" s="150"/>
      <c r="AM160" s="149"/>
      <c r="AN160" s="149"/>
      <c r="AO160" s="149"/>
      <c r="AP160" s="150"/>
      <c r="AQ160" s="150"/>
      <c r="AR160" s="150"/>
      <c r="AS160" s="150"/>
      <c r="AT160" s="150"/>
      <c r="AU160" s="150"/>
      <c r="AV160" s="150"/>
      <c r="AW160" s="150"/>
      <c r="AX160" s="150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</row>
    <row r="161" spans="1:61" x14ac:dyDescent="0.25">
      <c r="A161" s="149"/>
      <c r="B161" s="149"/>
      <c r="C161" s="149"/>
      <c r="D161" s="149"/>
      <c r="E161" s="150"/>
      <c r="F161" s="150"/>
      <c r="G161" s="149"/>
      <c r="H161" s="149"/>
      <c r="I161" s="149"/>
      <c r="J161" s="150"/>
      <c r="K161" s="150"/>
      <c r="L161" s="149"/>
      <c r="M161" s="149"/>
      <c r="N161" s="149"/>
      <c r="O161" s="150"/>
      <c r="P161" s="150"/>
      <c r="Q161" s="149"/>
      <c r="R161" s="149"/>
      <c r="S161" s="149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49"/>
      <c r="AD161" s="149"/>
      <c r="AE161" s="149"/>
      <c r="AF161" s="150"/>
      <c r="AG161" s="150"/>
      <c r="AH161" s="149"/>
      <c r="AI161" s="149"/>
      <c r="AJ161" s="149"/>
      <c r="AK161" s="150"/>
      <c r="AL161" s="150"/>
      <c r="AM161" s="149"/>
      <c r="AN161" s="149"/>
      <c r="AO161" s="149"/>
      <c r="AP161" s="150"/>
      <c r="AQ161" s="150"/>
      <c r="AR161" s="150"/>
      <c r="AS161" s="150"/>
      <c r="AT161" s="150"/>
      <c r="AU161" s="150"/>
      <c r="AV161" s="150"/>
      <c r="AW161" s="150"/>
      <c r="AX161" s="150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</row>
    <row r="162" spans="1:61" x14ac:dyDescent="0.25">
      <c r="A162" s="149"/>
      <c r="B162" s="149"/>
      <c r="C162" s="149"/>
      <c r="D162" s="149"/>
      <c r="E162" s="150"/>
      <c r="F162" s="150"/>
      <c r="G162" s="149"/>
      <c r="H162" s="149"/>
      <c r="I162" s="149"/>
      <c r="J162" s="150"/>
      <c r="K162" s="150"/>
      <c r="L162" s="149"/>
      <c r="M162" s="149"/>
      <c r="N162" s="149"/>
      <c r="O162" s="150"/>
      <c r="P162" s="150"/>
      <c r="Q162" s="149"/>
      <c r="R162" s="149"/>
      <c r="S162" s="149"/>
      <c r="T162" s="150"/>
      <c r="U162" s="150"/>
      <c r="V162" s="150"/>
      <c r="W162" s="150"/>
      <c r="X162" s="150"/>
      <c r="Y162" s="150"/>
      <c r="Z162" s="150"/>
      <c r="AA162" s="150"/>
      <c r="AB162" s="150"/>
      <c r="AC162" s="149"/>
      <c r="AD162" s="149"/>
      <c r="AE162" s="149"/>
      <c r="AF162" s="150"/>
      <c r="AG162" s="150"/>
      <c r="AH162" s="149"/>
      <c r="AI162" s="149"/>
      <c r="AJ162" s="149"/>
      <c r="AK162" s="150"/>
      <c r="AL162" s="150"/>
      <c r="AM162" s="149"/>
      <c r="AN162" s="149"/>
      <c r="AO162" s="149"/>
      <c r="AP162" s="150"/>
      <c r="AQ162" s="150"/>
      <c r="AR162" s="150"/>
      <c r="AS162" s="150"/>
      <c r="AT162" s="150"/>
      <c r="AU162" s="150"/>
      <c r="AV162" s="150"/>
      <c r="AW162" s="150"/>
      <c r="AX162" s="150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</row>
    <row r="163" spans="1:61" x14ac:dyDescent="0.25">
      <c r="A163" s="149"/>
      <c r="B163" s="149"/>
      <c r="C163" s="149"/>
      <c r="D163" s="149"/>
      <c r="E163" s="150"/>
      <c r="F163" s="150"/>
      <c r="G163" s="149"/>
      <c r="H163" s="149"/>
      <c r="I163" s="149"/>
      <c r="J163" s="150"/>
      <c r="K163" s="150"/>
      <c r="L163" s="149"/>
      <c r="M163" s="149"/>
      <c r="N163" s="149"/>
      <c r="O163" s="150"/>
      <c r="P163" s="150"/>
      <c r="Q163" s="149"/>
      <c r="R163" s="149"/>
      <c r="S163" s="149"/>
      <c r="T163" s="150"/>
      <c r="U163" s="150"/>
      <c r="V163" s="150"/>
      <c r="W163" s="150"/>
      <c r="X163" s="150"/>
      <c r="Y163" s="150"/>
      <c r="Z163" s="150"/>
      <c r="AA163" s="150"/>
      <c r="AB163" s="150"/>
      <c r="AC163" s="149"/>
      <c r="AD163" s="149"/>
      <c r="AE163" s="149"/>
      <c r="AF163" s="150"/>
      <c r="AG163" s="150"/>
      <c r="AH163" s="149"/>
      <c r="AI163" s="149"/>
      <c r="AJ163" s="149"/>
      <c r="AK163" s="150"/>
      <c r="AL163" s="150"/>
      <c r="AM163" s="149"/>
      <c r="AN163" s="149"/>
      <c r="AO163" s="149"/>
      <c r="AP163" s="150"/>
      <c r="AQ163" s="150"/>
      <c r="AR163" s="150"/>
      <c r="AS163" s="150"/>
      <c r="AT163" s="150"/>
      <c r="AU163" s="150"/>
      <c r="AV163" s="150"/>
      <c r="AW163" s="150"/>
      <c r="AX163" s="150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</row>
    <row r="164" spans="1:61" x14ac:dyDescent="0.25">
      <c r="A164" s="149"/>
      <c r="B164" s="149"/>
      <c r="C164" s="149"/>
      <c r="D164" s="149"/>
      <c r="E164" s="150"/>
      <c r="F164" s="150"/>
      <c r="G164" s="149"/>
      <c r="H164" s="149"/>
      <c r="I164" s="149"/>
      <c r="J164" s="150"/>
      <c r="K164" s="150"/>
      <c r="L164" s="149"/>
      <c r="M164" s="149"/>
      <c r="N164" s="149"/>
      <c r="O164" s="150"/>
      <c r="P164" s="150"/>
      <c r="Q164" s="149"/>
      <c r="R164" s="149"/>
      <c r="S164" s="149"/>
      <c r="T164" s="150"/>
      <c r="U164" s="150"/>
      <c r="V164" s="150"/>
      <c r="W164" s="150"/>
      <c r="X164" s="150"/>
      <c r="Y164" s="150"/>
      <c r="Z164" s="150"/>
      <c r="AA164" s="150"/>
      <c r="AB164" s="150"/>
      <c r="AC164" s="149"/>
      <c r="AD164" s="149"/>
      <c r="AE164" s="149"/>
      <c r="AF164" s="150"/>
      <c r="AG164" s="150"/>
      <c r="AH164" s="149"/>
      <c r="AI164" s="149"/>
      <c r="AJ164" s="149"/>
      <c r="AK164" s="150"/>
      <c r="AL164" s="150"/>
      <c r="AM164" s="149"/>
      <c r="AN164" s="149"/>
      <c r="AO164" s="149"/>
      <c r="AP164" s="150"/>
      <c r="AQ164" s="150"/>
      <c r="AR164" s="150"/>
      <c r="AS164" s="150"/>
      <c r="AT164" s="150"/>
      <c r="AU164" s="150"/>
      <c r="AV164" s="150"/>
      <c r="AW164" s="150"/>
      <c r="AX164" s="150"/>
      <c r="AY164" s="151"/>
      <c r="AZ164" s="151"/>
      <c r="BA164" s="151"/>
      <c r="BB164" s="151"/>
      <c r="BC164" s="151"/>
      <c r="BD164" s="151"/>
      <c r="BE164" s="151"/>
      <c r="BF164" s="151"/>
      <c r="BG164" s="151"/>
      <c r="BH164" s="151"/>
      <c r="BI164" s="151"/>
    </row>
    <row r="165" spans="1:61" x14ac:dyDescent="0.25">
      <c r="A165" s="149"/>
      <c r="B165" s="149"/>
      <c r="C165" s="149"/>
      <c r="D165" s="149"/>
      <c r="E165" s="150"/>
      <c r="F165" s="150"/>
      <c r="G165" s="149"/>
      <c r="H165" s="149"/>
      <c r="I165" s="149"/>
      <c r="J165" s="150"/>
      <c r="K165" s="150"/>
      <c r="L165" s="149"/>
      <c r="M165" s="149"/>
      <c r="N165" s="149"/>
      <c r="O165" s="150"/>
      <c r="P165" s="150"/>
      <c r="Q165" s="149"/>
      <c r="R165" s="149"/>
      <c r="S165" s="149"/>
      <c r="T165" s="150"/>
      <c r="U165" s="150"/>
      <c r="V165" s="150"/>
      <c r="W165" s="150"/>
      <c r="X165" s="150"/>
      <c r="Y165" s="150"/>
      <c r="Z165" s="150"/>
      <c r="AA165" s="150"/>
      <c r="AB165" s="150"/>
      <c r="AC165" s="149"/>
      <c r="AD165" s="149"/>
      <c r="AE165" s="149"/>
      <c r="AF165" s="150"/>
      <c r="AG165" s="150"/>
      <c r="AH165" s="149"/>
      <c r="AI165" s="149"/>
      <c r="AJ165" s="149"/>
      <c r="AK165" s="150"/>
      <c r="AL165" s="150"/>
      <c r="AM165" s="149"/>
      <c r="AN165" s="149"/>
      <c r="AO165" s="149"/>
      <c r="AP165" s="150"/>
      <c r="AQ165" s="150"/>
      <c r="AR165" s="150"/>
      <c r="AS165" s="150"/>
      <c r="AT165" s="150"/>
      <c r="AU165" s="150"/>
      <c r="AV165" s="150"/>
      <c r="AW165" s="150"/>
      <c r="AX165" s="150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</row>
    <row r="166" spans="1:61" x14ac:dyDescent="0.25">
      <c r="A166" s="149"/>
      <c r="B166" s="149"/>
      <c r="C166" s="149"/>
      <c r="D166" s="149"/>
      <c r="E166" s="150"/>
      <c r="F166" s="150"/>
      <c r="G166" s="149"/>
      <c r="H166" s="149"/>
      <c r="I166" s="149"/>
      <c r="J166" s="150"/>
      <c r="K166" s="150"/>
      <c r="L166" s="149"/>
      <c r="M166" s="149"/>
      <c r="N166" s="149"/>
      <c r="O166" s="150"/>
      <c r="P166" s="150"/>
      <c r="Q166" s="149"/>
      <c r="R166" s="149"/>
      <c r="S166" s="149"/>
      <c r="T166" s="150"/>
      <c r="U166" s="150"/>
      <c r="V166" s="150"/>
      <c r="W166" s="150"/>
      <c r="X166" s="150"/>
      <c r="Y166" s="150"/>
      <c r="Z166" s="150"/>
      <c r="AA166" s="150"/>
      <c r="AB166" s="150"/>
      <c r="AC166" s="149"/>
      <c r="AD166" s="149"/>
      <c r="AE166" s="149"/>
      <c r="AF166" s="150"/>
      <c r="AG166" s="150"/>
      <c r="AH166" s="149"/>
      <c r="AI166" s="149"/>
      <c r="AJ166" s="149"/>
      <c r="AK166" s="150"/>
      <c r="AL166" s="150"/>
      <c r="AM166" s="149"/>
      <c r="AN166" s="149"/>
      <c r="AO166" s="149"/>
      <c r="AP166" s="150"/>
      <c r="AQ166" s="150"/>
      <c r="AR166" s="150"/>
      <c r="AS166" s="150"/>
      <c r="AT166" s="150"/>
      <c r="AU166" s="150"/>
      <c r="AV166" s="150"/>
      <c r="AW166" s="150"/>
      <c r="AX166" s="150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</row>
    <row r="167" spans="1:61" x14ac:dyDescent="0.25">
      <c r="A167" s="149"/>
      <c r="B167" s="149"/>
      <c r="C167" s="149"/>
      <c r="D167" s="149"/>
      <c r="E167" s="150"/>
      <c r="F167" s="150"/>
      <c r="G167" s="149"/>
      <c r="H167" s="149"/>
      <c r="I167" s="149"/>
      <c r="J167" s="150"/>
      <c r="K167" s="150"/>
      <c r="L167" s="149"/>
      <c r="M167" s="149"/>
      <c r="N167" s="149"/>
      <c r="O167" s="150"/>
      <c r="P167" s="150"/>
      <c r="Q167" s="149"/>
      <c r="R167" s="149"/>
      <c r="S167" s="149"/>
      <c r="T167" s="150"/>
      <c r="U167" s="150"/>
      <c r="V167" s="150"/>
      <c r="W167" s="150"/>
      <c r="X167" s="150"/>
      <c r="Y167" s="150"/>
      <c r="Z167" s="150"/>
      <c r="AA167" s="150"/>
      <c r="AB167" s="150"/>
      <c r="AC167" s="149"/>
      <c r="AD167" s="149"/>
      <c r="AE167" s="149"/>
      <c r="AF167" s="150"/>
      <c r="AG167" s="150"/>
      <c r="AH167" s="149"/>
      <c r="AI167" s="149"/>
      <c r="AJ167" s="149"/>
      <c r="AK167" s="150"/>
      <c r="AL167" s="150"/>
      <c r="AM167" s="149"/>
      <c r="AN167" s="149"/>
      <c r="AO167" s="149"/>
      <c r="AP167" s="150"/>
      <c r="AQ167" s="150"/>
      <c r="AR167" s="150"/>
      <c r="AS167" s="150"/>
      <c r="AT167" s="150"/>
      <c r="AU167" s="150"/>
      <c r="AV167" s="150"/>
      <c r="AW167" s="150"/>
      <c r="AX167" s="150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</row>
    <row r="168" spans="1:61" x14ac:dyDescent="0.25">
      <c r="A168" s="149"/>
      <c r="B168" s="149"/>
      <c r="C168" s="149"/>
      <c r="D168" s="149"/>
      <c r="E168" s="150"/>
      <c r="F168" s="150"/>
      <c r="G168" s="149"/>
      <c r="H168" s="149"/>
      <c r="I168" s="149"/>
      <c r="J168" s="150"/>
      <c r="K168" s="150"/>
      <c r="L168" s="149"/>
      <c r="M168" s="149"/>
      <c r="N168" s="149"/>
      <c r="O168" s="150"/>
      <c r="P168" s="150"/>
      <c r="Q168" s="149"/>
      <c r="R168" s="149"/>
      <c r="S168" s="149"/>
      <c r="T168" s="150"/>
      <c r="U168" s="150"/>
      <c r="V168" s="150"/>
      <c r="W168" s="150"/>
      <c r="X168" s="150"/>
      <c r="Y168" s="150"/>
      <c r="Z168" s="150"/>
      <c r="AA168" s="150"/>
      <c r="AB168" s="150"/>
      <c r="AC168" s="149"/>
      <c r="AD168" s="149"/>
      <c r="AE168" s="149"/>
      <c r="AF168" s="150"/>
      <c r="AG168" s="150"/>
      <c r="AH168" s="149"/>
      <c r="AI168" s="149"/>
      <c r="AJ168" s="149"/>
      <c r="AK168" s="150"/>
      <c r="AL168" s="150"/>
      <c r="AM168" s="149"/>
      <c r="AN168" s="149"/>
      <c r="AO168" s="149"/>
      <c r="AP168" s="150"/>
      <c r="AQ168" s="150"/>
      <c r="AR168" s="150"/>
      <c r="AS168" s="150"/>
      <c r="AT168" s="150"/>
      <c r="AU168" s="150"/>
      <c r="AV168" s="150"/>
      <c r="AW168" s="150"/>
      <c r="AX168" s="150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</row>
    <row r="169" spans="1:61" x14ac:dyDescent="0.25">
      <c r="A169" s="149"/>
      <c r="B169" s="149"/>
      <c r="C169" s="149"/>
      <c r="D169" s="149"/>
      <c r="E169" s="150"/>
      <c r="F169" s="150"/>
      <c r="G169" s="149"/>
      <c r="H169" s="149"/>
      <c r="I169" s="149"/>
      <c r="J169" s="150"/>
      <c r="K169" s="150"/>
      <c r="L169" s="149"/>
      <c r="M169" s="149"/>
      <c r="N169" s="149"/>
      <c r="O169" s="150"/>
      <c r="P169" s="150"/>
      <c r="Q169" s="149"/>
      <c r="R169" s="149"/>
      <c r="S169" s="149"/>
      <c r="T169" s="150"/>
      <c r="U169" s="150"/>
      <c r="V169" s="150"/>
      <c r="W169" s="150"/>
      <c r="X169" s="150"/>
      <c r="Y169" s="150"/>
      <c r="Z169" s="150"/>
      <c r="AA169" s="150"/>
      <c r="AB169" s="150"/>
      <c r="AC169" s="149"/>
      <c r="AD169" s="149"/>
      <c r="AE169" s="149"/>
      <c r="AF169" s="150"/>
      <c r="AG169" s="150"/>
      <c r="AH169" s="149"/>
      <c r="AI169" s="149"/>
      <c r="AJ169" s="149"/>
      <c r="AK169" s="150"/>
      <c r="AL169" s="150"/>
      <c r="AM169" s="149"/>
      <c r="AN169" s="149"/>
      <c r="AO169" s="149"/>
      <c r="AP169" s="150"/>
      <c r="AQ169" s="150"/>
      <c r="AR169" s="150"/>
      <c r="AS169" s="150"/>
      <c r="AT169" s="150"/>
      <c r="AU169" s="150"/>
      <c r="AV169" s="150"/>
      <c r="AW169" s="150"/>
      <c r="AX169" s="150"/>
      <c r="AY169" s="151"/>
      <c r="AZ169" s="151"/>
      <c r="BA169" s="151"/>
      <c r="BB169" s="151"/>
      <c r="BC169" s="151"/>
      <c r="BD169" s="151"/>
      <c r="BE169" s="151"/>
      <c r="BF169" s="151"/>
      <c r="BG169" s="151"/>
      <c r="BH169" s="151"/>
      <c r="BI169" s="151"/>
    </row>
    <row r="170" spans="1:61" x14ac:dyDescent="0.25">
      <c r="A170" s="149"/>
      <c r="B170" s="149"/>
      <c r="C170" s="149"/>
      <c r="D170" s="149"/>
      <c r="E170" s="150"/>
      <c r="F170" s="150"/>
      <c r="G170" s="149"/>
      <c r="H170" s="149"/>
      <c r="I170" s="149"/>
      <c r="J170" s="150"/>
      <c r="K170" s="150"/>
      <c r="L170" s="149"/>
      <c r="M170" s="149"/>
      <c r="N170" s="149"/>
      <c r="O170" s="150"/>
      <c r="P170" s="150"/>
      <c r="Q170" s="149"/>
      <c r="R170" s="149"/>
      <c r="S170" s="149"/>
      <c r="T170" s="150"/>
      <c r="U170" s="150"/>
      <c r="V170" s="150"/>
      <c r="W170" s="150"/>
      <c r="X170" s="150"/>
      <c r="Y170" s="150"/>
      <c r="Z170" s="150"/>
      <c r="AA170" s="150"/>
      <c r="AB170" s="150"/>
      <c r="AC170" s="149"/>
      <c r="AD170" s="149"/>
      <c r="AE170" s="149"/>
      <c r="AF170" s="150"/>
      <c r="AG170" s="150"/>
      <c r="AH170" s="149"/>
      <c r="AI170" s="149"/>
      <c r="AJ170" s="149"/>
      <c r="AK170" s="150"/>
      <c r="AL170" s="150"/>
      <c r="AM170" s="149"/>
      <c r="AN170" s="149"/>
      <c r="AO170" s="149"/>
      <c r="AP170" s="150"/>
      <c r="AQ170" s="150"/>
      <c r="AR170" s="150"/>
      <c r="AS170" s="150"/>
      <c r="AT170" s="150"/>
      <c r="AU170" s="150"/>
      <c r="AV170" s="150"/>
      <c r="AW170" s="150"/>
      <c r="AX170" s="150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</row>
    <row r="171" spans="1:61" x14ac:dyDescent="0.25">
      <c r="A171" s="149"/>
      <c r="B171" s="149"/>
      <c r="C171" s="149"/>
      <c r="D171" s="149"/>
      <c r="E171" s="150"/>
      <c r="F171" s="150"/>
      <c r="G171" s="149"/>
      <c r="H171" s="149"/>
      <c r="I171" s="149"/>
      <c r="J171" s="150"/>
      <c r="K171" s="150"/>
      <c r="L171" s="149"/>
      <c r="M171" s="149"/>
      <c r="N171" s="149"/>
      <c r="O171" s="150"/>
      <c r="P171" s="150"/>
      <c r="Q171" s="149"/>
      <c r="R171" s="149"/>
      <c r="S171" s="149"/>
      <c r="T171" s="150"/>
      <c r="U171" s="150"/>
      <c r="V171" s="150"/>
      <c r="W171" s="150"/>
      <c r="X171" s="150"/>
      <c r="Y171" s="150"/>
      <c r="Z171" s="150"/>
      <c r="AA171" s="150"/>
      <c r="AB171" s="150"/>
      <c r="AC171" s="149"/>
      <c r="AD171" s="149"/>
      <c r="AE171" s="149"/>
      <c r="AF171" s="150"/>
      <c r="AG171" s="150"/>
      <c r="AH171" s="149"/>
      <c r="AI171" s="149"/>
      <c r="AJ171" s="149"/>
      <c r="AK171" s="150"/>
      <c r="AL171" s="150"/>
      <c r="AM171" s="149"/>
      <c r="AN171" s="149"/>
      <c r="AO171" s="149"/>
      <c r="AP171" s="150"/>
      <c r="AQ171" s="150"/>
      <c r="AR171" s="150"/>
      <c r="AS171" s="150"/>
      <c r="AT171" s="150"/>
      <c r="AU171" s="150"/>
      <c r="AV171" s="150"/>
      <c r="AW171" s="150"/>
      <c r="AX171" s="150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</row>
    <row r="172" spans="1:61" x14ac:dyDescent="0.25">
      <c r="A172" s="149"/>
      <c r="B172" s="149"/>
      <c r="C172" s="149"/>
      <c r="D172" s="149"/>
      <c r="E172" s="150"/>
      <c r="F172" s="150"/>
      <c r="G172" s="149"/>
      <c r="H172" s="149"/>
      <c r="I172" s="149"/>
      <c r="J172" s="150"/>
      <c r="K172" s="150"/>
      <c r="L172" s="149"/>
      <c r="M172" s="149"/>
      <c r="N172" s="149"/>
      <c r="O172" s="150"/>
      <c r="P172" s="150"/>
      <c r="Q172" s="149"/>
      <c r="R172" s="149"/>
      <c r="S172" s="149"/>
      <c r="T172" s="150"/>
      <c r="U172" s="150"/>
      <c r="V172" s="150"/>
      <c r="W172" s="150"/>
      <c r="X172" s="150"/>
      <c r="Y172" s="150"/>
      <c r="Z172" s="150"/>
      <c r="AA172" s="150"/>
      <c r="AB172" s="150"/>
      <c r="AC172" s="149"/>
      <c r="AD172" s="149"/>
      <c r="AE172" s="149"/>
      <c r="AF172" s="150"/>
      <c r="AG172" s="150"/>
      <c r="AH172" s="149"/>
      <c r="AI172" s="149"/>
      <c r="AJ172" s="149"/>
      <c r="AK172" s="150"/>
      <c r="AL172" s="150"/>
      <c r="AM172" s="149"/>
      <c r="AN172" s="149"/>
      <c r="AO172" s="149"/>
      <c r="AP172" s="150"/>
      <c r="AQ172" s="150"/>
      <c r="AR172" s="150"/>
      <c r="AS172" s="150"/>
      <c r="AT172" s="150"/>
      <c r="AU172" s="150"/>
      <c r="AV172" s="150"/>
      <c r="AW172" s="150"/>
      <c r="AX172" s="150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</row>
    <row r="173" spans="1:61" x14ac:dyDescent="0.25">
      <c r="A173" s="149"/>
      <c r="B173" s="149"/>
      <c r="C173" s="149"/>
      <c r="D173" s="149"/>
      <c r="E173" s="150"/>
      <c r="F173" s="150"/>
      <c r="G173" s="149"/>
      <c r="H173" s="149"/>
      <c r="I173" s="149"/>
      <c r="J173" s="150"/>
      <c r="K173" s="150"/>
      <c r="L173" s="149"/>
      <c r="M173" s="149"/>
      <c r="N173" s="149"/>
      <c r="O173" s="150"/>
      <c r="P173" s="150"/>
      <c r="Q173" s="149"/>
      <c r="R173" s="149"/>
      <c r="S173" s="149"/>
      <c r="T173" s="150"/>
      <c r="U173" s="150"/>
      <c r="V173" s="150"/>
      <c r="W173" s="150"/>
      <c r="X173" s="150"/>
      <c r="Y173" s="150"/>
      <c r="Z173" s="150"/>
      <c r="AA173" s="150"/>
      <c r="AB173" s="150"/>
      <c r="AC173" s="149"/>
      <c r="AD173" s="149"/>
      <c r="AE173" s="149"/>
      <c r="AF173" s="150"/>
      <c r="AG173" s="150"/>
      <c r="AH173" s="149"/>
      <c r="AI173" s="149"/>
      <c r="AJ173" s="149"/>
      <c r="AK173" s="150"/>
      <c r="AL173" s="150"/>
      <c r="AM173" s="149"/>
      <c r="AN173" s="149"/>
      <c r="AO173" s="149"/>
      <c r="AP173" s="150"/>
      <c r="AQ173" s="150"/>
      <c r="AR173" s="150"/>
      <c r="AS173" s="150"/>
      <c r="AT173" s="150"/>
      <c r="AU173" s="150"/>
      <c r="AV173" s="150"/>
      <c r="AW173" s="150"/>
      <c r="AX173" s="150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</row>
    <row r="174" spans="1:61" x14ac:dyDescent="0.25">
      <c r="A174" s="149"/>
      <c r="B174" s="149"/>
      <c r="C174" s="149"/>
      <c r="D174" s="149"/>
      <c r="E174" s="150"/>
      <c r="F174" s="150"/>
      <c r="G174" s="149"/>
      <c r="H174" s="149"/>
      <c r="I174" s="149"/>
      <c r="J174" s="150"/>
      <c r="K174" s="150"/>
      <c r="L174" s="149"/>
      <c r="M174" s="149"/>
      <c r="N174" s="149"/>
      <c r="O174" s="150"/>
      <c r="P174" s="150"/>
      <c r="Q174" s="149"/>
      <c r="R174" s="149"/>
      <c r="S174" s="149"/>
      <c r="T174" s="150"/>
      <c r="U174" s="150"/>
      <c r="V174" s="150"/>
      <c r="W174" s="150"/>
      <c r="X174" s="150"/>
      <c r="Y174" s="150"/>
      <c r="Z174" s="150"/>
      <c r="AA174" s="150"/>
      <c r="AB174" s="150"/>
      <c r="AC174" s="149"/>
      <c r="AD174" s="149"/>
      <c r="AE174" s="149"/>
      <c r="AF174" s="150"/>
      <c r="AG174" s="150"/>
      <c r="AH174" s="149"/>
      <c r="AI174" s="149"/>
      <c r="AJ174" s="149"/>
      <c r="AK174" s="150"/>
      <c r="AL174" s="150"/>
      <c r="AM174" s="149"/>
      <c r="AN174" s="149"/>
      <c r="AO174" s="149"/>
      <c r="AP174" s="150"/>
      <c r="AQ174" s="150"/>
      <c r="AR174" s="150"/>
      <c r="AS174" s="150"/>
      <c r="AT174" s="150"/>
      <c r="AU174" s="150"/>
      <c r="AV174" s="150"/>
      <c r="AW174" s="150"/>
      <c r="AX174" s="150"/>
      <c r="AY174" s="151"/>
      <c r="AZ174" s="151"/>
      <c r="BA174" s="151"/>
      <c r="BB174" s="151"/>
      <c r="BC174" s="151"/>
      <c r="BD174" s="151"/>
      <c r="BE174" s="151"/>
      <c r="BF174" s="151"/>
      <c r="BG174" s="151"/>
      <c r="BH174" s="151"/>
      <c r="BI174" s="151"/>
    </row>
    <row r="175" spans="1:61" x14ac:dyDescent="0.25">
      <c r="A175" s="149"/>
      <c r="B175" s="149"/>
      <c r="C175" s="149"/>
      <c r="D175" s="149"/>
      <c r="E175" s="150"/>
      <c r="F175" s="150"/>
      <c r="G175" s="149"/>
      <c r="H175" s="149"/>
      <c r="I175" s="149"/>
      <c r="J175" s="150"/>
      <c r="K175" s="150"/>
      <c r="L175" s="149"/>
      <c r="M175" s="149"/>
      <c r="N175" s="149"/>
      <c r="O175" s="150"/>
      <c r="P175" s="150"/>
      <c r="Q175" s="149"/>
      <c r="R175" s="149"/>
      <c r="S175" s="149"/>
      <c r="T175" s="150"/>
      <c r="U175" s="150"/>
      <c r="V175" s="150"/>
      <c r="W175" s="150"/>
      <c r="X175" s="150"/>
      <c r="Y175" s="150"/>
      <c r="Z175" s="150"/>
      <c r="AA175" s="150"/>
      <c r="AB175" s="150"/>
      <c r="AC175" s="149"/>
      <c r="AD175" s="149"/>
      <c r="AE175" s="149"/>
      <c r="AF175" s="150"/>
      <c r="AG175" s="150"/>
      <c r="AH175" s="149"/>
      <c r="AI175" s="149"/>
      <c r="AJ175" s="149"/>
      <c r="AK175" s="150"/>
      <c r="AL175" s="150"/>
      <c r="AM175" s="149"/>
      <c r="AN175" s="149"/>
      <c r="AO175" s="149"/>
      <c r="AP175" s="150"/>
      <c r="AQ175" s="150"/>
      <c r="AR175" s="150"/>
      <c r="AS175" s="150"/>
      <c r="AT175" s="150"/>
      <c r="AU175" s="150"/>
      <c r="AV175" s="150"/>
      <c r="AW175" s="150"/>
      <c r="AX175" s="150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</row>
    <row r="176" spans="1:61" x14ac:dyDescent="0.25">
      <c r="A176" s="149"/>
      <c r="B176" s="149"/>
      <c r="C176" s="149"/>
      <c r="D176" s="149"/>
      <c r="E176" s="150"/>
      <c r="F176" s="150"/>
      <c r="G176" s="149"/>
      <c r="H176" s="149"/>
      <c r="I176" s="149"/>
      <c r="J176" s="150"/>
      <c r="K176" s="150"/>
      <c r="L176" s="149"/>
      <c r="M176" s="149"/>
      <c r="N176" s="149"/>
      <c r="O176" s="150"/>
      <c r="P176" s="150"/>
      <c r="Q176" s="149"/>
      <c r="R176" s="149"/>
      <c r="S176" s="149"/>
      <c r="T176" s="150"/>
      <c r="U176" s="150"/>
      <c r="V176" s="150"/>
      <c r="W176" s="150"/>
      <c r="X176" s="150"/>
      <c r="Y176" s="150"/>
      <c r="Z176" s="150"/>
      <c r="AA176" s="150"/>
      <c r="AB176" s="150"/>
      <c r="AC176" s="149"/>
      <c r="AD176" s="149"/>
      <c r="AE176" s="149"/>
      <c r="AF176" s="150"/>
      <c r="AG176" s="150"/>
      <c r="AH176" s="149"/>
      <c r="AI176" s="149"/>
      <c r="AJ176" s="149"/>
      <c r="AK176" s="150"/>
      <c r="AL176" s="150"/>
      <c r="AM176" s="149"/>
      <c r="AN176" s="149"/>
      <c r="AO176" s="149"/>
      <c r="AP176" s="150"/>
      <c r="AQ176" s="150"/>
      <c r="AR176" s="150"/>
      <c r="AS176" s="150"/>
      <c r="AT176" s="150"/>
      <c r="AU176" s="150"/>
      <c r="AV176" s="150"/>
      <c r="AW176" s="150"/>
      <c r="AX176" s="150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</row>
    <row r="177" spans="1:61" x14ac:dyDescent="0.25">
      <c r="A177" s="149"/>
      <c r="B177" s="149"/>
      <c r="C177" s="149"/>
      <c r="D177" s="149"/>
      <c r="E177" s="150"/>
      <c r="F177" s="150"/>
      <c r="G177" s="149"/>
      <c r="H177" s="149"/>
      <c r="I177" s="149"/>
      <c r="J177" s="150"/>
      <c r="K177" s="150"/>
      <c r="L177" s="149"/>
      <c r="M177" s="149"/>
      <c r="N177" s="149"/>
      <c r="O177" s="150"/>
      <c r="P177" s="150"/>
      <c r="Q177" s="149"/>
      <c r="R177" s="149"/>
      <c r="S177" s="149"/>
      <c r="T177" s="150"/>
      <c r="U177" s="150"/>
      <c r="V177" s="150"/>
      <c r="W177" s="150"/>
      <c r="X177" s="150"/>
      <c r="Y177" s="150"/>
      <c r="Z177" s="150"/>
      <c r="AA177" s="150"/>
      <c r="AB177" s="150"/>
      <c r="AC177" s="149"/>
      <c r="AD177" s="149"/>
      <c r="AE177" s="149"/>
      <c r="AF177" s="150"/>
      <c r="AG177" s="150"/>
      <c r="AH177" s="149"/>
      <c r="AI177" s="149"/>
      <c r="AJ177" s="149"/>
      <c r="AK177" s="150"/>
      <c r="AL177" s="150"/>
      <c r="AM177" s="149"/>
      <c r="AN177" s="149"/>
      <c r="AO177" s="149"/>
      <c r="AP177" s="150"/>
      <c r="AQ177" s="150"/>
      <c r="AR177" s="150"/>
      <c r="AS177" s="150"/>
      <c r="AT177" s="150"/>
      <c r="AU177" s="150"/>
      <c r="AV177" s="150"/>
      <c r="AW177" s="150"/>
      <c r="AX177" s="150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</row>
    <row r="178" spans="1:61" x14ac:dyDescent="0.25">
      <c r="A178" s="149"/>
      <c r="B178" s="149"/>
      <c r="C178" s="149"/>
      <c r="D178" s="149"/>
      <c r="E178" s="150"/>
      <c r="F178" s="150"/>
      <c r="G178" s="149"/>
      <c r="H178" s="149"/>
      <c r="I178" s="149"/>
      <c r="J178" s="150"/>
      <c r="K178" s="150"/>
      <c r="L178" s="149"/>
      <c r="M178" s="149"/>
      <c r="N178" s="149"/>
      <c r="O178" s="150"/>
      <c r="P178" s="150"/>
      <c r="Q178" s="149"/>
      <c r="R178" s="149"/>
      <c r="S178" s="149"/>
      <c r="T178" s="150"/>
      <c r="U178" s="150"/>
      <c r="V178" s="150"/>
      <c r="W178" s="150"/>
      <c r="X178" s="150"/>
      <c r="Y178" s="150"/>
      <c r="Z178" s="150"/>
      <c r="AA178" s="150"/>
      <c r="AB178" s="150"/>
      <c r="AC178" s="149"/>
      <c r="AD178" s="149"/>
      <c r="AE178" s="149"/>
      <c r="AF178" s="150"/>
      <c r="AG178" s="150"/>
      <c r="AH178" s="149"/>
      <c r="AI178" s="149"/>
      <c r="AJ178" s="149"/>
      <c r="AK178" s="150"/>
      <c r="AL178" s="150"/>
      <c r="AM178" s="149"/>
      <c r="AN178" s="149"/>
      <c r="AO178" s="149"/>
      <c r="AP178" s="150"/>
      <c r="AQ178" s="150"/>
      <c r="AR178" s="150"/>
      <c r="AS178" s="150"/>
      <c r="AT178" s="150"/>
      <c r="AU178" s="150"/>
      <c r="AV178" s="150"/>
      <c r="AW178" s="150"/>
      <c r="AX178" s="150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</row>
    <row r="179" spans="1:61" x14ac:dyDescent="0.25">
      <c r="A179" s="149"/>
      <c r="B179" s="149"/>
      <c r="C179" s="149"/>
      <c r="D179" s="149"/>
      <c r="E179" s="150"/>
      <c r="F179" s="150"/>
      <c r="G179" s="149"/>
      <c r="H179" s="149"/>
      <c r="I179" s="149"/>
      <c r="J179" s="150"/>
      <c r="K179" s="150"/>
      <c r="L179" s="149"/>
      <c r="M179" s="149"/>
      <c r="N179" s="149"/>
      <c r="O179" s="150"/>
      <c r="P179" s="150"/>
      <c r="Q179" s="149"/>
      <c r="R179" s="149"/>
      <c r="S179" s="149"/>
      <c r="T179" s="150"/>
      <c r="U179" s="150"/>
      <c r="V179" s="150"/>
      <c r="W179" s="150"/>
      <c r="X179" s="150"/>
      <c r="Y179" s="150"/>
      <c r="Z179" s="150"/>
      <c r="AA179" s="150"/>
      <c r="AB179" s="150"/>
      <c r="AC179" s="149"/>
      <c r="AD179" s="149"/>
      <c r="AE179" s="149"/>
      <c r="AF179" s="150"/>
      <c r="AG179" s="150"/>
      <c r="AH179" s="149"/>
      <c r="AI179" s="149"/>
      <c r="AJ179" s="149"/>
      <c r="AK179" s="150"/>
      <c r="AL179" s="150"/>
      <c r="AM179" s="149"/>
      <c r="AN179" s="149"/>
      <c r="AO179" s="149"/>
      <c r="AP179" s="150"/>
      <c r="AQ179" s="150"/>
      <c r="AR179" s="150"/>
      <c r="AS179" s="150"/>
      <c r="AT179" s="150"/>
      <c r="AU179" s="150"/>
      <c r="AV179" s="150"/>
      <c r="AW179" s="150"/>
      <c r="AX179" s="150"/>
      <c r="AY179" s="151"/>
      <c r="AZ179" s="151"/>
      <c r="BA179" s="151"/>
      <c r="BB179" s="151"/>
      <c r="BC179" s="151"/>
      <c r="BD179" s="151"/>
      <c r="BE179" s="151"/>
      <c r="BF179" s="151"/>
      <c r="BG179" s="151"/>
      <c r="BH179" s="151"/>
      <c r="BI179" s="151"/>
    </row>
    <row r="180" spans="1:61" x14ac:dyDescent="0.25">
      <c r="A180" s="149"/>
      <c r="B180" s="149"/>
      <c r="C180" s="149"/>
      <c r="D180" s="149"/>
      <c r="E180" s="150"/>
      <c r="F180" s="150"/>
      <c r="G180" s="149"/>
      <c r="H180" s="149"/>
      <c r="I180" s="149"/>
      <c r="J180" s="150"/>
      <c r="K180" s="150"/>
      <c r="L180" s="149"/>
      <c r="M180" s="149"/>
      <c r="N180" s="149"/>
      <c r="O180" s="150"/>
      <c r="P180" s="150"/>
      <c r="Q180" s="149"/>
      <c r="R180" s="149"/>
      <c r="S180" s="149"/>
      <c r="T180" s="150"/>
      <c r="U180" s="150"/>
      <c r="V180" s="150"/>
      <c r="W180" s="150"/>
      <c r="X180" s="150"/>
      <c r="Y180" s="150"/>
      <c r="Z180" s="150"/>
      <c r="AA180" s="150"/>
      <c r="AB180" s="150"/>
      <c r="AC180" s="149"/>
      <c r="AD180" s="149"/>
      <c r="AE180" s="149"/>
      <c r="AF180" s="150"/>
      <c r="AG180" s="150"/>
      <c r="AH180" s="149"/>
      <c r="AI180" s="149"/>
      <c r="AJ180" s="149"/>
      <c r="AK180" s="150"/>
      <c r="AL180" s="150"/>
      <c r="AM180" s="149"/>
      <c r="AN180" s="149"/>
      <c r="AO180" s="149"/>
      <c r="AP180" s="150"/>
      <c r="AQ180" s="150"/>
      <c r="AR180" s="150"/>
      <c r="AS180" s="150"/>
      <c r="AT180" s="150"/>
      <c r="AU180" s="150"/>
      <c r="AV180" s="150"/>
      <c r="AW180" s="150"/>
      <c r="AX180" s="150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</row>
    <row r="181" spans="1:61" x14ac:dyDescent="0.25">
      <c r="A181" s="149"/>
      <c r="B181" s="149"/>
      <c r="C181" s="149"/>
      <c r="D181" s="149"/>
      <c r="E181" s="150"/>
      <c r="F181" s="150"/>
      <c r="G181" s="149"/>
      <c r="H181" s="149"/>
      <c r="I181" s="149"/>
      <c r="J181" s="150"/>
      <c r="K181" s="150"/>
      <c r="L181" s="149"/>
      <c r="M181" s="149"/>
      <c r="N181" s="149"/>
      <c r="O181" s="150"/>
      <c r="P181" s="150"/>
      <c r="Q181" s="149"/>
      <c r="R181" s="149"/>
      <c r="S181" s="149"/>
      <c r="T181" s="150"/>
      <c r="U181" s="150"/>
      <c r="V181" s="150"/>
      <c r="W181" s="150"/>
      <c r="X181" s="150"/>
      <c r="Y181" s="150"/>
      <c r="Z181" s="150"/>
      <c r="AA181" s="150"/>
      <c r="AB181" s="150"/>
      <c r="AC181" s="149"/>
      <c r="AD181" s="149"/>
      <c r="AE181" s="149"/>
      <c r="AF181" s="150"/>
      <c r="AG181" s="150"/>
      <c r="AH181" s="149"/>
      <c r="AI181" s="149"/>
      <c r="AJ181" s="149"/>
      <c r="AK181" s="150"/>
      <c r="AL181" s="150"/>
      <c r="AM181" s="149"/>
      <c r="AN181" s="149"/>
      <c r="AO181" s="149"/>
      <c r="AP181" s="150"/>
      <c r="AQ181" s="150"/>
      <c r="AR181" s="150"/>
      <c r="AS181" s="150"/>
      <c r="AT181" s="150"/>
      <c r="AU181" s="150"/>
      <c r="AV181" s="150"/>
      <c r="AW181" s="150"/>
      <c r="AX181" s="150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</row>
    <row r="182" spans="1:61" x14ac:dyDescent="0.25">
      <c r="A182" s="149"/>
      <c r="B182" s="149"/>
      <c r="C182" s="149"/>
      <c r="D182" s="149"/>
      <c r="E182" s="150"/>
      <c r="F182" s="150"/>
      <c r="G182" s="149"/>
      <c r="H182" s="149"/>
      <c r="I182" s="149"/>
      <c r="J182" s="150"/>
      <c r="K182" s="150"/>
      <c r="L182" s="149"/>
      <c r="M182" s="149"/>
      <c r="N182" s="149"/>
      <c r="O182" s="150"/>
      <c r="P182" s="150"/>
      <c r="Q182" s="149"/>
      <c r="R182" s="149"/>
      <c r="S182" s="149"/>
      <c r="T182" s="150"/>
      <c r="U182" s="150"/>
      <c r="V182" s="150"/>
      <c r="W182" s="150"/>
      <c r="X182" s="150"/>
      <c r="Y182" s="150"/>
      <c r="Z182" s="150"/>
      <c r="AA182" s="150"/>
      <c r="AB182" s="150"/>
      <c r="AC182" s="149"/>
      <c r="AD182" s="149"/>
      <c r="AE182" s="149"/>
      <c r="AF182" s="150"/>
      <c r="AG182" s="150"/>
      <c r="AH182" s="149"/>
      <c r="AI182" s="149"/>
      <c r="AJ182" s="149"/>
      <c r="AK182" s="150"/>
      <c r="AL182" s="150"/>
      <c r="AM182" s="149"/>
      <c r="AN182" s="149"/>
      <c r="AO182" s="149"/>
      <c r="AP182" s="150"/>
      <c r="AQ182" s="150"/>
      <c r="AR182" s="150"/>
      <c r="AS182" s="150"/>
      <c r="AT182" s="150"/>
      <c r="AU182" s="150"/>
      <c r="AV182" s="150"/>
      <c r="AW182" s="150"/>
      <c r="AX182" s="150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</row>
    <row r="183" spans="1:61" x14ac:dyDescent="0.25">
      <c r="A183" s="149"/>
      <c r="B183" s="149"/>
      <c r="C183" s="149"/>
      <c r="D183" s="149"/>
      <c r="E183" s="150"/>
      <c r="F183" s="150"/>
      <c r="G183" s="149"/>
      <c r="H183" s="149"/>
      <c r="I183" s="149"/>
      <c r="J183" s="150"/>
      <c r="K183" s="150"/>
      <c r="L183" s="149"/>
      <c r="M183" s="149"/>
      <c r="N183" s="149"/>
      <c r="O183" s="150"/>
      <c r="P183" s="150"/>
      <c r="Q183" s="149"/>
      <c r="R183" s="149"/>
      <c r="S183" s="149"/>
      <c r="T183" s="150"/>
      <c r="U183" s="150"/>
      <c r="V183" s="150"/>
      <c r="W183" s="150"/>
      <c r="X183" s="150"/>
      <c r="Y183" s="150"/>
      <c r="Z183" s="150"/>
      <c r="AA183" s="150"/>
      <c r="AB183" s="150"/>
      <c r="AC183" s="149"/>
      <c r="AD183" s="149"/>
      <c r="AE183" s="149"/>
      <c r="AF183" s="150"/>
      <c r="AG183" s="150"/>
      <c r="AH183" s="149"/>
      <c r="AI183" s="149"/>
      <c r="AJ183" s="149"/>
      <c r="AK183" s="150"/>
      <c r="AL183" s="150"/>
      <c r="AM183" s="149"/>
      <c r="AN183" s="149"/>
      <c r="AO183" s="149"/>
      <c r="AP183" s="150"/>
      <c r="AQ183" s="150"/>
      <c r="AR183" s="150"/>
      <c r="AS183" s="150"/>
      <c r="AT183" s="150"/>
      <c r="AU183" s="150"/>
      <c r="AV183" s="150"/>
      <c r="AW183" s="150"/>
      <c r="AX183" s="150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</row>
    <row r="184" spans="1:61" x14ac:dyDescent="0.25">
      <c r="A184" s="149"/>
      <c r="B184" s="149"/>
      <c r="C184" s="149"/>
      <c r="D184" s="149"/>
      <c r="E184" s="150"/>
      <c r="F184" s="150"/>
      <c r="G184" s="149"/>
      <c r="H184" s="149"/>
      <c r="I184" s="149"/>
      <c r="J184" s="150"/>
      <c r="K184" s="150"/>
      <c r="L184" s="149"/>
      <c r="M184" s="149"/>
      <c r="N184" s="149"/>
      <c r="O184" s="150"/>
      <c r="P184" s="150"/>
      <c r="Q184" s="149"/>
      <c r="R184" s="149"/>
      <c r="S184" s="149"/>
      <c r="T184" s="150"/>
      <c r="U184" s="150"/>
      <c r="V184" s="150"/>
      <c r="W184" s="150"/>
      <c r="X184" s="150"/>
      <c r="Y184" s="150"/>
      <c r="Z184" s="150"/>
      <c r="AA184" s="150"/>
      <c r="AB184" s="150"/>
      <c r="AC184" s="149"/>
      <c r="AD184" s="149"/>
      <c r="AE184" s="149"/>
      <c r="AF184" s="150"/>
      <c r="AG184" s="150"/>
      <c r="AH184" s="149"/>
      <c r="AI184" s="149"/>
      <c r="AJ184" s="149"/>
      <c r="AK184" s="150"/>
      <c r="AL184" s="150"/>
      <c r="AM184" s="149"/>
      <c r="AN184" s="149"/>
      <c r="AO184" s="149"/>
      <c r="AP184" s="150"/>
      <c r="AQ184" s="150"/>
      <c r="AR184" s="150"/>
      <c r="AS184" s="150"/>
      <c r="AT184" s="150"/>
      <c r="AU184" s="150"/>
      <c r="AV184" s="150"/>
      <c r="AW184" s="150"/>
      <c r="AX184" s="150"/>
      <c r="AY184" s="151"/>
      <c r="AZ184" s="151"/>
      <c r="BA184" s="151"/>
      <c r="BB184" s="151"/>
      <c r="BC184" s="151"/>
      <c r="BD184" s="151"/>
      <c r="BE184" s="151"/>
      <c r="BF184" s="151"/>
      <c r="BG184" s="151"/>
      <c r="BH184" s="151"/>
      <c r="BI184" s="151"/>
    </row>
    <row r="185" spans="1:61" x14ac:dyDescent="0.25">
      <c r="A185" s="149"/>
      <c r="B185" s="149"/>
      <c r="C185" s="149"/>
      <c r="D185" s="149"/>
      <c r="E185" s="150"/>
      <c r="F185" s="150"/>
      <c r="G185" s="149"/>
      <c r="H185" s="149"/>
      <c r="I185" s="149"/>
      <c r="J185" s="150"/>
      <c r="K185" s="150"/>
      <c r="L185" s="149"/>
      <c r="M185" s="149"/>
      <c r="N185" s="149"/>
      <c r="O185" s="150"/>
      <c r="P185" s="150"/>
      <c r="Q185" s="149"/>
      <c r="R185" s="149"/>
      <c r="S185" s="149"/>
      <c r="T185" s="150"/>
      <c r="U185" s="150"/>
      <c r="V185" s="150"/>
      <c r="W185" s="150"/>
      <c r="X185" s="150"/>
      <c r="Y185" s="150"/>
      <c r="Z185" s="150"/>
      <c r="AA185" s="150"/>
      <c r="AB185" s="150"/>
      <c r="AC185" s="149"/>
      <c r="AD185" s="149"/>
      <c r="AE185" s="149"/>
      <c r="AF185" s="150"/>
      <c r="AG185" s="150"/>
      <c r="AH185" s="149"/>
      <c r="AI185" s="149"/>
      <c r="AJ185" s="149"/>
      <c r="AK185" s="150"/>
      <c r="AL185" s="150"/>
      <c r="AM185" s="149"/>
      <c r="AN185" s="149"/>
      <c r="AO185" s="149"/>
      <c r="AP185" s="150"/>
      <c r="AQ185" s="150"/>
      <c r="AR185" s="150"/>
      <c r="AS185" s="150"/>
      <c r="AT185" s="150"/>
      <c r="AU185" s="150"/>
      <c r="AV185" s="150"/>
      <c r="AW185" s="150"/>
      <c r="AX185" s="150"/>
      <c r="AY185" s="151"/>
      <c r="AZ185" s="151"/>
      <c r="BA185" s="151"/>
      <c r="BB185" s="151"/>
      <c r="BC185" s="151"/>
      <c r="BD185" s="151"/>
      <c r="BE185" s="151"/>
      <c r="BF185" s="151"/>
      <c r="BG185" s="151"/>
      <c r="BH185" s="151"/>
      <c r="BI185" s="151"/>
    </row>
    <row r="186" spans="1:61" x14ac:dyDescent="0.25">
      <c r="A186" s="149"/>
      <c r="B186" s="149"/>
      <c r="C186" s="149"/>
      <c r="D186" s="149"/>
      <c r="E186" s="150"/>
      <c r="F186" s="150"/>
      <c r="G186" s="149"/>
      <c r="H186" s="149"/>
      <c r="I186" s="149"/>
      <c r="J186" s="150"/>
      <c r="K186" s="150"/>
      <c r="L186" s="149"/>
      <c r="M186" s="149"/>
      <c r="N186" s="149"/>
      <c r="O186" s="150"/>
      <c r="P186" s="150"/>
      <c r="Q186" s="149"/>
      <c r="R186" s="149"/>
      <c r="S186" s="149"/>
      <c r="T186" s="150"/>
      <c r="U186" s="150"/>
      <c r="V186" s="150"/>
      <c r="W186" s="150"/>
      <c r="X186" s="150"/>
      <c r="Y186" s="150"/>
      <c r="Z186" s="150"/>
      <c r="AA186" s="150"/>
      <c r="AB186" s="150"/>
      <c r="AC186" s="149"/>
      <c r="AD186" s="149"/>
      <c r="AE186" s="149"/>
      <c r="AF186" s="150"/>
      <c r="AG186" s="150"/>
      <c r="AH186" s="149"/>
      <c r="AI186" s="149"/>
      <c r="AJ186" s="149"/>
      <c r="AK186" s="150"/>
      <c r="AL186" s="150"/>
      <c r="AM186" s="149"/>
      <c r="AN186" s="149"/>
      <c r="AO186" s="149"/>
      <c r="AP186" s="150"/>
      <c r="AQ186" s="150"/>
      <c r="AR186" s="150"/>
      <c r="AS186" s="150"/>
      <c r="AT186" s="150"/>
      <c r="AU186" s="150"/>
      <c r="AV186" s="150"/>
      <c r="AW186" s="150"/>
      <c r="AX186" s="150"/>
      <c r="AY186" s="151"/>
      <c r="AZ186" s="151"/>
      <c r="BA186" s="151"/>
      <c r="BB186" s="151"/>
      <c r="BC186" s="151"/>
      <c r="BD186" s="151"/>
      <c r="BE186" s="151"/>
      <c r="BF186" s="151"/>
      <c r="BG186" s="151"/>
      <c r="BH186" s="151"/>
      <c r="BI186" s="151"/>
    </row>
    <row r="187" spans="1:61" x14ac:dyDescent="0.25">
      <c r="A187" s="149"/>
      <c r="B187" s="149"/>
      <c r="C187" s="149"/>
      <c r="D187" s="149"/>
      <c r="E187" s="150"/>
      <c r="F187" s="150"/>
      <c r="G187" s="149"/>
      <c r="H187" s="149"/>
      <c r="I187" s="149"/>
      <c r="J187" s="150"/>
      <c r="K187" s="150"/>
      <c r="L187" s="149"/>
      <c r="M187" s="149"/>
      <c r="N187" s="149"/>
      <c r="O187" s="150"/>
      <c r="P187" s="150"/>
      <c r="Q187" s="149"/>
      <c r="R187" s="149"/>
      <c r="S187" s="149"/>
      <c r="T187" s="150"/>
      <c r="U187" s="150"/>
      <c r="V187" s="150"/>
      <c r="W187" s="150"/>
      <c r="X187" s="150"/>
      <c r="Y187" s="150"/>
      <c r="Z187" s="150"/>
      <c r="AA187" s="150"/>
      <c r="AB187" s="150"/>
      <c r="AC187" s="149"/>
      <c r="AD187" s="149"/>
      <c r="AE187" s="149"/>
      <c r="AF187" s="150"/>
      <c r="AG187" s="150"/>
      <c r="AH187" s="149"/>
      <c r="AI187" s="149"/>
      <c r="AJ187" s="149"/>
      <c r="AK187" s="150"/>
      <c r="AL187" s="150"/>
      <c r="AM187" s="149"/>
      <c r="AN187" s="149"/>
      <c r="AO187" s="149"/>
      <c r="AP187" s="150"/>
      <c r="AQ187" s="150"/>
      <c r="AR187" s="150"/>
      <c r="AS187" s="150"/>
      <c r="AT187" s="150"/>
      <c r="AU187" s="150"/>
      <c r="AV187" s="150"/>
      <c r="AW187" s="150"/>
      <c r="AX187" s="150"/>
      <c r="AY187" s="151"/>
      <c r="AZ187" s="151"/>
      <c r="BA187" s="151"/>
      <c r="BB187" s="151"/>
      <c r="BC187" s="151"/>
      <c r="BD187" s="151"/>
      <c r="BE187" s="151"/>
      <c r="BF187" s="151"/>
      <c r="BG187" s="151"/>
      <c r="BH187" s="151"/>
      <c r="BI187" s="151"/>
    </row>
    <row r="188" spans="1:61" x14ac:dyDescent="0.25">
      <c r="A188" s="149"/>
      <c r="B188" s="149"/>
      <c r="C188" s="149"/>
      <c r="D188" s="149"/>
      <c r="E188" s="150"/>
      <c r="F188" s="150"/>
      <c r="G188" s="149"/>
      <c r="H188" s="149"/>
      <c r="I188" s="149"/>
      <c r="J188" s="150"/>
      <c r="K188" s="150"/>
      <c r="L188" s="149"/>
      <c r="M188" s="149"/>
      <c r="N188" s="149"/>
      <c r="O188" s="150"/>
      <c r="P188" s="150"/>
      <c r="Q188" s="149"/>
      <c r="R188" s="149"/>
      <c r="S188" s="149"/>
      <c r="T188" s="150"/>
      <c r="U188" s="150"/>
      <c r="V188" s="150"/>
      <c r="W188" s="150"/>
      <c r="X188" s="150"/>
      <c r="Y188" s="150"/>
      <c r="Z188" s="150"/>
      <c r="AA188" s="150"/>
      <c r="AB188" s="150"/>
      <c r="AC188" s="149"/>
      <c r="AD188" s="149"/>
      <c r="AE188" s="149"/>
      <c r="AF188" s="150"/>
      <c r="AG188" s="150"/>
      <c r="AH188" s="149"/>
      <c r="AI188" s="149"/>
      <c r="AJ188" s="149"/>
      <c r="AK188" s="150"/>
      <c r="AL188" s="150"/>
      <c r="AM188" s="149"/>
      <c r="AN188" s="149"/>
      <c r="AO188" s="149"/>
      <c r="AP188" s="150"/>
      <c r="AQ188" s="150"/>
      <c r="AR188" s="150"/>
      <c r="AS188" s="150"/>
      <c r="AT188" s="150"/>
      <c r="AU188" s="150"/>
      <c r="AV188" s="150"/>
      <c r="AW188" s="150"/>
      <c r="AX188" s="150"/>
      <c r="AY188" s="151"/>
      <c r="AZ188" s="151"/>
      <c r="BA188" s="151"/>
      <c r="BB188" s="151"/>
      <c r="BC188" s="151"/>
      <c r="BD188" s="151"/>
      <c r="BE188" s="151"/>
      <c r="BF188" s="151"/>
      <c r="BG188" s="151"/>
      <c r="BH188" s="151"/>
      <c r="BI188" s="151"/>
    </row>
    <row r="189" spans="1:61" x14ac:dyDescent="0.25">
      <c r="A189" s="149"/>
      <c r="B189" s="149"/>
      <c r="C189" s="149"/>
      <c r="D189" s="149"/>
      <c r="E189" s="150"/>
      <c r="F189" s="150"/>
      <c r="G189" s="149"/>
      <c r="H189" s="149"/>
      <c r="I189" s="149"/>
      <c r="J189" s="150"/>
      <c r="K189" s="150"/>
      <c r="L189" s="149"/>
      <c r="M189" s="149"/>
      <c r="N189" s="149"/>
      <c r="O189" s="150"/>
      <c r="P189" s="150"/>
      <c r="Q189" s="149"/>
      <c r="R189" s="149"/>
      <c r="S189" s="149"/>
      <c r="T189" s="150"/>
      <c r="U189" s="150"/>
      <c r="V189" s="150"/>
      <c r="W189" s="150"/>
      <c r="X189" s="150"/>
      <c r="Y189" s="150"/>
      <c r="Z189" s="150"/>
      <c r="AA189" s="150"/>
      <c r="AB189" s="150"/>
      <c r="AC189" s="149"/>
      <c r="AD189" s="149"/>
      <c r="AE189" s="149"/>
      <c r="AF189" s="150"/>
      <c r="AG189" s="150"/>
      <c r="AH189" s="149"/>
      <c r="AI189" s="149"/>
      <c r="AJ189" s="149"/>
      <c r="AK189" s="150"/>
      <c r="AL189" s="150"/>
      <c r="AM189" s="149"/>
      <c r="AN189" s="149"/>
      <c r="AO189" s="149"/>
      <c r="AP189" s="150"/>
      <c r="AQ189" s="150"/>
      <c r="AR189" s="150"/>
      <c r="AS189" s="150"/>
      <c r="AT189" s="150"/>
      <c r="AU189" s="150"/>
      <c r="AV189" s="150"/>
      <c r="AW189" s="150"/>
      <c r="AX189" s="150"/>
      <c r="AY189" s="151"/>
      <c r="AZ189" s="151"/>
      <c r="BA189" s="151"/>
      <c r="BB189" s="151"/>
      <c r="BC189" s="151"/>
      <c r="BD189" s="151"/>
      <c r="BE189" s="151"/>
      <c r="BF189" s="151"/>
      <c r="BG189" s="151"/>
      <c r="BH189" s="151"/>
      <c r="BI189" s="151"/>
    </row>
    <row r="190" spans="1:61" x14ac:dyDescent="0.25">
      <c r="A190" s="149"/>
      <c r="B190" s="149"/>
      <c r="C190" s="149"/>
      <c r="D190" s="149"/>
      <c r="E190" s="150"/>
      <c r="F190" s="150"/>
      <c r="G190" s="149"/>
      <c r="H190" s="149"/>
      <c r="I190" s="149"/>
      <c r="J190" s="150"/>
      <c r="K190" s="150"/>
      <c r="L190" s="149"/>
      <c r="M190" s="149"/>
      <c r="N190" s="149"/>
      <c r="O190" s="150"/>
      <c r="P190" s="150"/>
      <c r="Q190" s="149"/>
      <c r="R190" s="149"/>
      <c r="S190" s="149"/>
      <c r="T190" s="150"/>
      <c r="U190" s="150"/>
      <c r="V190" s="150"/>
      <c r="W190" s="150"/>
      <c r="X190" s="150"/>
      <c r="Y190" s="150"/>
      <c r="Z190" s="150"/>
      <c r="AA190" s="150"/>
      <c r="AB190" s="150"/>
      <c r="AC190" s="149"/>
      <c r="AD190" s="149"/>
      <c r="AE190" s="149"/>
      <c r="AF190" s="150"/>
      <c r="AG190" s="150"/>
      <c r="AH190" s="149"/>
      <c r="AI190" s="149"/>
      <c r="AJ190" s="149"/>
      <c r="AK190" s="150"/>
      <c r="AL190" s="150"/>
      <c r="AM190" s="149"/>
      <c r="AN190" s="149"/>
      <c r="AO190" s="149"/>
      <c r="AP190" s="150"/>
      <c r="AQ190" s="150"/>
      <c r="AR190" s="150"/>
      <c r="AS190" s="150"/>
      <c r="AT190" s="150"/>
      <c r="AU190" s="150"/>
      <c r="AV190" s="150"/>
      <c r="AW190" s="150"/>
      <c r="AX190" s="150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</row>
    <row r="191" spans="1:61" x14ac:dyDescent="0.25">
      <c r="A191" s="149"/>
      <c r="B191" s="149"/>
      <c r="C191" s="149"/>
      <c r="D191" s="149"/>
      <c r="E191" s="150"/>
      <c r="F191" s="150"/>
      <c r="G191" s="149"/>
      <c r="H191" s="149"/>
      <c r="I191" s="149"/>
      <c r="J191" s="150"/>
      <c r="K191" s="150"/>
      <c r="L191" s="149"/>
      <c r="M191" s="149"/>
      <c r="N191" s="149"/>
      <c r="O191" s="150"/>
      <c r="P191" s="150"/>
      <c r="Q191" s="149"/>
      <c r="R191" s="149"/>
      <c r="S191" s="149"/>
      <c r="T191" s="150"/>
      <c r="U191" s="150"/>
      <c r="V191" s="150"/>
      <c r="W191" s="150"/>
      <c r="X191" s="150"/>
      <c r="Y191" s="150"/>
      <c r="Z191" s="150"/>
      <c r="AA191" s="150"/>
      <c r="AB191" s="150"/>
      <c r="AC191" s="149"/>
      <c r="AD191" s="149"/>
      <c r="AE191" s="149"/>
      <c r="AF191" s="150"/>
      <c r="AG191" s="150"/>
      <c r="AH191" s="149"/>
      <c r="AI191" s="149"/>
      <c r="AJ191" s="149"/>
      <c r="AK191" s="150"/>
      <c r="AL191" s="150"/>
      <c r="AM191" s="149"/>
      <c r="AN191" s="149"/>
      <c r="AO191" s="149"/>
      <c r="AP191" s="150"/>
      <c r="AQ191" s="150"/>
      <c r="AR191" s="150"/>
      <c r="AS191" s="150"/>
      <c r="AT191" s="150"/>
      <c r="AU191" s="150"/>
      <c r="AV191" s="150"/>
      <c r="AW191" s="150"/>
      <c r="AX191" s="150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</row>
    <row r="192" spans="1:61" x14ac:dyDescent="0.25">
      <c r="A192" s="149"/>
      <c r="B192" s="149"/>
      <c r="C192" s="149"/>
      <c r="D192" s="149"/>
      <c r="E192" s="150"/>
      <c r="F192" s="150"/>
      <c r="G192" s="149"/>
      <c r="H192" s="149"/>
      <c r="I192" s="149"/>
      <c r="J192" s="150"/>
      <c r="K192" s="150"/>
      <c r="L192" s="149"/>
      <c r="M192" s="149"/>
      <c r="N192" s="149"/>
      <c r="O192" s="150"/>
      <c r="P192" s="150"/>
      <c r="Q192" s="149"/>
      <c r="R192" s="149"/>
      <c r="S192" s="149"/>
      <c r="T192" s="150"/>
      <c r="U192" s="150"/>
      <c r="V192" s="150"/>
      <c r="W192" s="150"/>
      <c r="X192" s="150"/>
      <c r="Y192" s="150"/>
      <c r="Z192" s="150"/>
      <c r="AA192" s="150"/>
      <c r="AB192" s="150"/>
      <c r="AC192" s="149"/>
      <c r="AD192" s="149"/>
      <c r="AE192" s="149"/>
      <c r="AF192" s="150"/>
      <c r="AG192" s="150"/>
      <c r="AH192" s="149"/>
      <c r="AI192" s="149"/>
      <c r="AJ192" s="149"/>
      <c r="AK192" s="150"/>
      <c r="AL192" s="150"/>
      <c r="AM192" s="149"/>
      <c r="AN192" s="149"/>
      <c r="AO192" s="149"/>
      <c r="AP192" s="150"/>
      <c r="AQ192" s="150"/>
      <c r="AR192" s="150"/>
      <c r="AS192" s="150"/>
      <c r="AT192" s="150"/>
      <c r="AU192" s="150"/>
      <c r="AV192" s="150"/>
      <c r="AW192" s="150"/>
      <c r="AX192" s="150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</row>
    <row r="193" spans="1:61" x14ac:dyDescent="0.25">
      <c r="A193" s="149"/>
      <c r="B193" s="149"/>
      <c r="C193" s="149"/>
      <c r="D193" s="149"/>
      <c r="E193" s="150"/>
      <c r="F193" s="150"/>
      <c r="G193" s="149"/>
      <c r="H193" s="149"/>
      <c r="I193" s="149"/>
      <c r="J193" s="150"/>
      <c r="K193" s="150"/>
      <c r="L193" s="149"/>
      <c r="M193" s="149"/>
      <c r="N193" s="149"/>
      <c r="O193" s="150"/>
      <c r="P193" s="150"/>
      <c r="Q193" s="149"/>
      <c r="R193" s="149"/>
      <c r="S193" s="149"/>
      <c r="T193" s="150"/>
      <c r="U193" s="150"/>
      <c r="V193" s="150"/>
      <c r="W193" s="150"/>
      <c r="X193" s="150"/>
      <c r="Y193" s="150"/>
      <c r="Z193" s="150"/>
      <c r="AA193" s="150"/>
      <c r="AB193" s="150"/>
      <c r="AC193" s="149"/>
      <c r="AD193" s="149"/>
      <c r="AE193" s="149"/>
      <c r="AF193" s="150"/>
      <c r="AG193" s="150"/>
      <c r="AH193" s="149"/>
      <c r="AI193" s="149"/>
      <c r="AJ193" s="149"/>
      <c r="AK193" s="150"/>
      <c r="AL193" s="150"/>
      <c r="AM193" s="149"/>
      <c r="AN193" s="149"/>
      <c r="AO193" s="149"/>
      <c r="AP193" s="150"/>
      <c r="AQ193" s="150"/>
      <c r="AR193" s="150"/>
      <c r="AS193" s="150"/>
      <c r="AT193" s="150"/>
      <c r="AU193" s="150"/>
      <c r="AV193" s="150"/>
      <c r="AW193" s="150"/>
      <c r="AX193" s="150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</row>
    <row r="194" spans="1:61" x14ac:dyDescent="0.25">
      <c r="A194" s="149"/>
      <c r="B194" s="149"/>
      <c r="C194" s="149"/>
      <c r="D194" s="149"/>
      <c r="E194" s="150"/>
      <c r="F194" s="150"/>
      <c r="G194" s="149"/>
      <c r="H194" s="149"/>
      <c r="I194" s="149"/>
      <c r="J194" s="150"/>
      <c r="K194" s="150"/>
      <c r="L194" s="149"/>
      <c r="M194" s="149"/>
      <c r="N194" s="149"/>
      <c r="O194" s="150"/>
      <c r="P194" s="150"/>
      <c r="Q194" s="149"/>
      <c r="R194" s="149"/>
      <c r="S194" s="149"/>
      <c r="T194" s="150"/>
      <c r="U194" s="150"/>
      <c r="V194" s="150"/>
      <c r="W194" s="150"/>
      <c r="X194" s="150"/>
      <c r="Y194" s="150"/>
      <c r="Z194" s="150"/>
      <c r="AA194" s="150"/>
      <c r="AB194" s="150"/>
      <c r="AC194" s="149"/>
      <c r="AD194" s="149"/>
      <c r="AE194" s="149"/>
      <c r="AF194" s="150"/>
      <c r="AG194" s="150"/>
      <c r="AH194" s="149"/>
      <c r="AI194" s="149"/>
      <c r="AJ194" s="149"/>
      <c r="AK194" s="150"/>
      <c r="AL194" s="150"/>
      <c r="AM194" s="149"/>
      <c r="AN194" s="149"/>
      <c r="AO194" s="149"/>
      <c r="AP194" s="150"/>
      <c r="AQ194" s="150"/>
      <c r="AR194" s="150"/>
      <c r="AS194" s="150"/>
      <c r="AT194" s="150"/>
      <c r="AU194" s="150"/>
      <c r="AV194" s="150"/>
      <c r="AW194" s="150"/>
      <c r="AX194" s="150"/>
      <c r="AY194" s="151"/>
      <c r="AZ194" s="151"/>
      <c r="BA194" s="151"/>
      <c r="BB194" s="151"/>
      <c r="BC194" s="151"/>
      <c r="BD194" s="151"/>
      <c r="BE194" s="151"/>
      <c r="BF194" s="151"/>
      <c r="BG194" s="151"/>
      <c r="BH194" s="151"/>
      <c r="BI194" s="151"/>
    </row>
    <row r="195" spans="1:61" x14ac:dyDescent="0.25">
      <c r="A195" s="149"/>
      <c r="B195" s="149"/>
      <c r="C195" s="149"/>
      <c r="D195" s="149"/>
      <c r="E195" s="150"/>
      <c r="F195" s="150"/>
      <c r="G195" s="149"/>
      <c r="H195" s="149"/>
      <c r="I195" s="149"/>
      <c r="J195" s="150"/>
      <c r="K195" s="150"/>
      <c r="L195" s="149"/>
      <c r="M195" s="149"/>
      <c r="N195" s="149"/>
      <c r="O195" s="150"/>
      <c r="P195" s="150"/>
      <c r="Q195" s="149"/>
      <c r="R195" s="149"/>
      <c r="S195" s="149"/>
      <c r="T195" s="150"/>
      <c r="U195" s="150"/>
      <c r="V195" s="150"/>
      <c r="W195" s="150"/>
      <c r="X195" s="150"/>
      <c r="Y195" s="150"/>
      <c r="Z195" s="150"/>
      <c r="AA195" s="150"/>
      <c r="AB195" s="150"/>
      <c r="AC195" s="149"/>
      <c r="AD195" s="149"/>
      <c r="AE195" s="149"/>
      <c r="AF195" s="150"/>
      <c r="AG195" s="150"/>
      <c r="AH195" s="149"/>
      <c r="AI195" s="149"/>
      <c r="AJ195" s="149"/>
      <c r="AK195" s="150"/>
      <c r="AL195" s="150"/>
      <c r="AM195" s="149"/>
      <c r="AN195" s="149"/>
      <c r="AO195" s="149"/>
      <c r="AP195" s="150"/>
      <c r="AQ195" s="150"/>
      <c r="AR195" s="150"/>
      <c r="AS195" s="150"/>
      <c r="AT195" s="150"/>
      <c r="AU195" s="150"/>
      <c r="AV195" s="150"/>
      <c r="AW195" s="150"/>
      <c r="AX195" s="150"/>
      <c r="AY195" s="151"/>
      <c r="AZ195" s="151"/>
      <c r="BA195" s="151"/>
      <c r="BB195" s="151"/>
      <c r="BC195" s="151"/>
      <c r="BD195" s="151"/>
      <c r="BE195" s="151"/>
      <c r="BF195" s="151"/>
      <c r="BG195" s="151"/>
      <c r="BH195" s="151"/>
      <c r="BI195" s="151"/>
    </row>
    <row r="196" spans="1:61" x14ac:dyDescent="0.25">
      <c r="A196" s="149"/>
      <c r="B196" s="149"/>
      <c r="C196" s="149"/>
      <c r="D196" s="149"/>
      <c r="E196" s="150"/>
      <c r="F196" s="150"/>
      <c r="G196" s="149"/>
      <c r="H196" s="149"/>
      <c r="I196" s="149"/>
      <c r="J196" s="150"/>
      <c r="K196" s="150"/>
      <c r="L196" s="149"/>
      <c r="M196" s="149"/>
      <c r="N196" s="149"/>
      <c r="O196" s="150"/>
      <c r="P196" s="150"/>
      <c r="Q196" s="149"/>
      <c r="R196" s="149"/>
      <c r="S196" s="149"/>
      <c r="T196" s="150"/>
      <c r="U196" s="150"/>
      <c r="V196" s="150"/>
      <c r="W196" s="150"/>
      <c r="X196" s="150"/>
      <c r="Y196" s="150"/>
      <c r="Z196" s="150"/>
      <c r="AA196" s="150"/>
      <c r="AB196" s="150"/>
      <c r="AC196" s="149"/>
      <c r="AD196" s="149"/>
      <c r="AE196" s="149"/>
      <c r="AF196" s="150"/>
      <c r="AG196" s="150"/>
      <c r="AH196" s="149"/>
      <c r="AI196" s="149"/>
      <c r="AJ196" s="149"/>
      <c r="AK196" s="150"/>
      <c r="AL196" s="150"/>
      <c r="AM196" s="149"/>
      <c r="AN196" s="149"/>
      <c r="AO196" s="149"/>
      <c r="AP196" s="150"/>
      <c r="AQ196" s="150"/>
      <c r="AR196" s="150"/>
      <c r="AS196" s="150"/>
      <c r="AT196" s="150"/>
      <c r="AU196" s="150"/>
      <c r="AV196" s="150"/>
      <c r="AW196" s="150"/>
      <c r="AX196" s="150"/>
      <c r="AY196" s="151"/>
      <c r="AZ196" s="151"/>
      <c r="BA196" s="151"/>
      <c r="BB196" s="151"/>
      <c r="BC196" s="151"/>
      <c r="BD196" s="151"/>
      <c r="BE196" s="151"/>
      <c r="BF196" s="151"/>
      <c r="BG196" s="151"/>
      <c r="BH196" s="151"/>
      <c r="BI196" s="151"/>
    </row>
    <row r="197" spans="1:61" x14ac:dyDescent="0.25">
      <c r="A197" s="149"/>
      <c r="B197" s="149"/>
      <c r="C197" s="149"/>
      <c r="D197" s="149"/>
      <c r="E197" s="150"/>
      <c r="F197" s="150"/>
      <c r="G197" s="149"/>
      <c r="H197" s="149"/>
      <c r="I197" s="149"/>
      <c r="J197" s="150"/>
      <c r="K197" s="150"/>
      <c r="L197" s="149"/>
      <c r="M197" s="149"/>
      <c r="N197" s="149"/>
      <c r="O197" s="150"/>
      <c r="P197" s="150"/>
      <c r="Q197" s="149"/>
      <c r="R197" s="149"/>
      <c r="S197" s="149"/>
      <c r="T197" s="150"/>
      <c r="U197" s="150"/>
      <c r="V197" s="150"/>
      <c r="W197" s="150"/>
      <c r="X197" s="150"/>
      <c r="Y197" s="150"/>
      <c r="Z197" s="150"/>
      <c r="AA197" s="150"/>
      <c r="AB197" s="150"/>
      <c r="AC197" s="149"/>
      <c r="AD197" s="149"/>
      <c r="AE197" s="149"/>
      <c r="AF197" s="150"/>
      <c r="AG197" s="150"/>
      <c r="AH197" s="149"/>
      <c r="AI197" s="149"/>
      <c r="AJ197" s="149"/>
      <c r="AK197" s="150"/>
      <c r="AL197" s="150"/>
      <c r="AM197" s="149"/>
      <c r="AN197" s="149"/>
      <c r="AO197" s="149"/>
      <c r="AP197" s="150"/>
      <c r="AQ197" s="150"/>
      <c r="AR197" s="150"/>
      <c r="AS197" s="150"/>
      <c r="AT197" s="150"/>
      <c r="AU197" s="150"/>
      <c r="AV197" s="150"/>
      <c r="AW197" s="150"/>
      <c r="AX197" s="150"/>
      <c r="AY197" s="151"/>
      <c r="AZ197" s="151"/>
      <c r="BA197" s="151"/>
      <c r="BB197" s="151"/>
      <c r="BC197" s="151"/>
      <c r="BD197" s="151"/>
      <c r="BE197" s="151"/>
      <c r="BF197" s="151"/>
      <c r="BG197" s="151"/>
      <c r="BH197" s="151"/>
      <c r="BI197" s="151"/>
    </row>
    <row r="198" spans="1:61" x14ac:dyDescent="0.25">
      <c r="A198" s="149"/>
      <c r="B198" s="149"/>
      <c r="C198" s="149"/>
      <c r="D198" s="149"/>
      <c r="E198" s="150"/>
      <c r="F198" s="150"/>
      <c r="G198" s="149"/>
      <c r="H198" s="149"/>
      <c r="I198" s="149"/>
      <c r="J198" s="150"/>
      <c r="K198" s="150"/>
      <c r="L198" s="149"/>
      <c r="M198" s="149"/>
      <c r="N198" s="149"/>
      <c r="O198" s="150"/>
      <c r="P198" s="150"/>
      <c r="Q198" s="149"/>
      <c r="R198" s="149"/>
      <c r="S198" s="149"/>
      <c r="T198" s="150"/>
      <c r="U198" s="150"/>
      <c r="V198" s="150"/>
      <c r="W198" s="150"/>
      <c r="X198" s="150"/>
      <c r="Y198" s="150"/>
      <c r="Z198" s="150"/>
      <c r="AA198" s="150"/>
      <c r="AB198" s="150"/>
      <c r="AC198" s="149"/>
      <c r="AD198" s="149"/>
      <c r="AE198" s="149"/>
      <c r="AF198" s="150"/>
      <c r="AG198" s="150"/>
      <c r="AH198" s="149"/>
      <c r="AI198" s="149"/>
      <c r="AJ198" s="149"/>
      <c r="AK198" s="150"/>
      <c r="AL198" s="150"/>
      <c r="AM198" s="149"/>
      <c r="AN198" s="149"/>
      <c r="AO198" s="149"/>
      <c r="AP198" s="150"/>
      <c r="AQ198" s="150"/>
      <c r="AR198" s="150"/>
      <c r="AS198" s="150"/>
      <c r="AT198" s="150"/>
      <c r="AU198" s="150"/>
      <c r="AV198" s="150"/>
      <c r="AW198" s="150"/>
      <c r="AX198" s="150"/>
      <c r="AY198" s="151"/>
      <c r="AZ198" s="151"/>
      <c r="BA198" s="151"/>
      <c r="BB198" s="151"/>
      <c r="BC198" s="151"/>
      <c r="BD198" s="151"/>
      <c r="BE198" s="151"/>
      <c r="BF198" s="151"/>
      <c r="BG198" s="151"/>
      <c r="BH198" s="151"/>
      <c r="BI198" s="151"/>
    </row>
    <row r="199" spans="1:61" x14ac:dyDescent="0.25">
      <c r="A199" s="149"/>
      <c r="B199" s="149"/>
      <c r="C199" s="149"/>
      <c r="D199" s="149"/>
      <c r="E199" s="150"/>
      <c r="F199" s="150"/>
      <c r="G199" s="149"/>
      <c r="H199" s="149"/>
      <c r="I199" s="149"/>
      <c r="J199" s="150"/>
      <c r="K199" s="150"/>
      <c r="L199" s="149"/>
      <c r="M199" s="149"/>
      <c r="N199" s="149"/>
      <c r="O199" s="150"/>
      <c r="P199" s="150"/>
      <c r="Q199" s="149"/>
      <c r="R199" s="149"/>
      <c r="S199" s="149"/>
      <c r="T199" s="150"/>
      <c r="U199" s="150"/>
      <c r="V199" s="150"/>
      <c r="W199" s="150"/>
      <c r="X199" s="150"/>
      <c r="Y199" s="150"/>
      <c r="Z199" s="150"/>
      <c r="AA199" s="150"/>
      <c r="AB199" s="150"/>
      <c r="AC199" s="149"/>
      <c r="AD199" s="149"/>
      <c r="AE199" s="149"/>
      <c r="AF199" s="150"/>
      <c r="AG199" s="150"/>
      <c r="AH199" s="149"/>
      <c r="AI199" s="149"/>
      <c r="AJ199" s="149"/>
      <c r="AK199" s="150"/>
      <c r="AL199" s="150"/>
      <c r="AM199" s="149"/>
      <c r="AN199" s="149"/>
      <c r="AO199" s="149"/>
      <c r="AP199" s="150"/>
      <c r="AQ199" s="150"/>
      <c r="AR199" s="150"/>
      <c r="AS199" s="150"/>
      <c r="AT199" s="150"/>
      <c r="AU199" s="150"/>
      <c r="AV199" s="150"/>
      <c r="AW199" s="150"/>
      <c r="AX199" s="150"/>
      <c r="AY199" s="151"/>
      <c r="AZ199" s="151"/>
      <c r="BA199" s="151"/>
      <c r="BB199" s="151"/>
      <c r="BC199" s="151"/>
      <c r="BD199" s="151"/>
      <c r="BE199" s="151"/>
      <c r="BF199" s="151"/>
      <c r="BG199" s="151"/>
      <c r="BH199" s="151"/>
      <c r="BI199" s="151"/>
    </row>
    <row r="200" spans="1:61" x14ac:dyDescent="0.25">
      <c r="A200" s="149"/>
      <c r="B200" s="149"/>
      <c r="C200" s="149"/>
      <c r="D200" s="149"/>
      <c r="E200" s="150"/>
      <c r="F200" s="150"/>
      <c r="G200" s="149"/>
      <c r="H200" s="149"/>
      <c r="I200" s="149"/>
      <c r="J200" s="150"/>
      <c r="K200" s="150"/>
      <c r="L200" s="149"/>
      <c r="M200" s="149"/>
      <c r="N200" s="149"/>
      <c r="O200" s="150"/>
      <c r="P200" s="150"/>
      <c r="Q200" s="149"/>
      <c r="R200" s="149"/>
      <c r="S200" s="149"/>
      <c r="T200" s="150"/>
      <c r="U200" s="150"/>
      <c r="V200" s="150"/>
      <c r="W200" s="150"/>
      <c r="X200" s="150"/>
      <c r="Y200" s="150"/>
      <c r="Z200" s="150"/>
      <c r="AA200" s="150"/>
      <c r="AB200" s="150"/>
      <c r="AC200" s="149"/>
      <c r="AD200" s="149"/>
      <c r="AE200" s="149"/>
      <c r="AF200" s="150"/>
      <c r="AG200" s="150"/>
      <c r="AH200" s="149"/>
      <c r="AI200" s="149"/>
      <c r="AJ200" s="149"/>
      <c r="AK200" s="150"/>
      <c r="AL200" s="150"/>
      <c r="AM200" s="149"/>
      <c r="AN200" s="149"/>
      <c r="AO200" s="149"/>
      <c r="AP200" s="150"/>
      <c r="AQ200" s="150"/>
      <c r="AR200" s="150"/>
      <c r="AS200" s="150"/>
      <c r="AT200" s="150"/>
      <c r="AU200" s="150"/>
      <c r="AV200" s="150"/>
      <c r="AW200" s="150"/>
      <c r="AX200" s="150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</row>
    <row r="201" spans="1:61" x14ac:dyDescent="0.25">
      <c r="A201" s="149"/>
      <c r="B201" s="149"/>
      <c r="C201" s="149"/>
      <c r="D201" s="149"/>
      <c r="E201" s="150"/>
      <c r="F201" s="150"/>
      <c r="G201" s="149"/>
      <c r="H201" s="149"/>
      <c r="I201" s="149"/>
      <c r="J201" s="150"/>
      <c r="K201" s="150"/>
      <c r="L201" s="149"/>
      <c r="M201" s="149"/>
      <c r="N201" s="149"/>
      <c r="O201" s="150"/>
      <c r="P201" s="150"/>
      <c r="Q201" s="149"/>
      <c r="R201" s="149"/>
      <c r="S201" s="149"/>
      <c r="T201" s="150"/>
      <c r="U201" s="150"/>
      <c r="V201" s="150"/>
      <c r="W201" s="150"/>
      <c r="X201" s="150"/>
      <c r="Y201" s="150"/>
      <c r="Z201" s="150"/>
      <c r="AA201" s="150"/>
      <c r="AB201" s="150"/>
      <c r="AC201" s="149"/>
      <c r="AD201" s="149"/>
      <c r="AE201" s="149"/>
      <c r="AF201" s="150"/>
      <c r="AG201" s="150"/>
      <c r="AH201" s="149"/>
      <c r="AI201" s="149"/>
      <c r="AJ201" s="149"/>
      <c r="AK201" s="150"/>
      <c r="AL201" s="150"/>
      <c r="AM201" s="149"/>
      <c r="AN201" s="149"/>
      <c r="AO201" s="149"/>
      <c r="AP201" s="150"/>
      <c r="AQ201" s="150"/>
      <c r="AR201" s="150"/>
      <c r="AS201" s="150"/>
      <c r="AT201" s="150"/>
      <c r="AU201" s="150"/>
      <c r="AV201" s="150"/>
      <c r="AW201" s="150"/>
      <c r="AX201" s="150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</row>
    <row r="202" spans="1:61" x14ac:dyDescent="0.25">
      <c r="A202" s="149"/>
      <c r="B202" s="149"/>
      <c r="C202" s="149"/>
      <c r="D202" s="149"/>
      <c r="E202" s="150"/>
      <c r="F202" s="150"/>
      <c r="G202" s="149"/>
      <c r="H202" s="149"/>
      <c r="I202" s="149"/>
      <c r="J202" s="150"/>
      <c r="K202" s="150"/>
      <c r="L202" s="149"/>
      <c r="M202" s="149"/>
      <c r="N202" s="149"/>
      <c r="O202" s="150"/>
      <c r="P202" s="150"/>
      <c r="Q202" s="149"/>
      <c r="R202" s="149"/>
      <c r="S202" s="149"/>
      <c r="T202" s="150"/>
      <c r="U202" s="150"/>
      <c r="V202" s="150"/>
      <c r="W202" s="150"/>
      <c r="X202" s="150"/>
      <c r="Y202" s="150"/>
      <c r="Z202" s="150"/>
      <c r="AA202" s="150"/>
      <c r="AB202" s="150"/>
      <c r="AC202" s="149"/>
      <c r="AD202" s="149"/>
      <c r="AE202" s="149"/>
      <c r="AF202" s="150"/>
      <c r="AG202" s="150"/>
      <c r="AH202" s="149"/>
      <c r="AI202" s="149"/>
      <c r="AJ202" s="149"/>
      <c r="AK202" s="150"/>
      <c r="AL202" s="150"/>
      <c r="AM202" s="149"/>
      <c r="AN202" s="149"/>
      <c r="AO202" s="149"/>
      <c r="AP202" s="150"/>
      <c r="AQ202" s="150"/>
      <c r="AR202" s="150"/>
      <c r="AS202" s="150"/>
      <c r="AT202" s="150"/>
      <c r="AU202" s="150"/>
      <c r="AV202" s="150"/>
      <c r="AW202" s="150"/>
      <c r="AX202" s="150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</row>
    <row r="203" spans="1:61" x14ac:dyDescent="0.25">
      <c r="A203" s="149"/>
      <c r="B203" s="149"/>
      <c r="C203" s="149"/>
      <c r="D203" s="149"/>
      <c r="E203" s="150"/>
      <c r="F203" s="150"/>
      <c r="G203" s="149"/>
      <c r="H203" s="149"/>
      <c r="I203" s="149"/>
      <c r="J203" s="150"/>
      <c r="K203" s="150"/>
      <c r="L203" s="149"/>
      <c r="M203" s="149"/>
      <c r="N203" s="149"/>
      <c r="O203" s="150"/>
      <c r="P203" s="150"/>
      <c r="Q203" s="149"/>
      <c r="R203" s="149"/>
      <c r="S203" s="149"/>
      <c r="T203" s="150"/>
      <c r="U203" s="150"/>
      <c r="V203" s="150"/>
      <c r="W203" s="150"/>
      <c r="X203" s="150"/>
      <c r="Y203" s="150"/>
      <c r="Z203" s="150"/>
      <c r="AA203" s="150"/>
      <c r="AB203" s="150"/>
      <c r="AC203" s="149"/>
      <c r="AD203" s="149"/>
      <c r="AE203" s="149"/>
      <c r="AF203" s="150"/>
      <c r="AG203" s="150"/>
      <c r="AH203" s="149"/>
      <c r="AI203" s="149"/>
      <c r="AJ203" s="149"/>
      <c r="AK203" s="150"/>
      <c r="AL203" s="150"/>
      <c r="AM203" s="149"/>
      <c r="AN203" s="149"/>
      <c r="AO203" s="149"/>
      <c r="AP203" s="150"/>
      <c r="AQ203" s="150"/>
      <c r="AR203" s="150"/>
      <c r="AS203" s="150"/>
      <c r="AT203" s="150"/>
      <c r="AU203" s="150"/>
      <c r="AV203" s="150"/>
      <c r="AW203" s="150"/>
      <c r="AX203" s="150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</row>
    <row r="204" spans="1:61" x14ac:dyDescent="0.25">
      <c r="A204" s="149"/>
      <c r="B204" s="149"/>
      <c r="C204" s="149"/>
      <c r="D204" s="149"/>
      <c r="E204" s="150"/>
      <c r="F204" s="150"/>
      <c r="G204" s="149"/>
      <c r="H204" s="149"/>
      <c r="I204" s="149"/>
      <c r="J204" s="150"/>
      <c r="K204" s="150"/>
      <c r="L204" s="149"/>
      <c r="M204" s="149"/>
      <c r="N204" s="149"/>
      <c r="O204" s="150"/>
      <c r="P204" s="150"/>
      <c r="Q204" s="149"/>
      <c r="R204" s="149"/>
      <c r="S204" s="149"/>
      <c r="T204" s="150"/>
      <c r="U204" s="150"/>
      <c r="V204" s="150"/>
      <c r="W204" s="150"/>
      <c r="X204" s="150"/>
      <c r="Y204" s="150"/>
      <c r="Z204" s="150"/>
      <c r="AA204" s="150"/>
      <c r="AB204" s="150"/>
      <c r="AC204" s="149"/>
      <c r="AD204" s="149"/>
      <c r="AE204" s="149"/>
      <c r="AF204" s="150"/>
      <c r="AG204" s="150"/>
      <c r="AH204" s="149"/>
      <c r="AI204" s="149"/>
      <c r="AJ204" s="149"/>
      <c r="AK204" s="150"/>
      <c r="AL204" s="150"/>
      <c r="AM204" s="149"/>
      <c r="AN204" s="149"/>
      <c r="AO204" s="149"/>
      <c r="AP204" s="150"/>
      <c r="AQ204" s="150"/>
      <c r="AR204" s="150"/>
      <c r="AS204" s="150"/>
      <c r="AT204" s="150"/>
      <c r="AU204" s="150"/>
      <c r="AV204" s="150"/>
      <c r="AW204" s="150"/>
      <c r="AX204" s="150"/>
      <c r="AY204" s="151"/>
      <c r="AZ204" s="151"/>
      <c r="BA204" s="151"/>
      <c r="BB204" s="151"/>
      <c r="BC204" s="151"/>
      <c r="BD204" s="151"/>
      <c r="BE204" s="151"/>
      <c r="BF204" s="151"/>
      <c r="BG204" s="151"/>
      <c r="BH204" s="151"/>
      <c r="BI204" s="151"/>
    </row>
    <row r="205" spans="1:61" x14ac:dyDescent="0.25">
      <c r="A205" s="149"/>
      <c r="B205" s="149"/>
      <c r="C205" s="149"/>
      <c r="D205" s="149"/>
      <c r="E205" s="150"/>
      <c r="F205" s="150"/>
      <c r="G205" s="149"/>
      <c r="H205" s="149"/>
      <c r="I205" s="149"/>
      <c r="J205" s="150"/>
      <c r="K205" s="150"/>
      <c r="L205" s="149"/>
      <c r="M205" s="149"/>
      <c r="N205" s="149"/>
      <c r="O205" s="150"/>
      <c r="P205" s="150"/>
      <c r="Q205" s="149"/>
      <c r="R205" s="149"/>
      <c r="S205" s="149"/>
      <c r="T205" s="150"/>
      <c r="U205" s="150"/>
      <c r="V205" s="150"/>
      <c r="W205" s="150"/>
      <c r="X205" s="150"/>
      <c r="Y205" s="150"/>
      <c r="Z205" s="150"/>
      <c r="AA205" s="150"/>
      <c r="AB205" s="150"/>
      <c r="AC205" s="149"/>
      <c r="AD205" s="149"/>
      <c r="AE205" s="149"/>
      <c r="AF205" s="150"/>
      <c r="AG205" s="150"/>
      <c r="AH205" s="149"/>
      <c r="AI205" s="149"/>
      <c r="AJ205" s="149"/>
      <c r="AK205" s="150"/>
      <c r="AL205" s="150"/>
      <c r="AM205" s="149"/>
      <c r="AN205" s="149"/>
      <c r="AO205" s="149"/>
      <c r="AP205" s="150"/>
      <c r="AQ205" s="150"/>
      <c r="AR205" s="150"/>
      <c r="AS205" s="150"/>
      <c r="AT205" s="150"/>
      <c r="AU205" s="150"/>
      <c r="AV205" s="150"/>
      <c r="AW205" s="150"/>
      <c r="AX205" s="150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</row>
    <row r="206" spans="1:61" x14ac:dyDescent="0.25">
      <c r="A206" s="149"/>
      <c r="B206" s="149"/>
      <c r="C206" s="149"/>
      <c r="D206" s="149"/>
      <c r="E206" s="150"/>
      <c r="F206" s="150"/>
      <c r="G206" s="149"/>
      <c r="H206" s="149"/>
      <c r="I206" s="149"/>
      <c r="J206" s="150"/>
      <c r="K206" s="150"/>
      <c r="L206" s="149"/>
      <c r="M206" s="149"/>
      <c r="N206" s="149"/>
      <c r="O206" s="150"/>
      <c r="P206" s="150"/>
      <c r="Q206" s="149"/>
      <c r="R206" s="149"/>
      <c r="S206" s="149"/>
      <c r="T206" s="150"/>
      <c r="U206" s="150"/>
      <c r="V206" s="150"/>
      <c r="W206" s="150"/>
      <c r="X206" s="150"/>
      <c r="Y206" s="150"/>
      <c r="Z206" s="150"/>
      <c r="AA206" s="150"/>
      <c r="AB206" s="150"/>
      <c r="AC206" s="149"/>
      <c r="AD206" s="149"/>
      <c r="AE206" s="149"/>
      <c r="AF206" s="150"/>
      <c r="AG206" s="150"/>
      <c r="AH206" s="149"/>
      <c r="AI206" s="149"/>
      <c r="AJ206" s="149"/>
      <c r="AK206" s="150"/>
      <c r="AL206" s="150"/>
      <c r="AM206" s="149"/>
      <c r="AN206" s="149"/>
      <c r="AO206" s="149"/>
      <c r="AP206" s="150"/>
      <c r="AQ206" s="150"/>
      <c r="AR206" s="150"/>
      <c r="AS206" s="150"/>
      <c r="AT206" s="150"/>
      <c r="AU206" s="150"/>
      <c r="AV206" s="150"/>
      <c r="AW206" s="150"/>
      <c r="AX206" s="150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</row>
    <row r="207" spans="1:61" x14ac:dyDescent="0.25">
      <c r="A207" s="149"/>
      <c r="B207" s="149"/>
      <c r="C207" s="149"/>
      <c r="D207" s="149"/>
      <c r="E207" s="150"/>
      <c r="F207" s="150"/>
      <c r="G207" s="149"/>
      <c r="H207" s="149"/>
      <c r="I207" s="149"/>
      <c r="J207" s="150"/>
      <c r="K207" s="150"/>
      <c r="L207" s="149"/>
      <c r="M207" s="149"/>
      <c r="N207" s="149"/>
      <c r="O207" s="150"/>
      <c r="P207" s="150"/>
      <c r="Q207" s="149"/>
      <c r="R207" s="149"/>
      <c r="S207" s="149"/>
      <c r="T207" s="150"/>
      <c r="U207" s="150"/>
      <c r="V207" s="150"/>
      <c r="W207" s="150"/>
      <c r="X207" s="150"/>
      <c r="Y207" s="150"/>
      <c r="Z207" s="150"/>
      <c r="AA207" s="150"/>
      <c r="AB207" s="150"/>
      <c r="AC207" s="149"/>
      <c r="AD207" s="149"/>
      <c r="AE207" s="149"/>
      <c r="AF207" s="150"/>
      <c r="AG207" s="150"/>
      <c r="AH207" s="149"/>
      <c r="AI207" s="149"/>
      <c r="AJ207" s="149"/>
      <c r="AK207" s="150"/>
      <c r="AL207" s="150"/>
      <c r="AM207" s="149"/>
      <c r="AN207" s="149"/>
      <c r="AO207" s="149"/>
      <c r="AP207" s="150"/>
      <c r="AQ207" s="150"/>
      <c r="AR207" s="150"/>
      <c r="AS207" s="150"/>
      <c r="AT207" s="150"/>
      <c r="AU207" s="150"/>
      <c r="AV207" s="150"/>
      <c r="AW207" s="150"/>
      <c r="AX207" s="150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</row>
    <row r="208" spans="1:61" x14ac:dyDescent="0.25">
      <c r="A208" s="149"/>
      <c r="B208" s="149"/>
      <c r="C208" s="149"/>
      <c r="D208" s="149"/>
      <c r="E208" s="150"/>
      <c r="F208" s="150"/>
      <c r="G208" s="149"/>
      <c r="H208" s="149"/>
      <c r="I208" s="149"/>
      <c r="J208" s="150"/>
      <c r="K208" s="150"/>
      <c r="L208" s="149"/>
      <c r="M208" s="149"/>
      <c r="N208" s="149"/>
      <c r="O208" s="150"/>
      <c r="P208" s="150"/>
      <c r="Q208" s="149"/>
      <c r="R208" s="149"/>
      <c r="S208" s="149"/>
      <c r="T208" s="150"/>
      <c r="U208" s="150"/>
      <c r="V208" s="150"/>
      <c r="W208" s="150"/>
      <c r="X208" s="150"/>
      <c r="Y208" s="150"/>
      <c r="Z208" s="150"/>
      <c r="AA208" s="150"/>
      <c r="AB208" s="150"/>
      <c r="AC208" s="149"/>
      <c r="AD208" s="149"/>
      <c r="AE208" s="149"/>
      <c r="AF208" s="150"/>
      <c r="AG208" s="150"/>
      <c r="AH208" s="149"/>
      <c r="AI208" s="149"/>
      <c r="AJ208" s="149"/>
      <c r="AK208" s="150"/>
      <c r="AL208" s="150"/>
      <c r="AM208" s="149"/>
      <c r="AN208" s="149"/>
      <c r="AO208" s="149"/>
      <c r="AP208" s="150"/>
      <c r="AQ208" s="150"/>
      <c r="AR208" s="150"/>
      <c r="AS208" s="150"/>
      <c r="AT208" s="150"/>
      <c r="AU208" s="150"/>
      <c r="AV208" s="150"/>
      <c r="AW208" s="150"/>
      <c r="AX208" s="150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</row>
    <row r="209" spans="1:61" x14ac:dyDescent="0.25">
      <c r="A209" s="149"/>
      <c r="B209" s="149"/>
      <c r="C209" s="149"/>
      <c r="D209" s="149"/>
      <c r="E209" s="150"/>
      <c r="F209" s="150"/>
      <c r="G209" s="149"/>
      <c r="H209" s="149"/>
      <c r="I209" s="149"/>
      <c r="J209" s="150"/>
      <c r="K209" s="150"/>
      <c r="L209" s="149"/>
      <c r="M209" s="149"/>
      <c r="N209" s="149"/>
      <c r="O209" s="150"/>
      <c r="P209" s="150"/>
      <c r="Q209" s="149"/>
      <c r="R209" s="149"/>
      <c r="S209" s="149"/>
      <c r="T209" s="150"/>
      <c r="U209" s="150"/>
      <c r="V209" s="150"/>
      <c r="W209" s="150"/>
      <c r="X209" s="150"/>
      <c r="Y209" s="150"/>
      <c r="Z209" s="150"/>
      <c r="AA209" s="150"/>
      <c r="AB209" s="150"/>
      <c r="AC209" s="149"/>
      <c r="AD209" s="149"/>
      <c r="AE209" s="149"/>
      <c r="AF209" s="150"/>
      <c r="AG209" s="150"/>
      <c r="AH209" s="149"/>
      <c r="AI209" s="149"/>
      <c r="AJ209" s="149"/>
      <c r="AK209" s="150"/>
      <c r="AL209" s="150"/>
      <c r="AM209" s="149"/>
      <c r="AN209" s="149"/>
      <c r="AO209" s="149"/>
      <c r="AP209" s="150"/>
      <c r="AQ209" s="150"/>
      <c r="AR209" s="150"/>
      <c r="AS209" s="150"/>
      <c r="AT209" s="150"/>
      <c r="AU209" s="150"/>
      <c r="AV209" s="150"/>
      <c r="AW209" s="150"/>
      <c r="AX209" s="150"/>
      <c r="AY209" s="151"/>
      <c r="AZ209" s="151"/>
      <c r="BA209" s="151"/>
      <c r="BB209" s="151"/>
      <c r="BC209" s="151"/>
      <c r="BD209" s="151"/>
      <c r="BE209" s="151"/>
      <c r="BF209" s="151"/>
      <c r="BG209" s="151"/>
      <c r="BH209" s="151"/>
      <c r="BI209" s="151"/>
    </row>
    <row r="210" spans="1:61" x14ac:dyDescent="0.25">
      <c r="A210" s="149"/>
      <c r="B210" s="149"/>
      <c r="C210" s="149"/>
      <c r="D210" s="149"/>
      <c r="E210" s="150"/>
      <c r="F210" s="150"/>
      <c r="G210" s="149"/>
      <c r="H210" s="149"/>
      <c r="I210" s="149"/>
      <c r="J210" s="150"/>
      <c r="K210" s="150"/>
      <c r="L210" s="149"/>
      <c r="M210" s="149"/>
      <c r="N210" s="149"/>
      <c r="O210" s="150"/>
      <c r="P210" s="150"/>
      <c r="Q210" s="149"/>
      <c r="R210" s="149"/>
      <c r="S210" s="149"/>
      <c r="T210" s="150"/>
      <c r="U210" s="150"/>
      <c r="V210" s="150"/>
      <c r="W210" s="150"/>
      <c r="X210" s="150"/>
      <c r="Y210" s="150"/>
      <c r="Z210" s="150"/>
      <c r="AA210" s="150"/>
      <c r="AB210" s="150"/>
      <c r="AC210" s="149"/>
      <c r="AD210" s="149"/>
      <c r="AE210" s="149"/>
      <c r="AF210" s="150"/>
      <c r="AG210" s="150"/>
      <c r="AH210" s="149"/>
      <c r="AI210" s="149"/>
      <c r="AJ210" s="149"/>
      <c r="AK210" s="150"/>
      <c r="AL210" s="150"/>
      <c r="AM210" s="149"/>
      <c r="AN210" s="149"/>
      <c r="AO210" s="149"/>
      <c r="AP210" s="150"/>
      <c r="AQ210" s="150"/>
      <c r="AR210" s="150"/>
      <c r="AS210" s="150"/>
      <c r="AT210" s="150"/>
      <c r="AU210" s="150"/>
      <c r="AV210" s="150"/>
      <c r="AW210" s="150"/>
      <c r="AX210" s="150"/>
      <c r="AY210" s="151"/>
      <c r="AZ210" s="151"/>
      <c r="BA210" s="151"/>
      <c r="BB210" s="151"/>
      <c r="BC210" s="151"/>
      <c r="BD210" s="151"/>
      <c r="BE210" s="151"/>
      <c r="BF210" s="151"/>
      <c r="BG210" s="151"/>
      <c r="BH210" s="151"/>
      <c r="BI210" s="151"/>
    </row>
    <row r="211" spans="1:61" x14ac:dyDescent="0.25">
      <c r="A211" s="149"/>
      <c r="B211" s="149"/>
      <c r="C211" s="149"/>
      <c r="D211" s="149"/>
      <c r="E211" s="150"/>
      <c r="F211" s="150"/>
      <c r="G211" s="149"/>
      <c r="H211" s="149"/>
      <c r="I211" s="149"/>
      <c r="J211" s="150"/>
      <c r="K211" s="150"/>
      <c r="L211" s="149"/>
      <c r="M211" s="149"/>
      <c r="N211" s="149"/>
      <c r="O211" s="150"/>
      <c r="P211" s="150"/>
      <c r="Q211" s="149"/>
      <c r="R211" s="149"/>
      <c r="S211" s="149"/>
      <c r="T211" s="150"/>
      <c r="U211" s="150"/>
      <c r="V211" s="150"/>
      <c r="W211" s="150"/>
      <c r="X211" s="150"/>
      <c r="Y211" s="150"/>
      <c r="Z211" s="150"/>
      <c r="AA211" s="150"/>
      <c r="AB211" s="150"/>
      <c r="AC211" s="149"/>
      <c r="AD211" s="149"/>
      <c r="AE211" s="149"/>
      <c r="AF211" s="150"/>
      <c r="AG211" s="150"/>
      <c r="AH211" s="149"/>
      <c r="AI211" s="149"/>
      <c r="AJ211" s="149"/>
      <c r="AK211" s="150"/>
      <c r="AL211" s="150"/>
      <c r="AM211" s="149"/>
      <c r="AN211" s="149"/>
      <c r="AO211" s="149"/>
      <c r="AP211" s="150"/>
      <c r="AQ211" s="150"/>
      <c r="AR211" s="150"/>
      <c r="AS211" s="150"/>
      <c r="AT211" s="150"/>
      <c r="AU211" s="150"/>
      <c r="AV211" s="150"/>
      <c r="AW211" s="150"/>
      <c r="AX211" s="150"/>
      <c r="AY211" s="151"/>
      <c r="AZ211" s="151"/>
      <c r="BA211" s="151"/>
      <c r="BB211" s="151"/>
      <c r="BC211" s="151"/>
      <c r="BD211" s="151"/>
      <c r="BE211" s="151"/>
      <c r="BF211" s="151"/>
      <c r="BG211" s="151"/>
      <c r="BH211" s="151"/>
      <c r="BI211" s="151"/>
    </row>
    <row r="212" spans="1:61" x14ac:dyDescent="0.25">
      <c r="A212" s="149"/>
      <c r="B212" s="149"/>
      <c r="C212" s="149"/>
      <c r="D212" s="149"/>
      <c r="E212" s="150"/>
      <c r="F212" s="150"/>
      <c r="G212" s="149"/>
      <c r="H212" s="149"/>
      <c r="I212" s="149"/>
      <c r="J212" s="150"/>
      <c r="K212" s="150"/>
      <c r="L212" s="149"/>
      <c r="M212" s="149"/>
      <c r="N212" s="149"/>
      <c r="O212" s="150"/>
      <c r="P212" s="150"/>
      <c r="Q212" s="149"/>
      <c r="R212" s="149"/>
      <c r="S212" s="149"/>
      <c r="T212" s="150"/>
      <c r="U212" s="150"/>
      <c r="V212" s="150"/>
      <c r="W212" s="150"/>
      <c r="X212" s="150"/>
      <c r="Y212" s="150"/>
      <c r="Z212" s="150"/>
      <c r="AA212" s="150"/>
      <c r="AB212" s="150"/>
      <c r="AC212" s="149"/>
      <c r="AD212" s="149"/>
      <c r="AE212" s="149"/>
      <c r="AF212" s="150"/>
      <c r="AG212" s="150"/>
      <c r="AH212" s="149"/>
      <c r="AI212" s="149"/>
      <c r="AJ212" s="149"/>
      <c r="AK212" s="150"/>
      <c r="AL212" s="150"/>
      <c r="AM212" s="149"/>
      <c r="AN212" s="149"/>
      <c r="AO212" s="149"/>
      <c r="AP212" s="150"/>
      <c r="AQ212" s="150"/>
      <c r="AR212" s="150"/>
      <c r="AS212" s="150"/>
      <c r="AT212" s="150"/>
      <c r="AU212" s="150"/>
      <c r="AV212" s="150"/>
      <c r="AW212" s="150"/>
      <c r="AX212" s="150"/>
      <c r="AY212" s="151"/>
      <c r="AZ212" s="151"/>
      <c r="BA212" s="151"/>
      <c r="BB212" s="151"/>
      <c r="BC212" s="151"/>
      <c r="BD212" s="151"/>
      <c r="BE212" s="151"/>
      <c r="BF212" s="151"/>
      <c r="BG212" s="151"/>
      <c r="BH212" s="151"/>
      <c r="BI212" s="151"/>
    </row>
    <row r="213" spans="1:61" x14ac:dyDescent="0.25">
      <c r="A213" s="149"/>
      <c r="B213" s="149"/>
      <c r="C213" s="149"/>
      <c r="D213" s="149"/>
      <c r="E213" s="150"/>
      <c r="F213" s="150"/>
      <c r="G213" s="149"/>
      <c r="H213" s="149"/>
      <c r="I213" s="149"/>
      <c r="J213" s="150"/>
      <c r="K213" s="150"/>
      <c r="L213" s="149"/>
      <c r="M213" s="149"/>
      <c r="N213" s="149"/>
      <c r="O213" s="150"/>
      <c r="P213" s="150"/>
      <c r="Q213" s="149"/>
      <c r="R213" s="149"/>
      <c r="S213" s="149"/>
      <c r="T213" s="150"/>
      <c r="U213" s="150"/>
      <c r="V213" s="150"/>
      <c r="W213" s="150"/>
      <c r="X213" s="150"/>
      <c r="Y213" s="150"/>
      <c r="Z213" s="150"/>
      <c r="AA213" s="150"/>
      <c r="AB213" s="150"/>
      <c r="AC213" s="149"/>
      <c r="AD213" s="149"/>
      <c r="AE213" s="149"/>
      <c r="AF213" s="150"/>
      <c r="AG213" s="150"/>
      <c r="AH213" s="149"/>
      <c r="AI213" s="149"/>
      <c r="AJ213" s="149"/>
      <c r="AK213" s="150"/>
      <c r="AL213" s="150"/>
      <c r="AM213" s="149"/>
      <c r="AN213" s="149"/>
      <c r="AO213" s="149"/>
      <c r="AP213" s="150"/>
      <c r="AQ213" s="150"/>
      <c r="AR213" s="150"/>
      <c r="AS213" s="150"/>
      <c r="AT213" s="150"/>
      <c r="AU213" s="150"/>
      <c r="AV213" s="150"/>
      <c r="AW213" s="150"/>
      <c r="AX213" s="150"/>
      <c r="AY213" s="151"/>
      <c r="AZ213" s="151"/>
      <c r="BA213" s="151"/>
      <c r="BB213" s="151"/>
      <c r="BC213" s="151"/>
      <c r="BD213" s="151"/>
      <c r="BE213" s="151"/>
      <c r="BF213" s="151"/>
      <c r="BG213" s="151"/>
      <c r="BH213" s="151"/>
      <c r="BI213" s="151"/>
    </row>
    <row r="214" spans="1:61" x14ac:dyDescent="0.25">
      <c r="A214" s="149"/>
      <c r="B214" s="149"/>
      <c r="C214" s="149"/>
      <c r="D214" s="149"/>
      <c r="E214" s="150"/>
      <c r="F214" s="150"/>
      <c r="G214" s="149"/>
      <c r="H214" s="149"/>
      <c r="I214" s="149"/>
      <c r="J214" s="150"/>
      <c r="K214" s="150"/>
      <c r="L214" s="149"/>
      <c r="M214" s="149"/>
      <c r="N214" s="149"/>
      <c r="O214" s="150"/>
      <c r="P214" s="150"/>
      <c r="Q214" s="149"/>
      <c r="R214" s="149"/>
      <c r="S214" s="149"/>
      <c r="T214" s="150"/>
      <c r="U214" s="150"/>
      <c r="V214" s="150"/>
      <c r="W214" s="150"/>
      <c r="X214" s="150"/>
      <c r="Y214" s="150"/>
      <c r="Z214" s="150"/>
      <c r="AA214" s="150"/>
      <c r="AB214" s="150"/>
      <c r="AC214" s="149"/>
      <c r="AD214" s="149"/>
      <c r="AE214" s="149"/>
      <c r="AF214" s="150"/>
      <c r="AG214" s="150"/>
      <c r="AH214" s="149"/>
      <c r="AI214" s="149"/>
      <c r="AJ214" s="149"/>
      <c r="AK214" s="150"/>
      <c r="AL214" s="150"/>
      <c r="AM214" s="149"/>
      <c r="AN214" s="149"/>
      <c r="AO214" s="149"/>
      <c r="AP214" s="150"/>
      <c r="AQ214" s="150"/>
      <c r="AR214" s="150"/>
      <c r="AS214" s="150"/>
      <c r="AT214" s="150"/>
      <c r="AU214" s="150"/>
      <c r="AV214" s="150"/>
      <c r="AW214" s="150"/>
      <c r="AX214" s="150"/>
      <c r="AY214" s="151"/>
      <c r="AZ214" s="151"/>
      <c r="BA214" s="151"/>
      <c r="BB214" s="151"/>
      <c r="BC214" s="151"/>
      <c r="BD214" s="151"/>
      <c r="BE214" s="151"/>
      <c r="BF214" s="151"/>
      <c r="BG214" s="151"/>
      <c r="BH214" s="151"/>
      <c r="BI214" s="151"/>
    </row>
    <row r="215" spans="1:61" x14ac:dyDescent="0.25">
      <c r="A215" s="149"/>
      <c r="B215" s="149"/>
      <c r="C215" s="149"/>
      <c r="D215" s="149"/>
      <c r="E215" s="150"/>
      <c r="F215" s="150"/>
      <c r="G215" s="149"/>
      <c r="H215" s="149"/>
      <c r="I215" s="149"/>
      <c r="J215" s="150"/>
      <c r="K215" s="150"/>
      <c r="L215" s="149"/>
      <c r="M215" s="149"/>
      <c r="N215" s="149"/>
      <c r="O215" s="150"/>
      <c r="P215" s="150"/>
      <c r="Q215" s="149"/>
      <c r="R215" s="149"/>
      <c r="S215" s="149"/>
      <c r="T215" s="150"/>
      <c r="U215" s="150"/>
      <c r="V215" s="150"/>
      <c r="W215" s="150"/>
      <c r="X215" s="150"/>
      <c r="Y215" s="150"/>
      <c r="Z215" s="150"/>
      <c r="AA215" s="150"/>
      <c r="AB215" s="150"/>
      <c r="AC215" s="149"/>
      <c r="AD215" s="149"/>
      <c r="AE215" s="149"/>
      <c r="AF215" s="150"/>
      <c r="AG215" s="150"/>
      <c r="AH215" s="149"/>
      <c r="AI215" s="149"/>
      <c r="AJ215" s="149"/>
      <c r="AK215" s="150"/>
      <c r="AL215" s="150"/>
      <c r="AM215" s="149"/>
      <c r="AN215" s="149"/>
      <c r="AO215" s="149"/>
      <c r="AP215" s="150"/>
      <c r="AQ215" s="150"/>
      <c r="AR215" s="150"/>
      <c r="AS215" s="150"/>
      <c r="AT215" s="150"/>
      <c r="AU215" s="150"/>
      <c r="AV215" s="150"/>
      <c r="AW215" s="150"/>
      <c r="AX215" s="150"/>
      <c r="AY215" s="151"/>
      <c r="AZ215" s="151"/>
      <c r="BA215" s="151"/>
      <c r="BB215" s="151"/>
      <c r="BC215" s="151"/>
      <c r="BD215" s="151"/>
      <c r="BE215" s="151"/>
      <c r="BF215" s="151"/>
      <c r="BG215" s="151"/>
      <c r="BH215" s="151"/>
      <c r="BI215" s="151"/>
    </row>
    <row r="216" spans="1:61" x14ac:dyDescent="0.25">
      <c r="A216" s="149"/>
      <c r="B216" s="149"/>
      <c r="C216" s="149"/>
      <c r="D216" s="149"/>
      <c r="E216" s="150"/>
      <c r="F216" s="150"/>
      <c r="G216" s="149"/>
      <c r="H216" s="149"/>
      <c r="I216" s="149"/>
      <c r="J216" s="150"/>
      <c r="K216" s="150"/>
      <c r="L216" s="149"/>
      <c r="M216" s="149"/>
      <c r="N216" s="149"/>
      <c r="O216" s="150"/>
      <c r="P216" s="150"/>
      <c r="Q216" s="149"/>
      <c r="R216" s="149"/>
      <c r="S216" s="149"/>
      <c r="T216" s="150"/>
      <c r="U216" s="150"/>
      <c r="V216" s="150"/>
      <c r="W216" s="150"/>
      <c r="X216" s="150"/>
      <c r="Y216" s="150"/>
      <c r="Z216" s="150"/>
      <c r="AA216" s="150"/>
      <c r="AB216" s="150"/>
      <c r="AC216" s="149"/>
      <c r="AD216" s="149"/>
      <c r="AE216" s="149"/>
      <c r="AF216" s="150"/>
      <c r="AG216" s="150"/>
      <c r="AH216" s="149"/>
      <c r="AI216" s="149"/>
      <c r="AJ216" s="149"/>
      <c r="AK216" s="150"/>
      <c r="AL216" s="150"/>
      <c r="AM216" s="149"/>
      <c r="AN216" s="149"/>
      <c r="AO216" s="149"/>
      <c r="AP216" s="150"/>
      <c r="AQ216" s="150"/>
      <c r="AR216" s="150"/>
      <c r="AS216" s="150"/>
      <c r="AT216" s="150"/>
      <c r="AU216" s="150"/>
      <c r="AV216" s="150"/>
      <c r="AW216" s="150"/>
      <c r="AX216" s="150"/>
      <c r="AY216" s="151"/>
      <c r="AZ216" s="151"/>
      <c r="BA216" s="151"/>
      <c r="BB216" s="151"/>
      <c r="BC216" s="151"/>
      <c r="BD216" s="151"/>
      <c r="BE216" s="151"/>
      <c r="BF216" s="151"/>
      <c r="BG216" s="151"/>
      <c r="BH216" s="151"/>
      <c r="BI216" s="151"/>
    </row>
    <row r="217" spans="1:61" x14ac:dyDescent="0.25">
      <c r="A217" s="149"/>
      <c r="B217" s="149"/>
      <c r="C217" s="149"/>
      <c r="D217" s="149"/>
      <c r="E217" s="150"/>
      <c r="F217" s="150"/>
      <c r="G217" s="149"/>
      <c r="H217" s="149"/>
      <c r="I217" s="149"/>
      <c r="J217" s="150"/>
      <c r="K217" s="150"/>
      <c r="L217" s="149"/>
      <c r="M217" s="149"/>
      <c r="N217" s="149"/>
      <c r="O217" s="150"/>
      <c r="P217" s="150"/>
      <c r="Q217" s="149"/>
      <c r="R217" s="149"/>
      <c r="S217" s="149"/>
      <c r="T217" s="150"/>
      <c r="U217" s="150"/>
      <c r="V217" s="150"/>
      <c r="W217" s="150"/>
      <c r="X217" s="150"/>
      <c r="Y217" s="150"/>
      <c r="Z217" s="150"/>
      <c r="AA217" s="150"/>
      <c r="AB217" s="150"/>
      <c r="AC217" s="149"/>
      <c r="AD217" s="149"/>
      <c r="AE217" s="149"/>
      <c r="AF217" s="150"/>
      <c r="AG217" s="150"/>
      <c r="AH217" s="149"/>
      <c r="AI217" s="149"/>
      <c r="AJ217" s="149"/>
      <c r="AK217" s="150"/>
      <c r="AL217" s="150"/>
      <c r="AM217" s="149"/>
      <c r="AN217" s="149"/>
      <c r="AO217" s="149"/>
      <c r="AP217" s="150"/>
      <c r="AQ217" s="150"/>
      <c r="AR217" s="150"/>
      <c r="AS217" s="150"/>
      <c r="AT217" s="150"/>
      <c r="AU217" s="150"/>
      <c r="AV217" s="150"/>
      <c r="AW217" s="150"/>
      <c r="AX217" s="150"/>
      <c r="AY217" s="151"/>
      <c r="AZ217" s="151"/>
      <c r="BA217" s="151"/>
      <c r="BB217" s="151"/>
      <c r="BC217" s="151"/>
      <c r="BD217" s="151"/>
      <c r="BE217" s="151"/>
      <c r="BF217" s="151"/>
      <c r="BG217" s="151"/>
      <c r="BH217" s="151"/>
      <c r="BI217" s="151"/>
    </row>
    <row r="218" spans="1:61" x14ac:dyDescent="0.25">
      <c r="A218" s="149"/>
      <c r="B218" s="149"/>
      <c r="C218" s="149"/>
      <c r="D218" s="149"/>
      <c r="E218" s="150"/>
      <c r="F218" s="150"/>
      <c r="G218" s="149"/>
      <c r="H218" s="149"/>
      <c r="I218" s="149"/>
      <c r="J218" s="150"/>
      <c r="K218" s="150"/>
      <c r="L218" s="149"/>
      <c r="M218" s="149"/>
      <c r="N218" s="149"/>
      <c r="O218" s="150"/>
      <c r="P218" s="150"/>
      <c r="Q218" s="149"/>
      <c r="R218" s="149"/>
      <c r="S218" s="149"/>
      <c r="T218" s="150"/>
      <c r="U218" s="150"/>
      <c r="V218" s="150"/>
      <c r="W218" s="150"/>
      <c r="X218" s="150"/>
      <c r="Y218" s="150"/>
      <c r="Z218" s="150"/>
      <c r="AA218" s="150"/>
      <c r="AB218" s="150"/>
      <c r="AC218" s="149"/>
      <c r="AD218" s="149"/>
      <c r="AE218" s="149"/>
      <c r="AF218" s="150"/>
      <c r="AG218" s="150"/>
      <c r="AH218" s="149"/>
      <c r="AI218" s="149"/>
      <c r="AJ218" s="149"/>
      <c r="AK218" s="150"/>
      <c r="AL218" s="150"/>
      <c r="AM218" s="149"/>
      <c r="AN218" s="149"/>
      <c r="AO218" s="149"/>
      <c r="AP218" s="150"/>
      <c r="AQ218" s="150"/>
      <c r="AR218" s="150"/>
      <c r="AS218" s="150"/>
      <c r="AT218" s="150"/>
      <c r="AU218" s="150"/>
      <c r="AV218" s="150"/>
      <c r="AW218" s="150"/>
      <c r="AX218" s="150"/>
      <c r="AY218" s="151"/>
      <c r="AZ218" s="151"/>
      <c r="BA218" s="151"/>
      <c r="BB218" s="151"/>
      <c r="BC218" s="151"/>
      <c r="BD218" s="151"/>
      <c r="BE218" s="151"/>
      <c r="BF218" s="151"/>
      <c r="BG218" s="151"/>
      <c r="BH218" s="151"/>
      <c r="BI218" s="151"/>
    </row>
    <row r="219" spans="1:61" x14ac:dyDescent="0.25">
      <c r="A219" s="149"/>
      <c r="B219" s="149"/>
      <c r="C219" s="149"/>
      <c r="D219" s="149"/>
      <c r="E219" s="150"/>
      <c r="F219" s="150"/>
      <c r="G219" s="149"/>
      <c r="H219" s="149"/>
      <c r="I219" s="149"/>
      <c r="J219" s="150"/>
      <c r="K219" s="150"/>
      <c r="L219" s="149"/>
      <c r="M219" s="149"/>
      <c r="N219" s="149"/>
      <c r="O219" s="150"/>
      <c r="P219" s="150"/>
      <c r="Q219" s="149"/>
      <c r="R219" s="149"/>
      <c r="S219" s="149"/>
      <c r="T219" s="150"/>
      <c r="U219" s="150"/>
      <c r="V219" s="150"/>
      <c r="W219" s="150"/>
      <c r="X219" s="150"/>
      <c r="Y219" s="150"/>
      <c r="Z219" s="150"/>
      <c r="AA219" s="150"/>
      <c r="AB219" s="150"/>
      <c r="AC219" s="149"/>
      <c r="AD219" s="149"/>
      <c r="AE219" s="149"/>
      <c r="AF219" s="150"/>
      <c r="AG219" s="150"/>
      <c r="AH219" s="149"/>
      <c r="AI219" s="149"/>
      <c r="AJ219" s="149"/>
      <c r="AK219" s="150"/>
      <c r="AL219" s="150"/>
      <c r="AM219" s="149"/>
      <c r="AN219" s="149"/>
      <c r="AO219" s="149"/>
      <c r="AP219" s="150"/>
      <c r="AQ219" s="150"/>
      <c r="AR219" s="150"/>
      <c r="AS219" s="150"/>
      <c r="AT219" s="150"/>
      <c r="AU219" s="150"/>
      <c r="AV219" s="150"/>
      <c r="AW219" s="150"/>
      <c r="AX219" s="150"/>
      <c r="AY219" s="151"/>
      <c r="AZ219" s="151"/>
      <c r="BA219" s="151"/>
      <c r="BB219" s="151"/>
      <c r="BC219" s="151"/>
      <c r="BD219" s="151"/>
      <c r="BE219" s="151"/>
      <c r="BF219" s="151"/>
      <c r="BG219" s="151"/>
      <c r="BH219" s="151"/>
      <c r="BI219" s="151"/>
    </row>
    <row r="220" spans="1:61" x14ac:dyDescent="0.25">
      <c r="A220" s="149"/>
      <c r="B220" s="149"/>
      <c r="C220" s="149"/>
      <c r="D220" s="149"/>
      <c r="E220" s="150"/>
      <c r="F220" s="150"/>
      <c r="G220" s="149"/>
      <c r="H220" s="149"/>
      <c r="I220" s="149"/>
      <c r="J220" s="150"/>
      <c r="K220" s="150"/>
      <c r="L220" s="149"/>
      <c r="M220" s="149"/>
      <c r="N220" s="149"/>
      <c r="O220" s="150"/>
      <c r="P220" s="150"/>
      <c r="Q220" s="149"/>
      <c r="R220" s="149"/>
      <c r="S220" s="149"/>
      <c r="T220" s="150"/>
      <c r="U220" s="150"/>
      <c r="V220" s="150"/>
      <c r="W220" s="150"/>
      <c r="X220" s="150"/>
      <c r="Y220" s="150"/>
      <c r="Z220" s="150"/>
      <c r="AA220" s="150"/>
      <c r="AB220" s="150"/>
      <c r="AC220" s="149"/>
      <c r="AD220" s="149"/>
      <c r="AE220" s="149"/>
      <c r="AF220" s="150"/>
      <c r="AG220" s="150"/>
      <c r="AH220" s="149"/>
      <c r="AI220" s="149"/>
      <c r="AJ220" s="149"/>
      <c r="AK220" s="150"/>
      <c r="AL220" s="150"/>
      <c r="AM220" s="149"/>
      <c r="AN220" s="149"/>
      <c r="AO220" s="149"/>
      <c r="AP220" s="150"/>
      <c r="AQ220" s="150"/>
      <c r="AR220" s="150"/>
      <c r="AS220" s="150"/>
      <c r="AT220" s="150"/>
      <c r="AU220" s="150"/>
      <c r="AV220" s="150"/>
      <c r="AW220" s="150"/>
      <c r="AX220" s="150"/>
      <c r="AY220" s="151"/>
      <c r="AZ220" s="151"/>
      <c r="BA220" s="151"/>
      <c r="BB220" s="151"/>
      <c r="BC220" s="151"/>
      <c r="BD220" s="151"/>
      <c r="BE220" s="151"/>
      <c r="BF220" s="151"/>
      <c r="BG220" s="151"/>
      <c r="BH220" s="151"/>
      <c r="BI220" s="151"/>
    </row>
    <row r="221" spans="1:61" x14ac:dyDescent="0.25">
      <c r="A221" s="149"/>
      <c r="B221" s="149"/>
      <c r="C221" s="149"/>
      <c r="D221" s="149"/>
      <c r="E221" s="150"/>
      <c r="F221" s="150"/>
      <c r="G221" s="149"/>
      <c r="H221" s="149"/>
      <c r="I221" s="149"/>
      <c r="J221" s="150"/>
      <c r="K221" s="150"/>
      <c r="L221" s="149"/>
      <c r="M221" s="149"/>
      <c r="N221" s="149"/>
      <c r="O221" s="150"/>
      <c r="P221" s="150"/>
      <c r="Q221" s="149"/>
      <c r="R221" s="149"/>
      <c r="S221" s="149"/>
      <c r="T221" s="150"/>
      <c r="U221" s="150"/>
      <c r="V221" s="150"/>
      <c r="W221" s="150"/>
      <c r="X221" s="150"/>
      <c r="Y221" s="150"/>
      <c r="Z221" s="150"/>
      <c r="AA221" s="150"/>
      <c r="AB221" s="150"/>
      <c r="AC221" s="149"/>
      <c r="AD221" s="149"/>
      <c r="AE221" s="149"/>
      <c r="AF221" s="150"/>
      <c r="AG221" s="150"/>
      <c r="AH221" s="149"/>
      <c r="AI221" s="149"/>
      <c r="AJ221" s="149"/>
      <c r="AK221" s="150"/>
      <c r="AL221" s="150"/>
      <c r="AM221" s="149"/>
      <c r="AN221" s="149"/>
      <c r="AO221" s="149"/>
      <c r="AP221" s="150"/>
      <c r="AQ221" s="150"/>
      <c r="AR221" s="150"/>
      <c r="AS221" s="150"/>
      <c r="AT221" s="150"/>
      <c r="AU221" s="150"/>
      <c r="AV221" s="150"/>
      <c r="AW221" s="150"/>
      <c r="AX221" s="150"/>
      <c r="AY221" s="151"/>
      <c r="AZ221" s="151"/>
      <c r="BA221" s="151"/>
      <c r="BB221" s="151"/>
      <c r="BC221" s="151"/>
      <c r="BD221" s="151"/>
      <c r="BE221" s="151"/>
      <c r="BF221" s="151"/>
      <c r="BG221" s="151"/>
      <c r="BH221" s="151"/>
      <c r="BI221" s="151"/>
    </row>
    <row r="222" spans="1:61" x14ac:dyDescent="0.25">
      <c r="A222" s="149"/>
      <c r="B222" s="149"/>
      <c r="C222" s="149"/>
      <c r="D222" s="149"/>
      <c r="E222" s="150"/>
      <c r="F222" s="150"/>
      <c r="G222" s="149"/>
      <c r="H222" s="149"/>
      <c r="I222" s="149"/>
      <c r="J222" s="150"/>
      <c r="K222" s="150"/>
      <c r="L222" s="149"/>
      <c r="M222" s="149"/>
      <c r="N222" s="149"/>
      <c r="O222" s="150"/>
      <c r="P222" s="150"/>
      <c r="Q222" s="149"/>
      <c r="R222" s="149"/>
      <c r="S222" s="149"/>
      <c r="T222" s="150"/>
      <c r="U222" s="150"/>
      <c r="V222" s="150"/>
      <c r="W222" s="150"/>
      <c r="X222" s="150"/>
      <c r="Y222" s="150"/>
      <c r="Z222" s="150"/>
      <c r="AA222" s="150"/>
      <c r="AB222" s="150"/>
      <c r="AC222" s="149"/>
      <c r="AD222" s="149"/>
      <c r="AE222" s="149"/>
      <c r="AF222" s="150"/>
      <c r="AG222" s="150"/>
      <c r="AH222" s="149"/>
      <c r="AI222" s="149"/>
      <c r="AJ222" s="149"/>
      <c r="AK222" s="150"/>
      <c r="AL222" s="150"/>
      <c r="AM222" s="149"/>
      <c r="AN222" s="149"/>
      <c r="AO222" s="149"/>
      <c r="AP222" s="150"/>
      <c r="AQ222" s="150"/>
      <c r="AR222" s="150"/>
      <c r="AS222" s="150"/>
      <c r="AT222" s="150"/>
      <c r="AU222" s="150"/>
      <c r="AV222" s="150"/>
      <c r="AW222" s="150"/>
      <c r="AX222" s="150"/>
      <c r="AY222" s="151"/>
      <c r="AZ222" s="151"/>
      <c r="BA222" s="151"/>
      <c r="BB222" s="151"/>
      <c r="BC222" s="151"/>
      <c r="BD222" s="151"/>
      <c r="BE222" s="151"/>
      <c r="BF222" s="151"/>
      <c r="BG222" s="151"/>
      <c r="BH222" s="151"/>
      <c r="BI222" s="151"/>
    </row>
    <row r="223" spans="1:61" x14ac:dyDescent="0.25">
      <c r="A223" s="149"/>
      <c r="B223" s="149"/>
      <c r="C223" s="149"/>
      <c r="D223" s="149"/>
      <c r="E223" s="150"/>
      <c r="F223" s="150"/>
      <c r="G223" s="149"/>
      <c r="H223" s="149"/>
      <c r="I223" s="149"/>
      <c r="J223" s="150"/>
      <c r="K223" s="150"/>
      <c r="L223" s="149"/>
      <c r="M223" s="149"/>
      <c r="N223" s="149"/>
      <c r="O223" s="150"/>
      <c r="P223" s="150"/>
      <c r="Q223" s="149"/>
      <c r="R223" s="149"/>
      <c r="S223" s="149"/>
      <c r="T223" s="150"/>
      <c r="U223" s="150"/>
      <c r="V223" s="150"/>
      <c r="W223" s="150"/>
      <c r="X223" s="150"/>
      <c r="Y223" s="150"/>
      <c r="Z223" s="150"/>
      <c r="AA223" s="150"/>
      <c r="AB223" s="150"/>
      <c r="AC223" s="149"/>
      <c r="AD223" s="149"/>
      <c r="AE223" s="149"/>
      <c r="AF223" s="150"/>
      <c r="AG223" s="150"/>
      <c r="AH223" s="149"/>
      <c r="AI223" s="149"/>
      <c r="AJ223" s="149"/>
      <c r="AK223" s="150"/>
      <c r="AL223" s="150"/>
      <c r="AM223" s="149"/>
      <c r="AN223" s="149"/>
      <c r="AO223" s="149"/>
      <c r="AP223" s="150"/>
      <c r="AQ223" s="150"/>
      <c r="AR223" s="150"/>
      <c r="AS223" s="150"/>
      <c r="AT223" s="150"/>
      <c r="AU223" s="150"/>
      <c r="AV223" s="150"/>
      <c r="AW223" s="150"/>
      <c r="AX223" s="150"/>
      <c r="AY223" s="151"/>
      <c r="AZ223" s="151"/>
      <c r="BA223" s="151"/>
      <c r="BB223" s="151"/>
      <c r="BC223" s="151"/>
      <c r="BD223" s="151"/>
      <c r="BE223" s="151"/>
      <c r="BF223" s="151"/>
      <c r="BG223" s="151"/>
      <c r="BH223" s="151"/>
      <c r="BI223" s="151"/>
    </row>
    <row r="224" spans="1:61" x14ac:dyDescent="0.25">
      <c r="A224" s="149"/>
      <c r="B224" s="149"/>
      <c r="C224" s="149"/>
      <c r="D224" s="149"/>
      <c r="E224" s="150"/>
      <c r="F224" s="150"/>
      <c r="G224" s="149"/>
      <c r="H224" s="149"/>
      <c r="I224" s="149"/>
      <c r="J224" s="150"/>
      <c r="K224" s="150"/>
      <c r="L224" s="149"/>
      <c r="M224" s="149"/>
      <c r="N224" s="149"/>
      <c r="O224" s="150"/>
      <c r="P224" s="150"/>
      <c r="Q224" s="149"/>
      <c r="R224" s="149"/>
      <c r="S224" s="149"/>
      <c r="T224" s="150"/>
      <c r="U224" s="150"/>
      <c r="V224" s="150"/>
      <c r="W224" s="150"/>
      <c r="X224" s="150"/>
      <c r="Y224" s="150"/>
      <c r="Z224" s="150"/>
      <c r="AA224" s="150"/>
      <c r="AB224" s="150"/>
      <c r="AC224" s="149"/>
      <c r="AD224" s="149"/>
      <c r="AE224" s="149"/>
      <c r="AF224" s="150"/>
      <c r="AG224" s="150"/>
      <c r="AH224" s="149"/>
      <c r="AI224" s="149"/>
      <c r="AJ224" s="149"/>
      <c r="AK224" s="150"/>
      <c r="AL224" s="150"/>
      <c r="AM224" s="149"/>
      <c r="AN224" s="149"/>
      <c r="AO224" s="149"/>
      <c r="AP224" s="150"/>
      <c r="AQ224" s="150"/>
      <c r="AR224" s="150"/>
      <c r="AS224" s="150"/>
      <c r="AT224" s="150"/>
      <c r="AU224" s="150"/>
      <c r="AV224" s="150"/>
      <c r="AW224" s="150"/>
      <c r="AX224" s="150"/>
      <c r="AY224" s="151"/>
      <c r="AZ224" s="151"/>
      <c r="BA224" s="151"/>
      <c r="BB224" s="151"/>
      <c r="BC224" s="151"/>
      <c r="BD224" s="151"/>
      <c r="BE224" s="151"/>
      <c r="BF224" s="151"/>
      <c r="BG224" s="151"/>
      <c r="BH224" s="151"/>
      <c r="BI224" s="151"/>
    </row>
    <row r="225" spans="1:61" x14ac:dyDescent="0.25">
      <c r="A225" s="149"/>
      <c r="B225" s="149"/>
      <c r="C225" s="149"/>
      <c r="D225" s="149"/>
      <c r="E225" s="150"/>
      <c r="F225" s="150"/>
      <c r="G225" s="149"/>
      <c r="H225" s="149"/>
      <c r="I225" s="149"/>
      <c r="J225" s="150"/>
      <c r="K225" s="150"/>
      <c r="L225" s="149"/>
      <c r="M225" s="149"/>
      <c r="N225" s="149"/>
      <c r="O225" s="150"/>
      <c r="P225" s="150"/>
      <c r="Q225" s="149"/>
      <c r="R225" s="149"/>
      <c r="S225" s="149"/>
      <c r="T225" s="150"/>
      <c r="U225" s="150"/>
      <c r="V225" s="150"/>
      <c r="W225" s="150"/>
      <c r="X225" s="150"/>
      <c r="Y225" s="150"/>
      <c r="Z225" s="150"/>
      <c r="AA225" s="150"/>
      <c r="AB225" s="150"/>
      <c r="AC225" s="149"/>
      <c r="AD225" s="149"/>
      <c r="AE225" s="149"/>
      <c r="AF225" s="150"/>
      <c r="AG225" s="150"/>
      <c r="AH225" s="149"/>
      <c r="AI225" s="149"/>
      <c r="AJ225" s="149"/>
      <c r="AK225" s="150"/>
      <c r="AL225" s="150"/>
      <c r="AM225" s="149"/>
      <c r="AN225" s="149"/>
      <c r="AO225" s="149"/>
      <c r="AP225" s="150"/>
      <c r="AQ225" s="150"/>
      <c r="AR225" s="150"/>
      <c r="AS225" s="150"/>
      <c r="AT225" s="150"/>
      <c r="AU225" s="150"/>
      <c r="AV225" s="150"/>
      <c r="AW225" s="150"/>
      <c r="AX225" s="150"/>
      <c r="AY225" s="151"/>
      <c r="AZ225" s="151"/>
      <c r="BA225" s="151"/>
      <c r="BB225" s="151"/>
      <c r="BC225" s="151"/>
      <c r="BD225" s="151"/>
      <c r="BE225" s="151"/>
      <c r="BF225" s="151"/>
      <c r="BG225" s="151"/>
      <c r="BH225" s="151"/>
      <c r="BI225" s="151"/>
    </row>
    <row r="226" spans="1:61" x14ac:dyDescent="0.25">
      <c r="A226" s="149"/>
      <c r="B226" s="149"/>
      <c r="C226" s="149"/>
      <c r="D226" s="149"/>
      <c r="E226" s="150"/>
      <c r="F226" s="150"/>
      <c r="G226" s="149"/>
      <c r="H226" s="149"/>
      <c r="I226" s="149"/>
      <c r="J226" s="150"/>
      <c r="K226" s="150"/>
      <c r="L226" s="149"/>
      <c r="M226" s="149"/>
      <c r="N226" s="149"/>
      <c r="O226" s="150"/>
      <c r="P226" s="150"/>
      <c r="Q226" s="149"/>
      <c r="R226" s="149"/>
      <c r="S226" s="149"/>
      <c r="T226" s="150"/>
      <c r="U226" s="150"/>
      <c r="V226" s="150"/>
      <c r="W226" s="150"/>
      <c r="X226" s="150"/>
      <c r="Y226" s="150"/>
      <c r="Z226" s="150"/>
      <c r="AA226" s="150"/>
      <c r="AB226" s="150"/>
      <c r="AC226" s="149"/>
      <c r="AD226" s="149"/>
      <c r="AE226" s="149"/>
      <c r="AF226" s="150"/>
      <c r="AG226" s="150"/>
      <c r="AH226" s="149"/>
      <c r="AI226" s="149"/>
      <c r="AJ226" s="149"/>
      <c r="AK226" s="150"/>
      <c r="AL226" s="150"/>
      <c r="AM226" s="149"/>
      <c r="AN226" s="149"/>
      <c r="AO226" s="149"/>
      <c r="AP226" s="150"/>
      <c r="AQ226" s="150"/>
      <c r="AR226" s="150"/>
      <c r="AS226" s="150"/>
      <c r="AT226" s="150"/>
      <c r="AU226" s="150"/>
      <c r="AV226" s="150"/>
      <c r="AW226" s="150"/>
      <c r="AX226" s="150"/>
      <c r="AY226" s="151"/>
      <c r="AZ226" s="151"/>
      <c r="BA226" s="151"/>
      <c r="BB226" s="151"/>
      <c r="BC226" s="151"/>
      <c r="BD226" s="151"/>
      <c r="BE226" s="151"/>
      <c r="BF226" s="151"/>
      <c r="BG226" s="151"/>
      <c r="BH226" s="151"/>
      <c r="BI226" s="151"/>
    </row>
    <row r="227" spans="1:61" x14ac:dyDescent="0.25">
      <c r="A227" s="149"/>
      <c r="B227" s="149"/>
      <c r="C227" s="149"/>
      <c r="D227" s="149"/>
      <c r="E227" s="150"/>
      <c r="F227" s="150"/>
      <c r="G227" s="149"/>
      <c r="H227" s="149"/>
      <c r="I227" s="149"/>
      <c r="J227" s="150"/>
      <c r="K227" s="150"/>
      <c r="L227" s="149"/>
      <c r="M227" s="149"/>
      <c r="N227" s="149"/>
      <c r="O227" s="150"/>
      <c r="P227" s="150"/>
      <c r="Q227" s="149"/>
      <c r="R227" s="149"/>
      <c r="S227" s="149"/>
      <c r="T227" s="150"/>
      <c r="U227" s="150"/>
      <c r="V227" s="150"/>
      <c r="W227" s="150"/>
      <c r="X227" s="150"/>
      <c r="Y227" s="150"/>
      <c r="Z227" s="150"/>
      <c r="AA227" s="150"/>
      <c r="AB227" s="150"/>
      <c r="AC227" s="149"/>
      <c r="AD227" s="149"/>
      <c r="AE227" s="149"/>
      <c r="AF227" s="150"/>
      <c r="AG227" s="150"/>
      <c r="AH227" s="149"/>
      <c r="AI227" s="149"/>
      <c r="AJ227" s="149"/>
      <c r="AK227" s="150"/>
      <c r="AL227" s="150"/>
      <c r="AM227" s="149"/>
      <c r="AN227" s="149"/>
      <c r="AO227" s="149"/>
      <c r="AP227" s="150"/>
      <c r="AQ227" s="150"/>
      <c r="AR227" s="150"/>
      <c r="AS227" s="150"/>
      <c r="AT227" s="150"/>
      <c r="AU227" s="150"/>
      <c r="AV227" s="150"/>
      <c r="AW227" s="150"/>
      <c r="AX227" s="150"/>
      <c r="AY227" s="151"/>
      <c r="AZ227" s="151"/>
      <c r="BA227" s="151"/>
      <c r="BB227" s="151"/>
      <c r="BC227" s="151"/>
      <c r="BD227" s="151"/>
      <c r="BE227" s="151"/>
      <c r="BF227" s="151"/>
      <c r="BG227" s="151"/>
      <c r="BH227" s="151"/>
      <c r="BI227" s="151"/>
    </row>
    <row r="228" spans="1:61" x14ac:dyDescent="0.25">
      <c r="A228" s="149"/>
      <c r="B228" s="149"/>
      <c r="C228" s="149"/>
      <c r="D228" s="149"/>
      <c r="E228" s="150"/>
      <c r="F228" s="150"/>
      <c r="G228" s="149"/>
      <c r="H228" s="149"/>
      <c r="I228" s="149"/>
      <c r="J228" s="150"/>
      <c r="K228" s="150"/>
      <c r="L228" s="149"/>
      <c r="M228" s="149"/>
      <c r="N228" s="149"/>
      <c r="O228" s="150"/>
      <c r="P228" s="150"/>
      <c r="Q228" s="149"/>
      <c r="R228" s="149"/>
      <c r="S228" s="149"/>
      <c r="T228" s="150"/>
      <c r="U228" s="150"/>
      <c r="V228" s="150"/>
      <c r="W228" s="150"/>
      <c r="X228" s="150"/>
      <c r="Y228" s="150"/>
      <c r="Z228" s="150"/>
      <c r="AA228" s="150"/>
      <c r="AB228" s="150"/>
      <c r="AC228" s="149"/>
      <c r="AD228" s="149"/>
      <c r="AE228" s="149"/>
      <c r="AF228" s="150"/>
      <c r="AG228" s="150"/>
      <c r="AH228" s="149"/>
      <c r="AI228" s="149"/>
      <c r="AJ228" s="149"/>
      <c r="AK228" s="150"/>
      <c r="AL228" s="150"/>
      <c r="AM228" s="149"/>
      <c r="AN228" s="149"/>
      <c r="AO228" s="149"/>
      <c r="AP228" s="150"/>
      <c r="AQ228" s="150"/>
      <c r="AR228" s="150"/>
      <c r="AS228" s="150"/>
      <c r="AT228" s="150"/>
      <c r="AU228" s="150"/>
      <c r="AV228" s="150"/>
      <c r="AW228" s="150"/>
      <c r="AX228" s="150"/>
      <c r="AY228" s="151"/>
      <c r="AZ228" s="151"/>
      <c r="BA228" s="151"/>
      <c r="BB228" s="151"/>
      <c r="BC228" s="151"/>
      <c r="BD228" s="151"/>
      <c r="BE228" s="151"/>
      <c r="BF228" s="151"/>
      <c r="BG228" s="151"/>
      <c r="BH228" s="151"/>
      <c r="BI228" s="151"/>
    </row>
    <row r="229" spans="1:61" x14ac:dyDescent="0.25">
      <c r="A229" s="149"/>
      <c r="B229" s="149"/>
      <c r="C229" s="149"/>
      <c r="D229" s="149"/>
      <c r="E229" s="150"/>
      <c r="F229" s="150"/>
      <c r="G229" s="149"/>
      <c r="H229" s="149"/>
      <c r="I229" s="149"/>
      <c r="J229" s="150"/>
      <c r="K229" s="150"/>
      <c r="L229" s="149"/>
      <c r="M229" s="149"/>
      <c r="N229" s="149"/>
      <c r="O229" s="150"/>
      <c r="P229" s="150"/>
      <c r="Q229" s="149"/>
      <c r="R229" s="149"/>
      <c r="S229" s="149"/>
      <c r="T229" s="150"/>
      <c r="U229" s="150"/>
      <c r="V229" s="150"/>
      <c r="W229" s="150"/>
      <c r="X229" s="150"/>
      <c r="Y229" s="150"/>
      <c r="Z229" s="150"/>
      <c r="AA229" s="150"/>
      <c r="AB229" s="150"/>
      <c r="AC229" s="149"/>
      <c r="AD229" s="149"/>
      <c r="AE229" s="149"/>
      <c r="AF229" s="150"/>
      <c r="AG229" s="150"/>
      <c r="AH229" s="149"/>
      <c r="AI229" s="149"/>
      <c r="AJ229" s="149"/>
      <c r="AK229" s="150"/>
      <c r="AL229" s="150"/>
      <c r="AM229" s="149"/>
      <c r="AN229" s="149"/>
      <c r="AO229" s="149"/>
      <c r="AP229" s="150"/>
      <c r="AQ229" s="150"/>
      <c r="AR229" s="150"/>
      <c r="AS229" s="150"/>
      <c r="AT229" s="150"/>
      <c r="AU229" s="150"/>
      <c r="AV229" s="150"/>
      <c r="AW229" s="150"/>
      <c r="AX229" s="150"/>
      <c r="AY229" s="151"/>
      <c r="AZ229" s="151"/>
      <c r="BA229" s="151"/>
      <c r="BB229" s="151"/>
      <c r="BC229" s="151"/>
      <c r="BD229" s="151"/>
      <c r="BE229" s="151"/>
      <c r="BF229" s="151"/>
      <c r="BG229" s="151"/>
      <c r="BH229" s="151"/>
      <c r="BI229" s="151"/>
    </row>
    <row r="230" spans="1:61" x14ac:dyDescent="0.25">
      <c r="A230" s="149"/>
      <c r="B230" s="149"/>
      <c r="C230" s="149"/>
      <c r="D230" s="149"/>
      <c r="E230" s="150"/>
      <c r="F230" s="150"/>
      <c r="G230" s="149"/>
      <c r="H230" s="149"/>
      <c r="I230" s="149"/>
      <c r="J230" s="150"/>
      <c r="K230" s="150"/>
      <c r="L230" s="149"/>
      <c r="M230" s="149"/>
      <c r="N230" s="149"/>
      <c r="O230" s="150"/>
      <c r="P230" s="150"/>
      <c r="Q230" s="149"/>
      <c r="R230" s="149"/>
      <c r="S230" s="149"/>
      <c r="T230" s="150"/>
      <c r="U230" s="150"/>
      <c r="V230" s="150"/>
      <c r="W230" s="150"/>
      <c r="X230" s="150"/>
      <c r="Y230" s="150"/>
      <c r="Z230" s="150"/>
      <c r="AA230" s="150"/>
      <c r="AB230" s="150"/>
      <c r="AC230" s="149"/>
      <c r="AD230" s="149"/>
      <c r="AE230" s="149"/>
      <c r="AF230" s="150"/>
      <c r="AG230" s="150"/>
      <c r="AH230" s="149"/>
      <c r="AI230" s="149"/>
      <c r="AJ230" s="149"/>
      <c r="AK230" s="150"/>
      <c r="AL230" s="150"/>
      <c r="AM230" s="149"/>
      <c r="AN230" s="149"/>
      <c r="AO230" s="149"/>
      <c r="AP230" s="150"/>
      <c r="AQ230" s="150"/>
      <c r="AR230" s="150"/>
      <c r="AS230" s="150"/>
      <c r="AT230" s="150"/>
      <c r="AU230" s="150"/>
      <c r="AV230" s="150"/>
      <c r="AW230" s="150"/>
      <c r="AX230" s="150"/>
      <c r="AY230" s="151"/>
      <c r="AZ230" s="151"/>
      <c r="BA230" s="151"/>
      <c r="BB230" s="151"/>
      <c r="BC230" s="151"/>
      <c r="BD230" s="151"/>
      <c r="BE230" s="151"/>
      <c r="BF230" s="151"/>
      <c r="BG230" s="151"/>
      <c r="BH230" s="151"/>
      <c r="BI230" s="151"/>
    </row>
    <row r="231" spans="1:61" x14ac:dyDescent="0.25">
      <c r="A231" s="149"/>
      <c r="B231" s="149"/>
      <c r="C231" s="149"/>
      <c r="D231" s="149"/>
      <c r="E231" s="150"/>
      <c r="F231" s="150"/>
      <c r="G231" s="149"/>
      <c r="H231" s="149"/>
      <c r="I231" s="149"/>
      <c r="J231" s="150"/>
      <c r="K231" s="150"/>
      <c r="L231" s="149"/>
      <c r="M231" s="149"/>
      <c r="N231" s="149"/>
      <c r="O231" s="150"/>
      <c r="P231" s="150"/>
      <c r="Q231" s="149"/>
      <c r="R231" s="149"/>
      <c r="S231" s="149"/>
      <c r="T231" s="150"/>
      <c r="U231" s="150"/>
      <c r="V231" s="150"/>
      <c r="W231" s="150"/>
      <c r="X231" s="150"/>
      <c r="Y231" s="150"/>
      <c r="Z231" s="150"/>
      <c r="AA231" s="150"/>
      <c r="AB231" s="150"/>
      <c r="AC231" s="149"/>
      <c r="AD231" s="149"/>
      <c r="AE231" s="149"/>
      <c r="AF231" s="150"/>
      <c r="AG231" s="150"/>
      <c r="AH231" s="149"/>
      <c r="AI231" s="149"/>
      <c r="AJ231" s="149"/>
      <c r="AK231" s="150"/>
      <c r="AL231" s="150"/>
      <c r="AM231" s="149"/>
      <c r="AN231" s="149"/>
      <c r="AO231" s="149"/>
      <c r="AP231" s="150"/>
      <c r="AQ231" s="150"/>
      <c r="AR231" s="150"/>
      <c r="AS231" s="150"/>
      <c r="AT231" s="150"/>
      <c r="AU231" s="150"/>
      <c r="AV231" s="150"/>
      <c r="AW231" s="150"/>
      <c r="AX231" s="150"/>
      <c r="AY231" s="151"/>
      <c r="AZ231" s="151"/>
      <c r="BA231" s="151"/>
      <c r="BB231" s="151"/>
      <c r="BC231" s="151"/>
      <c r="BD231" s="151"/>
      <c r="BE231" s="151"/>
      <c r="BF231" s="151"/>
      <c r="BG231" s="151"/>
      <c r="BH231" s="151"/>
      <c r="BI231" s="151"/>
    </row>
    <row r="232" spans="1:61" x14ac:dyDescent="0.25">
      <c r="A232" s="149"/>
      <c r="B232" s="149"/>
      <c r="C232" s="149"/>
      <c r="D232" s="149"/>
      <c r="E232" s="150"/>
      <c r="F232" s="150"/>
      <c r="G232" s="149"/>
      <c r="H232" s="149"/>
      <c r="I232" s="149"/>
      <c r="J232" s="150"/>
      <c r="K232" s="150"/>
      <c r="L232" s="149"/>
      <c r="M232" s="149"/>
      <c r="N232" s="149"/>
      <c r="O232" s="150"/>
      <c r="P232" s="150"/>
      <c r="Q232" s="149"/>
      <c r="R232" s="149"/>
      <c r="S232" s="149"/>
      <c r="T232" s="150"/>
      <c r="U232" s="150"/>
      <c r="V232" s="150"/>
      <c r="W232" s="150"/>
      <c r="X232" s="150"/>
      <c r="Y232" s="150"/>
      <c r="Z232" s="150"/>
      <c r="AA232" s="150"/>
      <c r="AB232" s="150"/>
      <c r="AC232" s="149"/>
      <c r="AD232" s="149"/>
      <c r="AE232" s="149"/>
      <c r="AF232" s="150"/>
      <c r="AG232" s="150"/>
      <c r="AH232" s="149"/>
      <c r="AI232" s="149"/>
      <c r="AJ232" s="149"/>
      <c r="AK232" s="150"/>
      <c r="AL232" s="150"/>
      <c r="AM232" s="149"/>
      <c r="AN232" s="149"/>
      <c r="AO232" s="149"/>
      <c r="AP232" s="150"/>
      <c r="AQ232" s="150"/>
      <c r="AR232" s="150"/>
      <c r="AS232" s="150"/>
      <c r="AT232" s="150"/>
      <c r="AU232" s="150"/>
      <c r="AV232" s="150"/>
      <c r="AW232" s="150"/>
      <c r="AX232" s="150"/>
      <c r="AY232" s="151"/>
      <c r="AZ232" s="151"/>
      <c r="BA232" s="151"/>
      <c r="BB232" s="151"/>
      <c r="BC232" s="151"/>
      <c r="BD232" s="151"/>
      <c r="BE232" s="151"/>
      <c r="BF232" s="151"/>
      <c r="BG232" s="151"/>
      <c r="BH232" s="151"/>
      <c r="BI232" s="151"/>
    </row>
    <row r="233" spans="1:61" x14ac:dyDescent="0.25">
      <c r="A233" s="149"/>
      <c r="B233" s="149"/>
      <c r="C233" s="149"/>
      <c r="D233" s="149"/>
      <c r="E233" s="150"/>
      <c r="F233" s="150"/>
      <c r="G233" s="149"/>
      <c r="H233" s="149"/>
      <c r="I233" s="149"/>
      <c r="J233" s="150"/>
      <c r="K233" s="150"/>
      <c r="L233" s="149"/>
      <c r="M233" s="149"/>
      <c r="N233" s="149"/>
      <c r="O233" s="150"/>
      <c r="P233" s="150"/>
      <c r="Q233" s="149"/>
      <c r="R233" s="149"/>
      <c r="S233" s="149"/>
      <c r="T233" s="150"/>
      <c r="U233" s="150"/>
      <c r="V233" s="150"/>
      <c r="W233" s="150"/>
      <c r="X233" s="150"/>
      <c r="Y233" s="150"/>
      <c r="Z233" s="150"/>
      <c r="AA233" s="150"/>
      <c r="AB233" s="150"/>
      <c r="AC233" s="149"/>
      <c r="AD233" s="149"/>
      <c r="AE233" s="149"/>
      <c r="AF233" s="150"/>
      <c r="AG233" s="150"/>
      <c r="AH233" s="149"/>
      <c r="AI233" s="149"/>
      <c r="AJ233" s="149"/>
      <c r="AK233" s="150"/>
      <c r="AL233" s="150"/>
      <c r="AM233" s="149"/>
      <c r="AN233" s="149"/>
      <c r="AO233" s="149"/>
      <c r="AP233" s="150"/>
      <c r="AQ233" s="150"/>
      <c r="AR233" s="150"/>
      <c r="AS233" s="150"/>
      <c r="AT233" s="150"/>
      <c r="AU233" s="150"/>
      <c r="AV233" s="150"/>
      <c r="AW233" s="150"/>
      <c r="AX233" s="150"/>
      <c r="AY233" s="151"/>
      <c r="AZ233" s="151"/>
      <c r="BA233" s="151"/>
      <c r="BB233" s="151"/>
      <c r="BC233" s="151"/>
      <c r="BD233" s="151"/>
      <c r="BE233" s="151"/>
      <c r="BF233" s="151"/>
      <c r="BG233" s="151"/>
      <c r="BH233" s="151"/>
      <c r="BI233" s="151"/>
    </row>
    <row r="234" spans="1:61" x14ac:dyDescent="0.25">
      <c r="A234" s="149"/>
      <c r="B234" s="149"/>
      <c r="C234" s="149"/>
      <c r="D234" s="149"/>
      <c r="E234" s="150"/>
      <c r="F234" s="150"/>
      <c r="G234" s="149"/>
      <c r="H234" s="149"/>
      <c r="I234" s="149"/>
      <c r="J234" s="150"/>
      <c r="K234" s="150"/>
      <c r="L234" s="149"/>
      <c r="M234" s="149"/>
      <c r="N234" s="149"/>
      <c r="O234" s="150"/>
      <c r="P234" s="150"/>
      <c r="Q234" s="149"/>
      <c r="R234" s="149"/>
      <c r="S234" s="149"/>
      <c r="T234" s="150"/>
      <c r="U234" s="150"/>
      <c r="V234" s="150"/>
      <c r="W234" s="150"/>
      <c r="X234" s="150"/>
      <c r="Y234" s="150"/>
      <c r="Z234" s="150"/>
      <c r="AA234" s="150"/>
      <c r="AB234" s="150"/>
      <c r="AC234" s="149"/>
      <c r="AD234" s="149"/>
      <c r="AE234" s="149"/>
      <c r="AF234" s="150"/>
      <c r="AG234" s="150"/>
      <c r="AH234" s="149"/>
      <c r="AI234" s="149"/>
      <c r="AJ234" s="149"/>
      <c r="AK234" s="150"/>
      <c r="AL234" s="150"/>
      <c r="AM234" s="149"/>
      <c r="AN234" s="149"/>
      <c r="AO234" s="149"/>
      <c r="AP234" s="150"/>
      <c r="AQ234" s="150"/>
      <c r="AR234" s="150"/>
      <c r="AS234" s="150"/>
      <c r="AT234" s="150"/>
      <c r="AU234" s="150"/>
      <c r="AV234" s="150"/>
      <c r="AW234" s="150"/>
      <c r="AX234" s="150"/>
      <c r="AY234" s="151"/>
      <c r="AZ234" s="151"/>
      <c r="BA234" s="151"/>
      <c r="BB234" s="151"/>
      <c r="BC234" s="151"/>
      <c r="BD234" s="151"/>
      <c r="BE234" s="151"/>
      <c r="BF234" s="151"/>
      <c r="BG234" s="151"/>
      <c r="BH234" s="151"/>
      <c r="BI234" s="151"/>
    </row>
    <row r="235" spans="1:61" x14ac:dyDescent="0.25">
      <c r="A235" s="149"/>
      <c r="B235" s="149"/>
      <c r="C235" s="149"/>
      <c r="D235" s="149"/>
      <c r="E235" s="150"/>
      <c r="F235" s="150"/>
      <c r="G235" s="149"/>
      <c r="H235" s="149"/>
      <c r="I235" s="149"/>
      <c r="J235" s="150"/>
      <c r="K235" s="150"/>
      <c r="L235" s="149"/>
      <c r="M235" s="149"/>
      <c r="N235" s="149"/>
      <c r="O235" s="150"/>
      <c r="P235" s="150"/>
      <c r="Q235" s="149"/>
      <c r="R235" s="149"/>
      <c r="S235" s="149"/>
      <c r="T235" s="150"/>
      <c r="U235" s="150"/>
      <c r="V235" s="150"/>
      <c r="W235" s="150"/>
      <c r="X235" s="150"/>
      <c r="Y235" s="150"/>
      <c r="Z235" s="150"/>
      <c r="AA235" s="150"/>
      <c r="AB235" s="150"/>
      <c r="AC235" s="149"/>
      <c r="AD235" s="149"/>
      <c r="AE235" s="149"/>
      <c r="AF235" s="150"/>
      <c r="AG235" s="150"/>
      <c r="AH235" s="149"/>
      <c r="AI235" s="149"/>
      <c r="AJ235" s="149"/>
      <c r="AK235" s="150"/>
      <c r="AL235" s="150"/>
      <c r="AM235" s="149"/>
      <c r="AN235" s="149"/>
      <c r="AO235" s="149"/>
      <c r="AP235" s="150"/>
      <c r="AQ235" s="150"/>
      <c r="AR235" s="150"/>
      <c r="AS235" s="150"/>
      <c r="AT235" s="150"/>
      <c r="AU235" s="150"/>
      <c r="AV235" s="150"/>
      <c r="AW235" s="150"/>
      <c r="AX235" s="150"/>
      <c r="AY235" s="151"/>
      <c r="AZ235" s="151"/>
      <c r="BA235" s="151"/>
      <c r="BB235" s="151"/>
      <c r="BC235" s="151"/>
      <c r="BD235" s="151"/>
      <c r="BE235" s="151"/>
      <c r="BF235" s="151"/>
      <c r="BG235" s="151"/>
      <c r="BH235" s="151"/>
      <c r="BI235" s="151"/>
    </row>
    <row r="236" spans="1:61" x14ac:dyDescent="0.25">
      <c r="A236" s="149"/>
      <c r="B236" s="149"/>
      <c r="C236" s="149"/>
      <c r="D236" s="149"/>
      <c r="E236" s="150"/>
      <c r="F236" s="150"/>
      <c r="G236" s="149"/>
      <c r="H236" s="149"/>
      <c r="I236" s="149"/>
      <c r="J236" s="150"/>
      <c r="K236" s="150"/>
      <c r="L236" s="149"/>
      <c r="M236" s="149"/>
      <c r="N236" s="149"/>
      <c r="O236" s="150"/>
      <c r="P236" s="150"/>
      <c r="Q236" s="149"/>
      <c r="R236" s="149"/>
      <c r="S236" s="149"/>
      <c r="T236" s="150"/>
      <c r="U236" s="150"/>
      <c r="V236" s="150"/>
      <c r="W236" s="150"/>
      <c r="X236" s="150"/>
      <c r="Y236" s="150"/>
      <c r="Z236" s="150"/>
      <c r="AA236" s="150"/>
      <c r="AB236" s="150"/>
      <c r="AC236" s="149"/>
      <c r="AD236" s="149"/>
      <c r="AE236" s="149"/>
      <c r="AF236" s="150"/>
      <c r="AG236" s="150"/>
      <c r="AH236" s="149"/>
      <c r="AI236" s="149"/>
      <c r="AJ236" s="149"/>
      <c r="AK236" s="150"/>
      <c r="AL236" s="150"/>
      <c r="AM236" s="149"/>
      <c r="AN236" s="149"/>
      <c r="AO236" s="149"/>
      <c r="AP236" s="150"/>
      <c r="AQ236" s="150"/>
      <c r="AR236" s="150"/>
      <c r="AS236" s="150"/>
      <c r="AT236" s="150"/>
      <c r="AU236" s="150"/>
      <c r="AV236" s="150"/>
      <c r="AW236" s="150"/>
      <c r="AX236" s="150"/>
      <c r="AY236" s="151"/>
      <c r="AZ236" s="151"/>
      <c r="BA236" s="151"/>
      <c r="BB236" s="151"/>
      <c r="BC236" s="151"/>
      <c r="BD236" s="151"/>
      <c r="BE236" s="151"/>
      <c r="BF236" s="151"/>
      <c r="BG236" s="151"/>
      <c r="BH236" s="151"/>
      <c r="BI236" s="151"/>
    </row>
    <row r="237" spans="1:61" x14ac:dyDescent="0.25">
      <c r="A237" s="149"/>
      <c r="B237" s="149"/>
      <c r="C237" s="149"/>
      <c r="D237" s="149"/>
      <c r="E237" s="150"/>
      <c r="F237" s="150"/>
      <c r="G237" s="149"/>
      <c r="H237" s="149"/>
      <c r="I237" s="149"/>
      <c r="J237" s="150"/>
      <c r="K237" s="150"/>
      <c r="L237" s="149"/>
      <c r="M237" s="149"/>
      <c r="N237" s="149"/>
      <c r="O237" s="150"/>
      <c r="P237" s="150"/>
      <c r="Q237" s="149"/>
      <c r="R237" s="149"/>
      <c r="S237" s="149"/>
      <c r="T237" s="150"/>
      <c r="U237" s="150"/>
      <c r="V237" s="150"/>
      <c r="W237" s="150"/>
      <c r="X237" s="150"/>
      <c r="Y237" s="150"/>
      <c r="Z237" s="150"/>
      <c r="AA237" s="150"/>
      <c r="AB237" s="150"/>
      <c r="AC237" s="149"/>
      <c r="AD237" s="149"/>
      <c r="AE237" s="149"/>
      <c r="AF237" s="150"/>
      <c r="AG237" s="150"/>
      <c r="AH237" s="149"/>
      <c r="AI237" s="149"/>
      <c r="AJ237" s="149"/>
      <c r="AK237" s="150"/>
      <c r="AL237" s="150"/>
      <c r="AM237" s="149"/>
      <c r="AN237" s="149"/>
      <c r="AO237" s="149"/>
      <c r="AP237" s="150"/>
      <c r="AQ237" s="150"/>
      <c r="AR237" s="150"/>
      <c r="AS237" s="150"/>
      <c r="AT237" s="150"/>
      <c r="AU237" s="150"/>
      <c r="AV237" s="150"/>
      <c r="AW237" s="150"/>
      <c r="AX237" s="150"/>
      <c r="AY237" s="151"/>
      <c r="AZ237" s="151"/>
      <c r="BA237" s="151"/>
      <c r="BB237" s="151"/>
      <c r="BC237" s="151"/>
      <c r="BD237" s="151"/>
      <c r="BE237" s="151"/>
      <c r="BF237" s="151"/>
      <c r="BG237" s="151"/>
      <c r="BH237" s="151"/>
      <c r="BI237" s="151"/>
    </row>
    <row r="238" spans="1:61" x14ac:dyDescent="0.25">
      <c r="A238" s="149"/>
      <c r="B238" s="149"/>
      <c r="C238" s="149"/>
      <c r="D238" s="149"/>
      <c r="E238" s="150"/>
      <c r="F238" s="150"/>
      <c r="G238" s="149"/>
      <c r="H238" s="149"/>
      <c r="I238" s="149"/>
      <c r="J238" s="150"/>
      <c r="K238" s="150"/>
      <c r="L238" s="149"/>
      <c r="M238" s="149"/>
      <c r="N238" s="149"/>
      <c r="O238" s="150"/>
      <c r="P238" s="150"/>
      <c r="Q238" s="149"/>
      <c r="R238" s="149"/>
      <c r="S238" s="149"/>
      <c r="T238" s="150"/>
      <c r="U238" s="150"/>
      <c r="V238" s="150"/>
      <c r="W238" s="150"/>
      <c r="X238" s="150"/>
      <c r="Y238" s="150"/>
      <c r="Z238" s="150"/>
      <c r="AA238" s="150"/>
      <c r="AB238" s="150"/>
      <c r="AC238" s="149"/>
      <c r="AD238" s="149"/>
      <c r="AE238" s="149"/>
      <c r="AF238" s="150"/>
      <c r="AG238" s="150"/>
      <c r="AH238" s="149"/>
      <c r="AI238" s="149"/>
      <c r="AJ238" s="149"/>
      <c r="AK238" s="150"/>
      <c r="AL238" s="150"/>
      <c r="AM238" s="149"/>
      <c r="AN238" s="149"/>
      <c r="AO238" s="149"/>
      <c r="AP238" s="150"/>
      <c r="AQ238" s="150"/>
      <c r="AR238" s="150"/>
      <c r="AS238" s="150"/>
      <c r="AT238" s="150"/>
      <c r="AU238" s="150"/>
      <c r="AV238" s="150"/>
      <c r="AW238" s="150"/>
      <c r="AX238" s="150"/>
      <c r="AY238" s="151"/>
      <c r="AZ238" s="151"/>
      <c r="BA238" s="151"/>
      <c r="BB238" s="151"/>
      <c r="BC238" s="151"/>
      <c r="BD238" s="151"/>
      <c r="BE238" s="151"/>
      <c r="BF238" s="151"/>
      <c r="BG238" s="151"/>
      <c r="BH238" s="151"/>
      <c r="BI238" s="151"/>
    </row>
    <row r="239" spans="1:61" x14ac:dyDescent="0.25">
      <c r="A239" s="149"/>
      <c r="B239" s="149"/>
      <c r="C239" s="149"/>
      <c r="D239" s="149"/>
      <c r="E239" s="150"/>
      <c r="F239" s="150"/>
      <c r="G239" s="149"/>
      <c r="H239" s="149"/>
      <c r="I239" s="149"/>
      <c r="J239" s="150"/>
      <c r="K239" s="150"/>
      <c r="L239" s="149"/>
      <c r="M239" s="149"/>
      <c r="N239" s="149"/>
      <c r="O239" s="150"/>
      <c r="P239" s="150"/>
      <c r="Q239" s="149"/>
      <c r="R239" s="149"/>
      <c r="S239" s="149"/>
      <c r="T239" s="150"/>
      <c r="U239" s="150"/>
      <c r="V239" s="150"/>
      <c r="W239" s="150"/>
      <c r="X239" s="150"/>
      <c r="Y239" s="150"/>
      <c r="Z239" s="150"/>
      <c r="AA239" s="150"/>
      <c r="AB239" s="150"/>
      <c r="AC239" s="149"/>
      <c r="AD239" s="149"/>
      <c r="AE239" s="149"/>
      <c r="AF239" s="150"/>
      <c r="AG239" s="150"/>
      <c r="AH239" s="149"/>
      <c r="AI239" s="149"/>
      <c r="AJ239" s="149"/>
      <c r="AK239" s="150"/>
      <c r="AL239" s="150"/>
      <c r="AM239" s="149"/>
      <c r="AN239" s="149"/>
      <c r="AO239" s="149"/>
      <c r="AP239" s="150"/>
      <c r="AQ239" s="150"/>
      <c r="AR239" s="150"/>
      <c r="AS239" s="150"/>
      <c r="AT239" s="150"/>
      <c r="AU239" s="150"/>
      <c r="AV239" s="150"/>
      <c r="AW239" s="150"/>
      <c r="AX239" s="150"/>
      <c r="AY239" s="151"/>
      <c r="AZ239" s="151"/>
      <c r="BA239" s="151"/>
      <c r="BB239" s="151"/>
      <c r="BC239" s="151"/>
      <c r="BD239" s="151"/>
      <c r="BE239" s="151"/>
      <c r="BF239" s="151"/>
      <c r="BG239" s="151"/>
      <c r="BH239" s="151"/>
      <c r="BI239" s="151"/>
    </row>
    <row r="240" spans="1:61" x14ac:dyDescent="0.25">
      <c r="A240" s="149"/>
      <c r="B240" s="149"/>
      <c r="C240" s="149"/>
      <c r="D240" s="149"/>
      <c r="E240" s="150"/>
      <c r="F240" s="150"/>
      <c r="G240" s="149"/>
      <c r="H240" s="149"/>
      <c r="I240" s="149"/>
      <c r="J240" s="150"/>
      <c r="K240" s="150"/>
      <c r="L240" s="149"/>
      <c r="M240" s="149"/>
      <c r="N240" s="149"/>
      <c r="O240" s="150"/>
      <c r="P240" s="150"/>
      <c r="Q240" s="149"/>
      <c r="R240" s="149"/>
      <c r="S240" s="149"/>
      <c r="T240" s="150"/>
      <c r="U240" s="150"/>
      <c r="V240" s="150"/>
      <c r="W240" s="150"/>
      <c r="X240" s="150"/>
      <c r="Y240" s="150"/>
      <c r="Z240" s="150"/>
      <c r="AA240" s="150"/>
      <c r="AB240" s="150"/>
      <c r="AC240" s="149"/>
      <c r="AD240" s="149"/>
      <c r="AE240" s="149"/>
      <c r="AF240" s="150"/>
      <c r="AG240" s="150"/>
      <c r="AH240" s="149"/>
      <c r="AI240" s="149"/>
      <c r="AJ240" s="149"/>
      <c r="AK240" s="150"/>
      <c r="AL240" s="150"/>
      <c r="AM240" s="149"/>
      <c r="AN240" s="149"/>
      <c r="AO240" s="149"/>
      <c r="AP240" s="150"/>
      <c r="AQ240" s="150"/>
      <c r="AR240" s="150"/>
      <c r="AS240" s="150"/>
      <c r="AT240" s="150"/>
      <c r="AU240" s="150"/>
      <c r="AV240" s="150"/>
      <c r="AW240" s="150"/>
      <c r="AX240" s="150"/>
      <c r="AY240" s="151"/>
      <c r="AZ240" s="151"/>
      <c r="BA240" s="151"/>
      <c r="BB240" s="151"/>
      <c r="BC240" s="151"/>
      <c r="BD240" s="151"/>
      <c r="BE240" s="151"/>
      <c r="BF240" s="151"/>
      <c r="BG240" s="151"/>
      <c r="BH240" s="151"/>
      <c r="BI240" s="151"/>
    </row>
    <row r="241" spans="1:61" x14ac:dyDescent="0.25">
      <c r="A241" s="149"/>
      <c r="B241" s="149"/>
      <c r="C241" s="149"/>
      <c r="D241" s="149"/>
      <c r="E241" s="150"/>
      <c r="F241" s="150"/>
      <c r="G241" s="149"/>
      <c r="H241" s="149"/>
      <c r="I241" s="149"/>
      <c r="J241" s="150"/>
      <c r="K241" s="150"/>
      <c r="L241" s="149"/>
      <c r="M241" s="149"/>
      <c r="N241" s="149"/>
      <c r="O241" s="150"/>
      <c r="P241" s="150"/>
      <c r="Q241" s="149"/>
      <c r="R241" s="149"/>
      <c r="S241" s="149"/>
      <c r="T241" s="150"/>
      <c r="U241" s="150"/>
      <c r="V241" s="150"/>
      <c r="W241" s="150"/>
      <c r="X241" s="150"/>
      <c r="Y241" s="150"/>
      <c r="Z241" s="150"/>
      <c r="AA241" s="150"/>
      <c r="AB241" s="150"/>
      <c r="AC241" s="149"/>
      <c r="AD241" s="149"/>
      <c r="AE241" s="149"/>
      <c r="AF241" s="150"/>
      <c r="AG241" s="150"/>
      <c r="AH241" s="149"/>
      <c r="AI241" s="149"/>
      <c r="AJ241" s="149"/>
      <c r="AK241" s="150"/>
      <c r="AL241" s="150"/>
      <c r="AM241" s="149"/>
      <c r="AN241" s="149"/>
      <c r="AO241" s="149"/>
      <c r="AP241" s="150"/>
      <c r="AQ241" s="150"/>
      <c r="AR241" s="150"/>
      <c r="AS241" s="150"/>
      <c r="AT241" s="150"/>
      <c r="AU241" s="150"/>
      <c r="AV241" s="150"/>
      <c r="AW241" s="150"/>
      <c r="AX241" s="150"/>
      <c r="AY241" s="151"/>
      <c r="AZ241" s="151"/>
      <c r="BA241" s="151"/>
      <c r="BB241" s="151"/>
      <c r="BC241" s="151"/>
      <c r="BD241" s="151"/>
      <c r="BE241" s="151"/>
      <c r="BF241" s="151"/>
      <c r="BG241" s="151"/>
      <c r="BH241" s="151"/>
      <c r="BI241" s="151"/>
    </row>
    <row r="242" spans="1:61" x14ac:dyDescent="0.25">
      <c r="A242" s="149"/>
      <c r="B242" s="149"/>
      <c r="C242" s="149"/>
      <c r="D242" s="149"/>
      <c r="E242" s="150"/>
      <c r="F242" s="150"/>
      <c r="G242" s="149"/>
      <c r="H242" s="149"/>
      <c r="I242" s="149"/>
      <c r="J242" s="150"/>
      <c r="K242" s="150"/>
      <c r="L242" s="149"/>
      <c r="M242" s="149"/>
      <c r="N242" s="149"/>
      <c r="O242" s="150"/>
      <c r="P242" s="150"/>
      <c r="Q242" s="149"/>
      <c r="R242" s="149"/>
      <c r="S242" s="149"/>
      <c r="T242" s="150"/>
      <c r="U242" s="150"/>
      <c r="V242" s="150"/>
      <c r="W242" s="150"/>
      <c r="X242" s="150"/>
      <c r="Y242" s="150"/>
      <c r="Z242" s="150"/>
      <c r="AA242" s="150"/>
      <c r="AB242" s="150"/>
      <c r="AC242" s="149"/>
      <c r="AD242" s="149"/>
      <c r="AE242" s="149"/>
      <c r="AF242" s="150"/>
      <c r="AG242" s="150"/>
      <c r="AH242" s="149"/>
      <c r="AI242" s="149"/>
      <c r="AJ242" s="149"/>
      <c r="AK242" s="150"/>
      <c r="AL242" s="150"/>
      <c r="AM242" s="149"/>
      <c r="AN242" s="149"/>
      <c r="AO242" s="149"/>
      <c r="AP242" s="150"/>
      <c r="AQ242" s="150"/>
      <c r="AR242" s="150"/>
      <c r="AS242" s="150"/>
      <c r="AT242" s="150"/>
      <c r="AU242" s="150"/>
      <c r="AV242" s="150"/>
      <c r="AW242" s="150"/>
      <c r="AX242" s="150"/>
      <c r="AY242" s="151"/>
      <c r="AZ242" s="151"/>
      <c r="BA242" s="151"/>
      <c r="BB242" s="151"/>
      <c r="BC242" s="151"/>
      <c r="BD242" s="151"/>
      <c r="BE242" s="151"/>
      <c r="BF242" s="151"/>
      <c r="BG242" s="151"/>
      <c r="BH242" s="151"/>
      <c r="BI242" s="151"/>
    </row>
    <row r="243" spans="1:61" x14ac:dyDescent="0.25">
      <c r="A243" s="149"/>
      <c r="B243" s="149"/>
      <c r="C243" s="149"/>
      <c r="D243" s="149"/>
      <c r="E243" s="150"/>
      <c r="F243" s="150"/>
      <c r="G243" s="149"/>
      <c r="H243" s="149"/>
      <c r="I243" s="149"/>
      <c r="J243" s="150"/>
      <c r="K243" s="150"/>
      <c r="L243" s="149"/>
      <c r="M243" s="149"/>
      <c r="N243" s="149"/>
      <c r="O243" s="150"/>
      <c r="P243" s="150"/>
      <c r="Q243" s="149"/>
      <c r="R243" s="149"/>
      <c r="S243" s="149"/>
      <c r="T243" s="150"/>
      <c r="U243" s="150"/>
      <c r="V243" s="150"/>
      <c r="W243" s="150"/>
      <c r="X243" s="150"/>
      <c r="Y243" s="150"/>
      <c r="Z243" s="150"/>
      <c r="AA243" s="150"/>
      <c r="AB243" s="150"/>
      <c r="AC243" s="149"/>
      <c r="AD243" s="149"/>
      <c r="AE243" s="149"/>
      <c r="AF243" s="150"/>
      <c r="AG243" s="150"/>
      <c r="AH243" s="149"/>
      <c r="AI243" s="149"/>
      <c r="AJ243" s="149"/>
      <c r="AK243" s="150"/>
      <c r="AL243" s="150"/>
      <c r="AM243" s="149"/>
      <c r="AN243" s="149"/>
      <c r="AO243" s="149"/>
      <c r="AP243" s="150"/>
      <c r="AQ243" s="150"/>
      <c r="AR243" s="150"/>
      <c r="AS243" s="150"/>
      <c r="AT243" s="150"/>
      <c r="AU243" s="150"/>
      <c r="AV243" s="150"/>
      <c r="AW243" s="150"/>
      <c r="AX243" s="150"/>
      <c r="AY243" s="151"/>
      <c r="AZ243" s="151"/>
      <c r="BA243" s="151"/>
      <c r="BB243" s="151"/>
      <c r="BC243" s="151"/>
      <c r="BD243" s="151"/>
      <c r="BE243" s="151"/>
      <c r="BF243" s="151"/>
      <c r="BG243" s="151"/>
      <c r="BH243" s="151"/>
      <c r="BI243" s="151"/>
    </row>
    <row r="244" spans="1:61" x14ac:dyDescent="0.25">
      <c r="A244" s="149"/>
      <c r="B244" s="149"/>
      <c r="C244" s="149"/>
      <c r="D244" s="149"/>
      <c r="E244" s="150"/>
      <c r="F244" s="150"/>
      <c r="G244" s="149"/>
      <c r="H244" s="149"/>
      <c r="I244" s="149"/>
      <c r="J244" s="150"/>
      <c r="K244" s="150"/>
      <c r="L244" s="149"/>
      <c r="M244" s="149"/>
      <c r="N244" s="149"/>
      <c r="O244" s="150"/>
      <c r="P244" s="150"/>
      <c r="Q244" s="149"/>
      <c r="R244" s="149"/>
      <c r="S244" s="149"/>
      <c r="T244" s="150"/>
      <c r="U244" s="150"/>
      <c r="V244" s="150"/>
      <c r="W244" s="150"/>
      <c r="X244" s="150"/>
      <c r="Y244" s="150"/>
      <c r="Z244" s="150"/>
      <c r="AA244" s="150"/>
      <c r="AB244" s="150"/>
      <c r="AC244" s="149"/>
      <c r="AD244" s="149"/>
      <c r="AE244" s="149"/>
      <c r="AF244" s="150"/>
      <c r="AG244" s="150"/>
      <c r="AH244" s="149"/>
      <c r="AI244" s="149"/>
      <c r="AJ244" s="149"/>
      <c r="AK244" s="150"/>
      <c r="AL244" s="150"/>
      <c r="AM244" s="149"/>
      <c r="AN244" s="149"/>
      <c r="AO244" s="149"/>
      <c r="AP244" s="150"/>
      <c r="AQ244" s="150"/>
      <c r="AR244" s="150"/>
      <c r="AS244" s="150"/>
      <c r="AT244" s="150"/>
      <c r="AU244" s="150"/>
      <c r="AV244" s="150"/>
      <c r="AW244" s="150"/>
      <c r="AX244" s="150"/>
      <c r="AY244" s="151"/>
      <c r="AZ244" s="151"/>
      <c r="BA244" s="151"/>
      <c r="BB244" s="151"/>
      <c r="BC244" s="151"/>
      <c r="BD244" s="151"/>
      <c r="BE244" s="151"/>
      <c r="BF244" s="151"/>
      <c r="BG244" s="151"/>
      <c r="BH244" s="151"/>
      <c r="BI244" s="151"/>
    </row>
    <row r="245" spans="1:61" x14ac:dyDescent="0.25">
      <c r="A245" s="149"/>
      <c r="B245" s="149"/>
      <c r="C245" s="149"/>
      <c r="D245" s="149"/>
      <c r="E245" s="150"/>
      <c r="F245" s="150"/>
      <c r="G245" s="149"/>
      <c r="H245" s="149"/>
      <c r="I245" s="149"/>
      <c r="J245" s="150"/>
      <c r="K245" s="150"/>
      <c r="L245" s="149"/>
      <c r="M245" s="149"/>
      <c r="N245" s="149"/>
      <c r="O245" s="150"/>
      <c r="P245" s="150"/>
      <c r="Q245" s="149"/>
      <c r="R245" s="149"/>
      <c r="S245" s="149"/>
      <c r="T245" s="150"/>
      <c r="U245" s="150"/>
      <c r="V245" s="150"/>
      <c r="W245" s="150"/>
      <c r="X245" s="150"/>
      <c r="Y245" s="150"/>
      <c r="Z245" s="150"/>
      <c r="AA245" s="150"/>
      <c r="AB245" s="150"/>
      <c r="AC245" s="149"/>
      <c r="AD245" s="149"/>
      <c r="AE245" s="149"/>
      <c r="AF245" s="150"/>
      <c r="AG245" s="150"/>
      <c r="AH245" s="149"/>
      <c r="AI245" s="149"/>
      <c r="AJ245" s="149"/>
      <c r="AK245" s="150"/>
      <c r="AL245" s="150"/>
      <c r="AM245" s="149"/>
      <c r="AN245" s="149"/>
      <c r="AO245" s="149"/>
      <c r="AP245" s="150"/>
      <c r="AQ245" s="150"/>
      <c r="AR245" s="150"/>
      <c r="AS245" s="150"/>
      <c r="AT245" s="150"/>
      <c r="AU245" s="150"/>
      <c r="AV245" s="150"/>
      <c r="AW245" s="150"/>
      <c r="AX245" s="150"/>
      <c r="AY245" s="151"/>
      <c r="AZ245" s="151"/>
      <c r="BA245" s="151"/>
      <c r="BB245" s="151"/>
      <c r="BC245" s="151"/>
      <c r="BD245" s="151"/>
      <c r="BE245" s="151"/>
      <c r="BF245" s="151"/>
      <c r="BG245" s="151"/>
      <c r="BH245" s="151"/>
      <c r="BI245" s="151"/>
    </row>
    <row r="246" spans="1:61" x14ac:dyDescent="0.25">
      <c r="A246" s="149"/>
      <c r="B246" s="149"/>
      <c r="C246" s="149"/>
      <c r="D246" s="149"/>
      <c r="E246" s="150"/>
      <c r="F246" s="150"/>
      <c r="G246" s="149"/>
      <c r="H246" s="149"/>
      <c r="I246" s="149"/>
      <c r="J246" s="150"/>
      <c r="K246" s="150"/>
      <c r="L246" s="149"/>
      <c r="M246" s="149"/>
      <c r="N246" s="149"/>
      <c r="O246" s="150"/>
      <c r="P246" s="150"/>
      <c r="Q246" s="149"/>
      <c r="R246" s="149"/>
      <c r="S246" s="149"/>
      <c r="T246" s="150"/>
      <c r="U246" s="150"/>
      <c r="V246" s="150"/>
      <c r="W246" s="150"/>
      <c r="X246" s="150"/>
      <c r="Y246" s="150"/>
      <c r="Z246" s="150"/>
      <c r="AA246" s="150"/>
      <c r="AB246" s="150"/>
      <c r="AC246" s="149"/>
      <c r="AD246" s="149"/>
      <c r="AE246" s="149"/>
      <c r="AF246" s="150"/>
      <c r="AG246" s="150"/>
      <c r="AH246" s="149"/>
      <c r="AI246" s="149"/>
      <c r="AJ246" s="149"/>
      <c r="AK246" s="150"/>
      <c r="AL246" s="150"/>
      <c r="AM246" s="149"/>
      <c r="AN246" s="149"/>
      <c r="AO246" s="149"/>
      <c r="AP246" s="150"/>
      <c r="AQ246" s="150"/>
      <c r="AR246" s="150"/>
      <c r="AS246" s="150"/>
      <c r="AT246" s="150"/>
      <c r="AU246" s="150"/>
      <c r="AV246" s="150"/>
      <c r="AW246" s="150"/>
      <c r="AX246" s="150"/>
      <c r="AY246" s="151"/>
      <c r="AZ246" s="151"/>
      <c r="BA246" s="151"/>
      <c r="BB246" s="151"/>
      <c r="BC246" s="151"/>
      <c r="BD246" s="151"/>
      <c r="BE246" s="151"/>
      <c r="BF246" s="151"/>
      <c r="BG246" s="151"/>
      <c r="BH246" s="151"/>
      <c r="BI246" s="151"/>
    </row>
    <row r="247" spans="1:61" x14ac:dyDescent="0.25">
      <c r="A247" s="149"/>
      <c r="B247" s="149"/>
      <c r="C247" s="149"/>
      <c r="D247" s="149"/>
      <c r="E247" s="150"/>
      <c r="F247" s="150"/>
      <c r="G247" s="149"/>
      <c r="H247" s="149"/>
      <c r="I247" s="149"/>
      <c r="J247" s="150"/>
      <c r="K247" s="150"/>
      <c r="L247" s="149"/>
      <c r="M247" s="149"/>
      <c r="N247" s="149"/>
      <c r="O247" s="150"/>
      <c r="P247" s="150"/>
      <c r="Q247" s="149"/>
      <c r="R247" s="149"/>
      <c r="S247" s="149"/>
      <c r="T247" s="150"/>
      <c r="U247" s="150"/>
      <c r="V247" s="150"/>
      <c r="W247" s="150"/>
      <c r="X247" s="150"/>
      <c r="Y247" s="150"/>
      <c r="Z247" s="150"/>
      <c r="AA247" s="150"/>
      <c r="AB247" s="150"/>
      <c r="AC247" s="149"/>
      <c r="AD247" s="149"/>
      <c r="AE247" s="149"/>
      <c r="AF247" s="150"/>
      <c r="AG247" s="150"/>
      <c r="AH247" s="149"/>
      <c r="AI247" s="149"/>
      <c r="AJ247" s="149"/>
      <c r="AK247" s="150"/>
      <c r="AL247" s="150"/>
      <c r="AM247" s="149"/>
      <c r="AN247" s="149"/>
      <c r="AO247" s="149"/>
      <c r="AP247" s="150"/>
      <c r="AQ247" s="150"/>
      <c r="AR247" s="150"/>
      <c r="AS247" s="150"/>
      <c r="AT247" s="150"/>
      <c r="AU247" s="150"/>
      <c r="AV247" s="150"/>
      <c r="AW247" s="150"/>
      <c r="AX247" s="150"/>
      <c r="AY247" s="151"/>
      <c r="AZ247" s="151"/>
      <c r="BA247" s="151"/>
      <c r="BB247" s="151"/>
      <c r="BC247" s="151"/>
      <c r="BD247" s="151"/>
      <c r="BE247" s="151"/>
      <c r="BF247" s="151"/>
      <c r="BG247" s="151"/>
      <c r="BH247" s="151"/>
      <c r="BI247" s="151"/>
    </row>
    <row r="248" spans="1:61" x14ac:dyDescent="0.25">
      <c r="A248" s="149"/>
      <c r="B248" s="149"/>
      <c r="C248" s="149"/>
      <c r="D248" s="149"/>
      <c r="E248" s="150"/>
      <c r="F248" s="150"/>
      <c r="G248" s="149"/>
      <c r="H248" s="149"/>
      <c r="I248" s="149"/>
      <c r="J248" s="150"/>
      <c r="K248" s="150"/>
      <c r="L248" s="149"/>
      <c r="M248" s="149"/>
      <c r="N248" s="149"/>
      <c r="O248" s="150"/>
      <c r="P248" s="150"/>
      <c r="Q248" s="149"/>
      <c r="R248" s="149"/>
      <c r="S248" s="149"/>
      <c r="T248" s="150"/>
      <c r="U248" s="150"/>
      <c r="V248" s="150"/>
      <c r="W248" s="150"/>
      <c r="X248" s="150"/>
      <c r="Y248" s="150"/>
      <c r="Z248" s="150"/>
      <c r="AA248" s="150"/>
      <c r="AB248" s="150"/>
      <c r="AC248" s="149"/>
      <c r="AD248" s="149"/>
      <c r="AE248" s="149"/>
      <c r="AF248" s="150"/>
      <c r="AG248" s="150"/>
      <c r="AH248" s="149"/>
      <c r="AI248" s="149"/>
      <c r="AJ248" s="149"/>
      <c r="AK248" s="150"/>
      <c r="AL248" s="150"/>
      <c r="AM248" s="149"/>
      <c r="AN248" s="149"/>
      <c r="AO248" s="149"/>
      <c r="AP248" s="150"/>
      <c r="AQ248" s="150"/>
      <c r="AR248" s="150"/>
      <c r="AS248" s="150"/>
      <c r="AT248" s="150"/>
      <c r="AU248" s="150"/>
      <c r="AV248" s="150"/>
      <c r="AW248" s="150"/>
      <c r="AX248" s="150"/>
      <c r="AY248" s="151"/>
      <c r="AZ248" s="151"/>
      <c r="BA248" s="151"/>
      <c r="BB248" s="151"/>
      <c r="BC248" s="151"/>
      <c r="BD248" s="151"/>
      <c r="BE248" s="151"/>
      <c r="BF248" s="151"/>
      <c r="BG248" s="151"/>
      <c r="BH248" s="151"/>
      <c r="BI248" s="151"/>
    </row>
    <row r="249" spans="1:61" x14ac:dyDescent="0.25">
      <c r="A249" s="149"/>
      <c r="B249" s="149"/>
      <c r="C249" s="149"/>
      <c r="D249" s="149"/>
      <c r="E249" s="150"/>
      <c r="F249" s="150"/>
      <c r="G249" s="149"/>
      <c r="H249" s="149"/>
      <c r="I249" s="149"/>
      <c r="J249" s="150"/>
      <c r="K249" s="150"/>
      <c r="L249" s="149"/>
      <c r="M249" s="149"/>
      <c r="N249" s="149"/>
      <c r="O249" s="150"/>
      <c r="P249" s="150"/>
      <c r="Q249" s="149"/>
      <c r="R249" s="149"/>
      <c r="S249" s="149"/>
      <c r="T249" s="150"/>
      <c r="U249" s="150"/>
      <c r="V249" s="150"/>
      <c r="W249" s="150"/>
      <c r="X249" s="150"/>
      <c r="Y249" s="150"/>
      <c r="Z249" s="150"/>
      <c r="AA249" s="150"/>
      <c r="AB249" s="150"/>
      <c r="AC249" s="149"/>
      <c r="AD249" s="149"/>
      <c r="AE249" s="149"/>
      <c r="AF249" s="150"/>
      <c r="AG249" s="150"/>
      <c r="AH249" s="149"/>
      <c r="AI249" s="149"/>
      <c r="AJ249" s="149"/>
      <c r="AK249" s="150"/>
      <c r="AL249" s="150"/>
      <c r="AM249" s="149"/>
      <c r="AN249" s="149"/>
      <c r="AO249" s="149"/>
      <c r="AP249" s="150"/>
      <c r="AQ249" s="150"/>
      <c r="AR249" s="150"/>
      <c r="AS249" s="150"/>
      <c r="AT249" s="150"/>
      <c r="AU249" s="150"/>
      <c r="AV249" s="150"/>
      <c r="AW249" s="150"/>
      <c r="AX249" s="150"/>
      <c r="AY249" s="151"/>
      <c r="AZ249" s="151"/>
      <c r="BA249" s="151"/>
      <c r="BB249" s="151"/>
      <c r="BC249" s="151"/>
      <c r="BD249" s="151"/>
      <c r="BE249" s="151"/>
      <c r="BF249" s="151"/>
      <c r="BG249" s="151"/>
      <c r="BH249" s="151"/>
      <c r="BI249" s="151"/>
    </row>
    <row r="250" spans="1:61" x14ac:dyDescent="0.25">
      <c r="A250" s="149"/>
      <c r="B250" s="149"/>
      <c r="C250" s="149"/>
      <c r="D250" s="149"/>
      <c r="E250" s="150"/>
      <c r="F250" s="150"/>
      <c r="G250" s="149"/>
      <c r="H250" s="149"/>
      <c r="I250" s="149"/>
      <c r="J250" s="150"/>
      <c r="K250" s="150"/>
      <c r="L250" s="149"/>
      <c r="M250" s="149"/>
      <c r="N250" s="149"/>
      <c r="O250" s="150"/>
      <c r="P250" s="150"/>
      <c r="Q250" s="149"/>
      <c r="R250" s="149"/>
      <c r="S250" s="149"/>
      <c r="T250" s="150"/>
      <c r="U250" s="150"/>
      <c r="V250" s="150"/>
      <c r="W250" s="150"/>
      <c r="X250" s="150"/>
      <c r="Y250" s="150"/>
      <c r="Z250" s="150"/>
      <c r="AA250" s="150"/>
      <c r="AB250" s="150"/>
      <c r="AC250" s="149"/>
      <c r="AD250" s="149"/>
      <c r="AE250" s="149"/>
      <c r="AF250" s="150"/>
      <c r="AG250" s="150"/>
      <c r="AH250" s="149"/>
      <c r="AI250" s="149"/>
      <c r="AJ250" s="149"/>
      <c r="AK250" s="150"/>
      <c r="AL250" s="150"/>
      <c r="AM250" s="149"/>
      <c r="AN250" s="149"/>
      <c r="AO250" s="149"/>
      <c r="AP250" s="150"/>
      <c r="AQ250" s="150"/>
      <c r="AR250" s="150"/>
      <c r="AS250" s="150"/>
      <c r="AT250" s="150"/>
      <c r="AU250" s="150"/>
      <c r="AV250" s="150"/>
      <c r="AW250" s="150"/>
      <c r="AX250" s="150"/>
      <c r="AY250" s="151"/>
      <c r="AZ250" s="151"/>
      <c r="BA250" s="151"/>
      <c r="BB250" s="151"/>
      <c r="BC250" s="151"/>
      <c r="BD250" s="151"/>
      <c r="BE250" s="151"/>
      <c r="BF250" s="151"/>
      <c r="BG250" s="151"/>
      <c r="BH250" s="151"/>
      <c r="BI250" s="151"/>
    </row>
    <row r="251" spans="1:61" x14ac:dyDescent="0.25">
      <c r="A251" s="149"/>
      <c r="B251" s="149"/>
      <c r="C251" s="149"/>
      <c r="D251" s="149"/>
      <c r="E251" s="150"/>
      <c r="F251" s="150"/>
      <c r="G251" s="149"/>
      <c r="H251" s="149"/>
      <c r="I251" s="149"/>
      <c r="J251" s="150"/>
      <c r="K251" s="150"/>
      <c r="L251" s="149"/>
      <c r="M251" s="149"/>
      <c r="N251" s="149"/>
      <c r="O251" s="150"/>
      <c r="P251" s="150"/>
      <c r="Q251" s="149"/>
      <c r="R251" s="149"/>
      <c r="S251" s="149"/>
      <c r="T251" s="150"/>
      <c r="U251" s="150"/>
      <c r="V251" s="150"/>
      <c r="W251" s="150"/>
      <c r="X251" s="150"/>
      <c r="Y251" s="150"/>
      <c r="Z251" s="150"/>
      <c r="AA251" s="150"/>
      <c r="AB251" s="150"/>
      <c r="AC251" s="149"/>
      <c r="AD251" s="149"/>
      <c r="AE251" s="149"/>
      <c r="AF251" s="150"/>
      <c r="AG251" s="150"/>
      <c r="AH251" s="149"/>
      <c r="AI251" s="149"/>
      <c r="AJ251" s="149"/>
      <c r="AK251" s="150"/>
      <c r="AL251" s="150"/>
      <c r="AM251" s="149"/>
      <c r="AN251" s="149"/>
      <c r="AO251" s="149"/>
      <c r="AP251" s="150"/>
      <c r="AQ251" s="150"/>
      <c r="AR251" s="150"/>
      <c r="AS251" s="150"/>
      <c r="AT251" s="150"/>
      <c r="AU251" s="150"/>
      <c r="AV251" s="150"/>
      <c r="AW251" s="150"/>
      <c r="AX251" s="150"/>
      <c r="AY251" s="151"/>
      <c r="AZ251" s="151"/>
      <c r="BA251" s="151"/>
      <c r="BB251" s="151"/>
      <c r="BC251" s="151"/>
      <c r="BD251" s="151"/>
      <c r="BE251" s="151"/>
      <c r="BF251" s="151"/>
      <c r="BG251" s="151"/>
      <c r="BH251" s="151"/>
      <c r="BI251" s="151"/>
    </row>
    <row r="252" spans="1:61" x14ac:dyDescent="0.25">
      <c r="A252" s="149"/>
      <c r="B252" s="149"/>
      <c r="C252" s="149"/>
      <c r="D252" s="149"/>
      <c r="E252" s="150"/>
      <c r="F252" s="150"/>
      <c r="G252" s="149"/>
      <c r="H252" s="149"/>
      <c r="I252" s="149"/>
      <c r="J252" s="150"/>
      <c r="K252" s="150"/>
      <c r="L252" s="149"/>
      <c r="M252" s="149"/>
      <c r="N252" s="149"/>
      <c r="O252" s="150"/>
      <c r="P252" s="150"/>
      <c r="Q252" s="149"/>
      <c r="R252" s="149"/>
      <c r="S252" s="149"/>
      <c r="T252" s="150"/>
      <c r="U252" s="150"/>
      <c r="V252" s="150"/>
      <c r="W252" s="150"/>
      <c r="X252" s="150"/>
      <c r="Y252" s="150"/>
      <c r="Z252" s="150"/>
      <c r="AA252" s="150"/>
      <c r="AB252" s="150"/>
      <c r="AC252" s="149"/>
      <c r="AD252" s="149"/>
      <c r="AE252" s="149"/>
      <c r="AF252" s="150"/>
      <c r="AG252" s="150"/>
      <c r="AH252" s="149"/>
      <c r="AI252" s="149"/>
      <c r="AJ252" s="149"/>
      <c r="AK252" s="150"/>
      <c r="AL252" s="150"/>
      <c r="AM252" s="149"/>
      <c r="AN252" s="149"/>
      <c r="AO252" s="149"/>
      <c r="AP252" s="150"/>
      <c r="AQ252" s="150"/>
      <c r="AR252" s="150"/>
      <c r="AS252" s="150"/>
      <c r="AT252" s="150"/>
      <c r="AU252" s="150"/>
      <c r="AV252" s="150"/>
      <c r="AW252" s="150"/>
      <c r="AX252" s="150"/>
      <c r="AY252" s="151"/>
      <c r="AZ252" s="151"/>
      <c r="BA252" s="151"/>
      <c r="BB252" s="151"/>
      <c r="BC252" s="151"/>
      <c r="BD252" s="151"/>
      <c r="BE252" s="151"/>
      <c r="BF252" s="151"/>
      <c r="BG252" s="151"/>
      <c r="BH252" s="151"/>
      <c r="BI252" s="151"/>
    </row>
    <row r="253" spans="1:61" x14ac:dyDescent="0.25">
      <c r="A253" s="149"/>
      <c r="B253" s="149"/>
      <c r="C253" s="149"/>
      <c r="D253" s="149"/>
      <c r="E253" s="150"/>
      <c r="F253" s="150"/>
      <c r="G253" s="149"/>
      <c r="H253" s="149"/>
      <c r="I253" s="149"/>
      <c r="J253" s="150"/>
      <c r="K253" s="150"/>
      <c r="L253" s="149"/>
      <c r="M253" s="149"/>
      <c r="N253" s="149"/>
      <c r="O253" s="150"/>
      <c r="P253" s="150"/>
      <c r="Q253" s="149"/>
      <c r="R253" s="149"/>
      <c r="S253" s="149"/>
      <c r="T253" s="150"/>
      <c r="U253" s="150"/>
      <c r="V253" s="150"/>
      <c r="W253" s="150"/>
      <c r="X253" s="150"/>
      <c r="Y253" s="150"/>
      <c r="Z253" s="150"/>
      <c r="AA253" s="150"/>
      <c r="AB253" s="150"/>
      <c r="AC253" s="149"/>
      <c r="AD253" s="149"/>
      <c r="AE253" s="149"/>
      <c r="AF253" s="150"/>
      <c r="AG253" s="150"/>
      <c r="AH253" s="149"/>
      <c r="AI253" s="149"/>
      <c r="AJ253" s="149"/>
      <c r="AK253" s="150"/>
      <c r="AL253" s="150"/>
      <c r="AM253" s="149"/>
      <c r="AN253" s="149"/>
      <c r="AO253" s="149"/>
      <c r="AP253" s="150"/>
      <c r="AQ253" s="150"/>
      <c r="AR253" s="150"/>
      <c r="AS253" s="150"/>
      <c r="AT253" s="150"/>
      <c r="AU253" s="150"/>
      <c r="AV253" s="150"/>
      <c r="AW253" s="150"/>
      <c r="AX253" s="150"/>
      <c r="AY253" s="151"/>
      <c r="AZ253" s="151"/>
      <c r="BA253" s="151"/>
      <c r="BB253" s="151"/>
      <c r="BC253" s="151"/>
      <c r="BD253" s="151"/>
      <c r="BE253" s="151"/>
      <c r="BF253" s="151"/>
      <c r="BG253" s="151"/>
      <c r="BH253" s="151"/>
      <c r="BI253" s="151"/>
    </row>
    <row r="254" spans="1:61" x14ac:dyDescent="0.25">
      <c r="A254" s="149"/>
      <c r="B254" s="149"/>
      <c r="C254" s="149"/>
      <c r="D254" s="149"/>
      <c r="E254" s="150"/>
      <c r="F254" s="150"/>
      <c r="G254" s="149"/>
      <c r="H254" s="149"/>
      <c r="I254" s="149"/>
      <c r="J254" s="150"/>
      <c r="K254" s="150"/>
      <c r="L254" s="149"/>
      <c r="M254" s="149"/>
      <c r="N254" s="149"/>
      <c r="O254" s="150"/>
      <c r="P254" s="150"/>
      <c r="Q254" s="149"/>
      <c r="R254" s="149"/>
      <c r="S254" s="149"/>
      <c r="T254" s="150"/>
      <c r="U254" s="150"/>
      <c r="V254" s="150"/>
      <c r="W254" s="150"/>
      <c r="X254" s="150"/>
      <c r="Y254" s="150"/>
      <c r="Z254" s="150"/>
      <c r="AA254" s="150"/>
      <c r="AB254" s="150"/>
      <c r="AC254" s="149"/>
      <c r="AD254" s="149"/>
      <c r="AE254" s="149"/>
      <c r="AF254" s="150"/>
      <c r="AG254" s="150"/>
      <c r="AH254" s="149"/>
      <c r="AI254" s="149"/>
      <c r="AJ254" s="149"/>
      <c r="AK254" s="150"/>
      <c r="AL254" s="150"/>
      <c r="AM254" s="149"/>
      <c r="AN254" s="149"/>
      <c r="AO254" s="149"/>
      <c r="AP254" s="150"/>
      <c r="AQ254" s="150"/>
      <c r="AR254" s="150"/>
      <c r="AS254" s="150"/>
      <c r="AT254" s="150"/>
      <c r="AU254" s="150"/>
      <c r="AV254" s="150"/>
      <c r="AW254" s="150"/>
      <c r="AX254" s="150"/>
      <c r="AY254" s="151"/>
      <c r="AZ254" s="151"/>
      <c r="BA254" s="151"/>
      <c r="BB254" s="151"/>
      <c r="BC254" s="151"/>
      <c r="BD254" s="151"/>
      <c r="BE254" s="151"/>
      <c r="BF254" s="151"/>
      <c r="BG254" s="151"/>
      <c r="BH254" s="151"/>
      <c r="BI254" s="151"/>
    </row>
    <row r="255" spans="1:61" x14ac:dyDescent="0.25">
      <c r="A255" s="149"/>
      <c r="B255" s="149"/>
      <c r="C255" s="149"/>
      <c r="D255" s="149"/>
      <c r="E255" s="150"/>
      <c r="F255" s="150"/>
      <c r="G255" s="149"/>
      <c r="H255" s="149"/>
      <c r="I255" s="149"/>
      <c r="J255" s="150"/>
      <c r="K255" s="150"/>
      <c r="L255" s="149"/>
      <c r="M255" s="149"/>
      <c r="N255" s="149"/>
      <c r="O255" s="150"/>
      <c r="P255" s="150"/>
      <c r="Q255" s="149"/>
      <c r="R255" s="149"/>
      <c r="S255" s="149"/>
      <c r="T255" s="150"/>
      <c r="U255" s="150"/>
      <c r="V255" s="150"/>
      <c r="W255" s="150"/>
      <c r="X255" s="150"/>
      <c r="Y255" s="150"/>
      <c r="Z255" s="150"/>
      <c r="AA255" s="150"/>
      <c r="AB255" s="150"/>
      <c r="AC255" s="149"/>
      <c r="AD255" s="149"/>
      <c r="AE255" s="149"/>
      <c r="AF255" s="150"/>
      <c r="AG255" s="150"/>
      <c r="AH255" s="149"/>
      <c r="AI255" s="149"/>
      <c r="AJ255" s="149"/>
      <c r="AK255" s="150"/>
      <c r="AL255" s="150"/>
      <c r="AM255" s="149"/>
      <c r="AN255" s="149"/>
      <c r="AO255" s="149"/>
      <c r="AP255" s="150"/>
      <c r="AQ255" s="150"/>
      <c r="AR255" s="150"/>
      <c r="AS255" s="150"/>
      <c r="AT255" s="150"/>
      <c r="AU255" s="150"/>
      <c r="AV255" s="150"/>
      <c r="AW255" s="150"/>
      <c r="AX255" s="150"/>
      <c r="AY255" s="151"/>
      <c r="AZ255" s="151"/>
      <c r="BA255" s="151"/>
      <c r="BB255" s="151"/>
      <c r="BC255" s="151"/>
      <c r="BD255" s="151"/>
      <c r="BE255" s="151"/>
      <c r="BF255" s="151"/>
      <c r="BG255" s="151"/>
      <c r="BH255" s="151"/>
      <c r="BI255" s="151"/>
    </row>
    <row r="256" spans="1:61" x14ac:dyDescent="0.25">
      <c r="A256" s="149"/>
      <c r="B256" s="149"/>
      <c r="C256" s="149"/>
      <c r="D256" s="149"/>
      <c r="E256" s="150"/>
      <c r="F256" s="150"/>
      <c r="G256" s="149"/>
      <c r="H256" s="149"/>
      <c r="I256" s="149"/>
      <c r="J256" s="150"/>
      <c r="K256" s="150"/>
      <c r="L256" s="149"/>
      <c r="M256" s="149"/>
      <c r="N256" s="149"/>
      <c r="O256" s="150"/>
      <c r="P256" s="150"/>
      <c r="Q256" s="149"/>
      <c r="R256" s="149"/>
      <c r="S256" s="149"/>
      <c r="T256" s="150"/>
      <c r="U256" s="150"/>
      <c r="V256" s="150"/>
      <c r="W256" s="150"/>
      <c r="X256" s="150"/>
      <c r="Y256" s="150"/>
      <c r="Z256" s="150"/>
      <c r="AA256" s="150"/>
      <c r="AB256" s="150"/>
      <c r="AC256" s="149"/>
      <c r="AD256" s="149"/>
      <c r="AE256" s="149"/>
      <c r="AF256" s="150"/>
      <c r="AG256" s="150"/>
      <c r="AH256" s="149"/>
      <c r="AI256" s="149"/>
      <c r="AJ256" s="149"/>
      <c r="AK256" s="150"/>
      <c r="AL256" s="150"/>
      <c r="AM256" s="149"/>
      <c r="AN256" s="149"/>
      <c r="AO256" s="149"/>
      <c r="AP256" s="150"/>
      <c r="AQ256" s="150"/>
      <c r="AR256" s="150"/>
      <c r="AS256" s="150"/>
      <c r="AT256" s="150"/>
      <c r="AU256" s="150"/>
      <c r="AV256" s="150"/>
      <c r="AW256" s="150"/>
      <c r="AX256" s="150"/>
      <c r="AY256" s="151"/>
      <c r="AZ256" s="151"/>
      <c r="BA256" s="151"/>
      <c r="BB256" s="151"/>
      <c r="BC256" s="151"/>
      <c r="BD256" s="151"/>
      <c r="BE256" s="151"/>
      <c r="BF256" s="151"/>
      <c r="BG256" s="151"/>
      <c r="BH256" s="151"/>
      <c r="BI256" s="151"/>
    </row>
    <row r="257" spans="1:61" x14ac:dyDescent="0.25">
      <c r="A257" s="149"/>
      <c r="B257" s="149"/>
      <c r="C257" s="149"/>
      <c r="D257" s="149"/>
      <c r="E257" s="150"/>
      <c r="F257" s="150"/>
      <c r="G257" s="149"/>
      <c r="H257" s="149"/>
      <c r="I257" s="149"/>
      <c r="J257" s="150"/>
      <c r="K257" s="150"/>
      <c r="L257" s="149"/>
      <c r="M257" s="149"/>
      <c r="N257" s="149"/>
      <c r="O257" s="150"/>
      <c r="P257" s="150"/>
      <c r="Q257" s="149"/>
      <c r="R257" s="149"/>
      <c r="S257" s="149"/>
      <c r="T257" s="150"/>
      <c r="U257" s="150"/>
      <c r="V257" s="150"/>
      <c r="W257" s="150"/>
      <c r="X257" s="150"/>
      <c r="Y257" s="150"/>
      <c r="Z257" s="150"/>
      <c r="AA257" s="150"/>
      <c r="AB257" s="150"/>
      <c r="AC257" s="149"/>
      <c r="AD257" s="149"/>
      <c r="AE257" s="149"/>
      <c r="AF257" s="150"/>
      <c r="AG257" s="150"/>
      <c r="AH257" s="149"/>
      <c r="AI257" s="149"/>
      <c r="AJ257" s="149"/>
      <c r="AK257" s="150"/>
      <c r="AL257" s="150"/>
      <c r="AM257" s="149"/>
      <c r="AN257" s="149"/>
      <c r="AO257" s="149"/>
      <c r="AP257" s="150"/>
      <c r="AQ257" s="150"/>
      <c r="AR257" s="150"/>
      <c r="AS257" s="150"/>
      <c r="AT257" s="150"/>
      <c r="AU257" s="150"/>
      <c r="AV257" s="150"/>
      <c r="AW257" s="150"/>
      <c r="AX257" s="150"/>
      <c r="AY257" s="151"/>
      <c r="AZ257" s="151"/>
      <c r="BA257" s="151"/>
      <c r="BB257" s="151"/>
      <c r="BC257" s="151"/>
      <c r="BD257" s="151"/>
      <c r="BE257" s="151"/>
      <c r="BF257" s="151"/>
      <c r="BG257" s="151"/>
      <c r="BH257" s="151"/>
      <c r="BI257" s="151"/>
    </row>
    <row r="258" spans="1:61" x14ac:dyDescent="0.25">
      <c r="A258" s="149"/>
      <c r="B258" s="149"/>
      <c r="C258" s="149"/>
      <c r="D258" s="149"/>
      <c r="E258" s="150"/>
      <c r="F258" s="150"/>
      <c r="G258" s="149"/>
      <c r="H258" s="149"/>
      <c r="I258" s="149"/>
      <c r="J258" s="150"/>
      <c r="K258" s="150"/>
      <c r="L258" s="149"/>
      <c r="M258" s="149"/>
      <c r="N258" s="149"/>
      <c r="O258" s="150"/>
      <c r="P258" s="150"/>
      <c r="Q258" s="149"/>
      <c r="R258" s="149"/>
      <c r="S258" s="149"/>
      <c r="T258" s="150"/>
      <c r="U258" s="150"/>
      <c r="V258" s="150"/>
      <c r="W258" s="150"/>
      <c r="X258" s="150"/>
      <c r="Y258" s="150"/>
      <c r="Z258" s="150"/>
      <c r="AA258" s="150"/>
      <c r="AB258" s="150"/>
      <c r="AC258" s="149"/>
      <c r="AD258" s="149"/>
      <c r="AE258" s="149"/>
      <c r="AF258" s="150"/>
      <c r="AG258" s="150"/>
      <c r="AH258" s="149"/>
      <c r="AI258" s="149"/>
      <c r="AJ258" s="149"/>
      <c r="AK258" s="150"/>
      <c r="AL258" s="150"/>
      <c r="AM258" s="149"/>
      <c r="AN258" s="149"/>
      <c r="AO258" s="149"/>
      <c r="AP258" s="150"/>
      <c r="AQ258" s="150"/>
      <c r="AR258" s="150"/>
      <c r="AS258" s="150"/>
      <c r="AT258" s="150"/>
      <c r="AU258" s="150"/>
      <c r="AV258" s="150"/>
      <c r="AW258" s="150"/>
      <c r="AX258" s="150"/>
      <c r="AY258" s="151"/>
      <c r="AZ258" s="151"/>
      <c r="BA258" s="151"/>
      <c r="BB258" s="151"/>
      <c r="BC258" s="151"/>
      <c r="BD258" s="151"/>
      <c r="BE258" s="151"/>
      <c r="BF258" s="151"/>
      <c r="BG258" s="151"/>
      <c r="BH258" s="151"/>
      <c r="BI258" s="151"/>
    </row>
    <row r="259" spans="1:61" x14ac:dyDescent="0.25">
      <c r="A259" s="149"/>
      <c r="B259" s="149"/>
      <c r="C259" s="149"/>
      <c r="D259" s="149"/>
      <c r="E259" s="150"/>
      <c r="F259" s="150"/>
      <c r="G259" s="149"/>
      <c r="H259" s="149"/>
      <c r="I259" s="149"/>
      <c r="J259" s="150"/>
      <c r="K259" s="150"/>
      <c r="L259" s="149"/>
      <c r="M259" s="149"/>
      <c r="N259" s="149"/>
      <c r="O259" s="150"/>
      <c r="P259" s="150"/>
      <c r="Q259" s="149"/>
      <c r="R259" s="149"/>
      <c r="S259" s="149"/>
      <c r="T259" s="150"/>
      <c r="U259" s="150"/>
      <c r="V259" s="150"/>
      <c r="W259" s="150"/>
      <c r="X259" s="150"/>
      <c r="Y259" s="150"/>
      <c r="Z259" s="150"/>
      <c r="AA259" s="150"/>
      <c r="AB259" s="150"/>
      <c r="AC259" s="149"/>
      <c r="AD259" s="149"/>
      <c r="AE259" s="149"/>
      <c r="AF259" s="150"/>
      <c r="AG259" s="150"/>
      <c r="AH259" s="149"/>
      <c r="AI259" s="149"/>
      <c r="AJ259" s="149"/>
      <c r="AK259" s="150"/>
      <c r="AL259" s="150"/>
      <c r="AM259" s="149"/>
      <c r="AN259" s="149"/>
      <c r="AO259" s="149"/>
      <c r="AP259" s="150"/>
      <c r="AQ259" s="150"/>
      <c r="AR259" s="150"/>
      <c r="AS259" s="150"/>
      <c r="AT259" s="150"/>
      <c r="AU259" s="150"/>
      <c r="AV259" s="150"/>
      <c r="AW259" s="150"/>
      <c r="AX259" s="150"/>
      <c r="AY259" s="151"/>
      <c r="AZ259" s="151"/>
      <c r="BA259" s="151"/>
      <c r="BB259" s="151"/>
      <c r="BC259" s="151"/>
      <c r="BD259" s="151"/>
      <c r="BE259" s="151"/>
      <c r="BF259" s="151"/>
      <c r="BG259" s="151"/>
      <c r="BH259" s="151"/>
      <c r="BI259" s="151"/>
    </row>
    <row r="260" spans="1:61" x14ac:dyDescent="0.25">
      <c r="A260" s="149"/>
      <c r="B260" s="149"/>
      <c r="C260" s="149"/>
      <c r="D260" s="149"/>
      <c r="E260" s="150"/>
      <c r="F260" s="150"/>
      <c r="G260" s="149"/>
      <c r="H260" s="149"/>
      <c r="I260" s="149"/>
      <c r="J260" s="150"/>
      <c r="K260" s="150"/>
      <c r="L260" s="149"/>
      <c r="M260" s="149"/>
      <c r="N260" s="149"/>
      <c r="O260" s="150"/>
      <c r="P260" s="150"/>
      <c r="Q260" s="149"/>
      <c r="R260" s="149"/>
      <c r="S260" s="149"/>
      <c r="T260" s="150"/>
      <c r="U260" s="150"/>
      <c r="V260" s="150"/>
      <c r="W260" s="150"/>
      <c r="X260" s="150"/>
      <c r="Y260" s="150"/>
      <c r="Z260" s="150"/>
      <c r="AA260" s="150"/>
      <c r="AB260" s="150"/>
      <c r="AC260" s="149"/>
      <c r="AD260" s="149"/>
      <c r="AE260" s="149"/>
      <c r="AF260" s="150"/>
      <c r="AG260" s="150"/>
      <c r="AH260" s="149"/>
      <c r="AI260" s="149"/>
      <c r="AJ260" s="149"/>
      <c r="AK260" s="150"/>
      <c r="AL260" s="150"/>
      <c r="AM260" s="149"/>
      <c r="AN260" s="149"/>
      <c r="AO260" s="149"/>
      <c r="AP260" s="150"/>
      <c r="AQ260" s="150"/>
      <c r="AR260" s="150"/>
      <c r="AS260" s="150"/>
      <c r="AT260" s="150"/>
      <c r="AU260" s="150"/>
      <c r="AV260" s="150"/>
      <c r="AW260" s="150"/>
      <c r="AX260" s="150"/>
      <c r="AY260" s="151"/>
      <c r="AZ260" s="151"/>
      <c r="BA260" s="151"/>
      <c r="BB260" s="151"/>
      <c r="BC260" s="151"/>
      <c r="BD260" s="151"/>
      <c r="BE260" s="151"/>
      <c r="BF260" s="151"/>
      <c r="BG260" s="151"/>
      <c r="BH260" s="151"/>
      <c r="BI260" s="151"/>
    </row>
    <row r="261" spans="1:61" x14ac:dyDescent="0.25">
      <c r="A261" s="149"/>
      <c r="B261" s="149"/>
      <c r="C261" s="149"/>
      <c r="D261" s="149"/>
      <c r="E261" s="150"/>
      <c r="F261" s="150"/>
      <c r="G261" s="149"/>
      <c r="H261" s="149"/>
      <c r="I261" s="149"/>
      <c r="J261" s="150"/>
      <c r="K261" s="150"/>
      <c r="L261" s="149"/>
      <c r="M261" s="149"/>
      <c r="N261" s="149"/>
      <c r="O261" s="150"/>
      <c r="P261" s="150"/>
      <c r="Q261" s="149"/>
      <c r="R261" s="149"/>
      <c r="S261" s="149"/>
      <c r="T261" s="150"/>
      <c r="U261" s="150"/>
      <c r="V261" s="150"/>
      <c r="W261" s="150"/>
      <c r="X261" s="150"/>
      <c r="Y261" s="150"/>
      <c r="Z261" s="150"/>
      <c r="AA261" s="150"/>
      <c r="AB261" s="150"/>
      <c r="AC261" s="149"/>
      <c r="AD261" s="149"/>
      <c r="AE261" s="149"/>
      <c r="AF261" s="150"/>
      <c r="AG261" s="150"/>
      <c r="AH261" s="149"/>
      <c r="AI261" s="149"/>
      <c r="AJ261" s="149"/>
      <c r="AK261" s="150"/>
      <c r="AL261" s="150"/>
      <c r="AM261" s="149"/>
      <c r="AN261" s="149"/>
      <c r="AO261" s="149"/>
      <c r="AP261" s="150"/>
      <c r="AQ261" s="150"/>
      <c r="AR261" s="150"/>
      <c r="AS261" s="150"/>
      <c r="AT261" s="150"/>
      <c r="AU261" s="150"/>
      <c r="AV261" s="150"/>
      <c r="AW261" s="150"/>
      <c r="AX261" s="150"/>
      <c r="AY261" s="151"/>
      <c r="AZ261" s="151"/>
      <c r="BA261" s="151"/>
      <c r="BB261" s="151"/>
      <c r="BC261" s="151"/>
      <c r="BD261" s="151"/>
      <c r="BE261" s="151"/>
      <c r="BF261" s="151"/>
      <c r="BG261" s="151"/>
      <c r="BH261" s="151"/>
      <c r="BI261" s="151"/>
    </row>
    <row r="262" spans="1:61" x14ac:dyDescent="0.25">
      <c r="A262" s="149"/>
      <c r="B262" s="149"/>
      <c r="C262" s="149"/>
      <c r="D262" s="149"/>
      <c r="E262" s="150"/>
      <c r="F262" s="150"/>
      <c r="G262" s="149"/>
      <c r="H262" s="149"/>
      <c r="I262" s="149"/>
      <c r="J262" s="150"/>
      <c r="K262" s="150"/>
      <c r="L262" s="149"/>
      <c r="M262" s="149"/>
      <c r="N262" s="149"/>
      <c r="O262" s="150"/>
      <c r="P262" s="150"/>
      <c r="Q262" s="149"/>
      <c r="R262" s="149"/>
      <c r="S262" s="149"/>
      <c r="T262" s="150"/>
      <c r="U262" s="150"/>
      <c r="V262" s="150"/>
      <c r="W262" s="150"/>
      <c r="X262" s="150"/>
      <c r="Y262" s="150"/>
      <c r="Z262" s="150"/>
      <c r="AA262" s="150"/>
      <c r="AB262" s="150"/>
      <c r="AC262" s="149"/>
      <c r="AD262" s="149"/>
      <c r="AE262" s="149"/>
      <c r="AF262" s="150"/>
      <c r="AG262" s="150"/>
      <c r="AH262" s="149"/>
      <c r="AI262" s="149"/>
      <c r="AJ262" s="149"/>
      <c r="AK262" s="150"/>
      <c r="AL262" s="150"/>
      <c r="AM262" s="149"/>
      <c r="AN262" s="149"/>
      <c r="AO262" s="149"/>
      <c r="AP262" s="150"/>
      <c r="AQ262" s="150"/>
      <c r="AR262" s="150"/>
      <c r="AS262" s="150"/>
      <c r="AT262" s="150"/>
      <c r="AU262" s="150"/>
      <c r="AV262" s="150"/>
      <c r="AW262" s="150"/>
      <c r="AX262" s="150"/>
      <c r="AY262" s="151"/>
      <c r="AZ262" s="151"/>
      <c r="BA262" s="151"/>
      <c r="BB262" s="151"/>
      <c r="BC262" s="151"/>
      <c r="BD262" s="151"/>
      <c r="BE262" s="151"/>
      <c r="BF262" s="151"/>
      <c r="BG262" s="151"/>
      <c r="BH262" s="151"/>
      <c r="BI262" s="151"/>
    </row>
    <row r="263" spans="1:61" x14ac:dyDescent="0.25">
      <c r="A263" s="149"/>
      <c r="B263" s="149"/>
      <c r="C263" s="149"/>
      <c r="D263" s="149"/>
      <c r="E263" s="150"/>
      <c r="F263" s="150"/>
      <c r="G263" s="149"/>
      <c r="H263" s="149"/>
      <c r="I263" s="149"/>
      <c r="J263" s="150"/>
      <c r="K263" s="150"/>
      <c r="L263" s="149"/>
      <c r="M263" s="149"/>
      <c r="N263" s="149"/>
      <c r="O263" s="150"/>
      <c r="P263" s="150"/>
      <c r="Q263" s="149"/>
      <c r="R263" s="149"/>
      <c r="S263" s="149"/>
      <c r="T263" s="150"/>
      <c r="U263" s="150"/>
      <c r="V263" s="150"/>
      <c r="W263" s="150"/>
      <c r="X263" s="150"/>
      <c r="Y263" s="150"/>
      <c r="Z263" s="150"/>
      <c r="AA263" s="150"/>
      <c r="AB263" s="150"/>
      <c r="AC263" s="149"/>
      <c r="AD263" s="149"/>
      <c r="AE263" s="149"/>
      <c r="AF263" s="150"/>
      <c r="AG263" s="150"/>
      <c r="AH263" s="149"/>
      <c r="AI263" s="149"/>
      <c r="AJ263" s="149"/>
      <c r="AK263" s="150"/>
      <c r="AL263" s="150"/>
      <c r="AM263" s="149"/>
      <c r="AN263" s="149"/>
      <c r="AO263" s="149"/>
      <c r="AP263" s="150"/>
      <c r="AQ263" s="150"/>
      <c r="AR263" s="150"/>
      <c r="AS263" s="150"/>
      <c r="AT263" s="150"/>
      <c r="AU263" s="150"/>
      <c r="AV263" s="150"/>
      <c r="AW263" s="150"/>
      <c r="AX263" s="150"/>
      <c r="AY263" s="151"/>
      <c r="AZ263" s="151"/>
      <c r="BA263" s="151"/>
      <c r="BB263" s="151"/>
      <c r="BC263" s="151"/>
      <c r="BD263" s="151"/>
      <c r="BE263" s="151"/>
      <c r="BF263" s="151"/>
      <c r="BG263" s="151"/>
      <c r="BH263" s="151"/>
      <c r="BI263" s="151"/>
    </row>
    <row r="264" spans="1:61" x14ac:dyDescent="0.25">
      <c r="A264" s="149"/>
      <c r="B264" s="149"/>
      <c r="C264" s="149"/>
      <c r="D264" s="149"/>
      <c r="E264" s="150"/>
      <c r="F264" s="150"/>
      <c r="G264" s="149"/>
      <c r="H264" s="149"/>
      <c r="I264" s="149"/>
      <c r="J264" s="150"/>
      <c r="K264" s="150"/>
      <c r="L264" s="149"/>
      <c r="M264" s="149"/>
      <c r="N264" s="149"/>
      <c r="O264" s="150"/>
      <c r="P264" s="150"/>
      <c r="Q264" s="149"/>
      <c r="R264" s="149"/>
      <c r="S264" s="149"/>
      <c r="T264" s="150"/>
      <c r="U264" s="150"/>
      <c r="V264" s="150"/>
      <c r="W264" s="150"/>
      <c r="X264" s="150"/>
      <c r="Y264" s="150"/>
      <c r="Z264" s="150"/>
      <c r="AA264" s="150"/>
      <c r="AB264" s="150"/>
      <c r="AC264" s="149"/>
      <c r="AD264" s="149"/>
      <c r="AE264" s="149"/>
      <c r="AF264" s="150"/>
      <c r="AG264" s="150"/>
      <c r="AH264" s="149"/>
      <c r="AI264" s="149"/>
      <c r="AJ264" s="149"/>
      <c r="AK264" s="150"/>
      <c r="AL264" s="150"/>
      <c r="AM264" s="149"/>
      <c r="AN264" s="149"/>
      <c r="AO264" s="149"/>
      <c r="AP264" s="150"/>
      <c r="AQ264" s="150"/>
      <c r="AR264" s="150"/>
      <c r="AS264" s="150"/>
      <c r="AT264" s="150"/>
      <c r="AU264" s="150"/>
      <c r="AV264" s="150"/>
      <c r="AW264" s="150"/>
      <c r="AX264" s="150"/>
      <c r="AY264" s="151"/>
      <c r="AZ264" s="151"/>
      <c r="BA264" s="151"/>
      <c r="BB264" s="151"/>
      <c r="BC264" s="151"/>
      <c r="BD264" s="151"/>
      <c r="BE264" s="151"/>
      <c r="BF264" s="151"/>
      <c r="BG264" s="151"/>
      <c r="BH264" s="151"/>
      <c r="BI264" s="151"/>
    </row>
    <row r="265" spans="1:61" x14ac:dyDescent="0.25">
      <c r="A265" s="149"/>
      <c r="B265" s="149"/>
      <c r="C265" s="149"/>
      <c r="D265" s="149"/>
      <c r="E265" s="150"/>
      <c r="F265" s="150"/>
      <c r="G265" s="149"/>
      <c r="H265" s="149"/>
      <c r="I265" s="149"/>
      <c r="J265" s="150"/>
      <c r="K265" s="150"/>
      <c r="L265" s="149"/>
      <c r="M265" s="149"/>
      <c r="N265" s="149"/>
      <c r="O265" s="150"/>
      <c r="P265" s="150"/>
      <c r="Q265" s="149"/>
      <c r="R265" s="149"/>
      <c r="S265" s="149"/>
      <c r="T265" s="150"/>
      <c r="U265" s="150"/>
      <c r="V265" s="150"/>
      <c r="W265" s="150"/>
      <c r="X265" s="150"/>
      <c r="Y265" s="150"/>
      <c r="Z265" s="150"/>
      <c r="AA265" s="150"/>
      <c r="AB265" s="150"/>
      <c r="AC265" s="149"/>
      <c r="AD265" s="149"/>
      <c r="AE265" s="149"/>
      <c r="AF265" s="150"/>
      <c r="AG265" s="150"/>
      <c r="AH265" s="149"/>
      <c r="AI265" s="149"/>
      <c r="AJ265" s="149"/>
      <c r="AK265" s="150"/>
      <c r="AL265" s="150"/>
      <c r="AM265" s="149"/>
      <c r="AN265" s="149"/>
      <c r="AO265" s="149"/>
      <c r="AP265" s="150"/>
      <c r="AQ265" s="150"/>
      <c r="AR265" s="150"/>
      <c r="AS265" s="150"/>
      <c r="AT265" s="150"/>
      <c r="AU265" s="150"/>
      <c r="AV265" s="150"/>
      <c r="AW265" s="150"/>
      <c r="AX265" s="150"/>
      <c r="AY265" s="151"/>
      <c r="AZ265" s="151"/>
      <c r="BA265" s="151"/>
      <c r="BB265" s="151"/>
      <c r="BC265" s="151"/>
      <c r="BD265" s="151"/>
      <c r="BE265" s="151"/>
      <c r="BF265" s="151"/>
      <c r="BG265" s="151"/>
      <c r="BH265" s="151"/>
      <c r="BI265" s="151"/>
    </row>
    <row r="266" spans="1:61" x14ac:dyDescent="0.25">
      <c r="A266" s="149"/>
      <c r="B266" s="149"/>
      <c r="C266" s="149"/>
      <c r="D266" s="149"/>
      <c r="E266" s="150"/>
      <c r="F266" s="150"/>
      <c r="G266" s="149"/>
      <c r="H266" s="149"/>
      <c r="I266" s="149"/>
      <c r="J266" s="150"/>
      <c r="K266" s="150"/>
      <c r="L266" s="149"/>
      <c r="M266" s="149"/>
      <c r="N266" s="149"/>
      <c r="O266" s="150"/>
      <c r="P266" s="150"/>
      <c r="Q266" s="149"/>
      <c r="R266" s="149"/>
      <c r="S266" s="149"/>
      <c r="T266" s="150"/>
      <c r="U266" s="150"/>
      <c r="V266" s="150"/>
      <c r="W266" s="150"/>
      <c r="X266" s="150"/>
      <c r="Y266" s="150"/>
      <c r="Z266" s="150"/>
      <c r="AA266" s="150"/>
      <c r="AB266" s="150"/>
      <c r="AC266" s="149"/>
      <c r="AD266" s="149"/>
      <c r="AE266" s="149"/>
      <c r="AF266" s="150"/>
      <c r="AG266" s="150"/>
      <c r="AH266" s="149"/>
      <c r="AI266" s="149"/>
      <c r="AJ266" s="149"/>
      <c r="AK266" s="150"/>
      <c r="AL266" s="150"/>
      <c r="AM266" s="149"/>
      <c r="AN266" s="149"/>
      <c r="AO266" s="149"/>
      <c r="AP266" s="150"/>
      <c r="AQ266" s="150"/>
      <c r="AR266" s="150"/>
      <c r="AS266" s="150"/>
      <c r="AT266" s="150"/>
      <c r="AU266" s="150"/>
      <c r="AV266" s="150"/>
      <c r="AW266" s="150"/>
      <c r="AX266" s="150"/>
      <c r="AY266" s="151"/>
      <c r="AZ266" s="151"/>
      <c r="BA266" s="151"/>
      <c r="BB266" s="151"/>
      <c r="BC266" s="151"/>
      <c r="BD266" s="151"/>
      <c r="BE266" s="151"/>
      <c r="BF266" s="151"/>
      <c r="BG266" s="151"/>
      <c r="BH266" s="151"/>
      <c r="BI266" s="151"/>
    </row>
    <row r="267" spans="1:61" x14ac:dyDescent="0.25">
      <c r="A267" s="149"/>
      <c r="B267" s="149"/>
      <c r="C267" s="149"/>
      <c r="D267" s="149"/>
      <c r="E267" s="150"/>
      <c r="F267" s="150"/>
      <c r="G267" s="149"/>
      <c r="H267" s="149"/>
      <c r="I267" s="149"/>
      <c r="J267" s="150"/>
      <c r="K267" s="150"/>
      <c r="L267" s="149"/>
      <c r="M267" s="149"/>
      <c r="N267" s="149"/>
      <c r="O267" s="150"/>
      <c r="P267" s="150"/>
      <c r="Q267" s="149"/>
      <c r="R267" s="149"/>
      <c r="S267" s="149"/>
      <c r="T267" s="150"/>
      <c r="U267" s="150"/>
      <c r="V267" s="150"/>
      <c r="W267" s="150"/>
      <c r="X267" s="150"/>
      <c r="Y267" s="150"/>
      <c r="Z267" s="150"/>
      <c r="AA267" s="150"/>
      <c r="AB267" s="150"/>
      <c r="AC267" s="149"/>
      <c r="AD267" s="149"/>
      <c r="AE267" s="149"/>
      <c r="AF267" s="150"/>
      <c r="AG267" s="150"/>
      <c r="AH267" s="149"/>
      <c r="AI267" s="149"/>
      <c r="AJ267" s="149"/>
      <c r="AK267" s="150"/>
      <c r="AL267" s="150"/>
      <c r="AM267" s="149"/>
      <c r="AN267" s="149"/>
      <c r="AO267" s="149"/>
      <c r="AP267" s="150"/>
      <c r="AQ267" s="150"/>
      <c r="AR267" s="150"/>
      <c r="AS267" s="150"/>
      <c r="AT267" s="150"/>
      <c r="AU267" s="150"/>
      <c r="AV267" s="150"/>
      <c r="AW267" s="150"/>
      <c r="AX267" s="150"/>
      <c r="AY267" s="151"/>
      <c r="AZ267" s="151"/>
      <c r="BA267" s="151"/>
      <c r="BB267" s="151"/>
      <c r="BC267" s="151"/>
      <c r="BD267" s="151"/>
      <c r="BE267" s="151"/>
      <c r="BF267" s="151"/>
      <c r="BG267" s="151"/>
      <c r="BH267" s="151"/>
      <c r="BI267" s="151"/>
    </row>
    <row r="268" spans="1:61" x14ac:dyDescent="0.25">
      <c r="A268" s="149"/>
      <c r="B268" s="149"/>
      <c r="C268" s="149"/>
      <c r="D268" s="149"/>
      <c r="E268" s="150"/>
      <c r="F268" s="150"/>
      <c r="G268" s="149"/>
      <c r="H268" s="149"/>
      <c r="I268" s="149"/>
      <c r="J268" s="150"/>
      <c r="K268" s="150"/>
      <c r="L268" s="149"/>
      <c r="M268" s="149"/>
      <c r="N268" s="149"/>
      <c r="O268" s="150"/>
      <c r="P268" s="150"/>
      <c r="Q268" s="149"/>
      <c r="R268" s="149"/>
      <c r="S268" s="149"/>
      <c r="T268" s="150"/>
      <c r="U268" s="150"/>
      <c r="V268" s="150"/>
      <c r="W268" s="150"/>
      <c r="X268" s="150"/>
      <c r="Y268" s="150"/>
      <c r="Z268" s="150"/>
      <c r="AA268" s="150"/>
      <c r="AB268" s="150"/>
      <c r="AC268" s="149"/>
      <c r="AD268" s="149"/>
      <c r="AE268" s="149"/>
      <c r="AF268" s="150"/>
      <c r="AG268" s="150"/>
      <c r="AH268" s="149"/>
      <c r="AI268" s="149"/>
      <c r="AJ268" s="149"/>
      <c r="AK268" s="150"/>
      <c r="AL268" s="150"/>
      <c r="AM268" s="149"/>
      <c r="AN268" s="149"/>
      <c r="AO268" s="149"/>
      <c r="AP268" s="150"/>
      <c r="AQ268" s="150"/>
      <c r="AR268" s="150"/>
      <c r="AS268" s="150"/>
      <c r="AT268" s="150"/>
      <c r="AU268" s="150"/>
      <c r="AV268" s="150"/>
      <c r="AW268" s="150"/>
      <c r="AX268" s="150"/>
      <c r="AY268" s="151"/>
      <c r="AZ268" s="151"/>
      <c r="BA268" s="151"/>
      <c r="BB268" s="151"/>
      <c r="BC268" s="151"/>
      <c r="BD268" s="151"/>
      <c r="BE268" s="151"/>
      <c r="BF268" s="151"/>
      <c r="BG268" s="151"/>
      <c r="BH268" s="151"/>
      <c r="BI268" s="151"/>
    </row>
    <row r="269" spans="1:61" x14ac:dyDescent="0.25">
      <c r="A269" s="149"/>
      <c r="B269" s="149"/>
      <c r="C269" s="149"/>
      <c r="D269" s="149"/>
      <c r="E269" s="150"/>
      <c r="F269" s="150"/>
      <c r="G269" s="149"/>
      <c r="H269" s="149"/>
      <c r="I269" s="149"/>
      <c r="J269" s="150"/>
      <c r="K269" s="150"/>
      <c r="L269" s="149"/>
      <c r="M269" s="149"/>
      <c r="N269" s="149"/>
      <c r="O269" s="150"/>
      <c r="P269" s="150"/>
      <c r="Q269" s="149"/>
      <c r="R269" s="149"/>
      <c r="S269" s="149"/>
      <c r="T269" s="150"/>
      <c r="U269" s="150"/>
      <c r="V269" s="150"/>
      <c r="W269" s="150"/>
      <c r="X269" s="150"/>
      <c r="Y269" s="150"/>
      <c r="Z269" s="150"/>
      <c r="AA269" s="150"/>
      <c r="AB269" s="150"/>
      <c r="AC269" s="149"/>
      <c r="AD269" s="149"/>
      <c r="AE269" s="149"/>
      <c r="AF269" s="150"/>
      <c r="AG269" s="150"/>
      <c r="AH269" s="149"/>
      <c r="AI269" s="149"/>
      <c r="AJ269" s="149"/>
      <c r="AK269" s="150"/>
      <c r="AL269" s="150"/>
      <c r="AM269" s="149"/>
      <c r="AN269" s="149"/>
      <c r="AO269" s="149"/>
      <c r="AP269" s="150"/>
      <c r="AQ269" s="150"/>
      <c r="AR269" s="150"/>
      <c r="AS269" s="150"/>
      <c r="AT269" s="150"/>
      <c r="AU269" s="150"/>
      <c r="AV269" s="150"/>
      <c r="AW269" s="150"/>
      <c r="AX269" s="150"/>
      <c r="AY269" s="151"/>
      <c r="AZ269" s="151"/>
      <c r="BA269" s="151"/>
      <c r="BB269" s="151"/>
      <c r="BC269" s="151"/>
      <c r="BD269" s="151"/>
      <c r="BE269" s="151"/>
      <c r="BF269" s="151"/>
      <c r="BG269" s="151"/>
      <c r="BH269" s="151"/>
      <c r="BI269" s="151"/>
    </row>
    <row r="270" spans="1:61" x14ac:dyDescent="0.25">
      <c r="A270" s="149"/>
      <c r="B270" s="149"/>
      <c r="C270" s="149"/>
      <c r="D270" s="149"/>
      <c r="E270" s="150"/>
      <c r="F270" s="150"/>
      <c r="G270" s="149"/>
      <c r="H270" s="149"/>
      <c r="I270" s="149"/>
      <c r="J270" s="150"/>
      <c r="K270" s="150"/>
      <c r="L270" s="149"/>
      <c r="M270" s="149"/>
      <c r="N270" s="149"/>
      <c r="O270" s="150"/>
      <c r="P270" s="150"/>
      <c r="Q270" s="149"/>
      <c r="R270" s="149"/>
      <c r="S270" s="149"/>
      <c r="T270" s="150"/>
      <c r="U270" s="150"/>
      <c r="V270" s="150"/>
      <c r="W270" s="150"/>
      <c r="X270" s="150"/>
      <c r="Y270" s="150"/>
      <c r="Z270" s="150"/>
      <c r="AA270" s="150"/>
      <c r="AB270" s="150"/>
      <c r="AC270" s="149"/>
      <c r="AD270" s="149"/>
      <c r="AE270" s="149"/>
      <c r="AF270" s="150"/>
      <c r="AG270" s="150"/>
      <c r="AH270" s="149"/>
      <c r="AI270" s="149"/>
      <c r="AJ270" s="149"/>
      <c r="AK270" s="150"/>
      <c r="AL270" s="150"/>
      <c r="AM270" s="149"/>
      <c r="AN270" s="149"/>
      <c r="AO270" s="149"/>
      <c r="AP270" s="150"/>
      <c r="AQ270" s="150"/>
      <c r="AR270" s="150"/>
      <c r="AS270" s="150"/>
      <c r="AT270" s="150"/>
      <c r="AU270" s="150"/>
      <c r="AV270" s="150"/>
      <c r="AW270" s="150"/>
      <c r="AX270" s="150"/>
      <c r="AY270" s="151"/>
      <c r="AZ270" s="151"/>
      <c r="BA270" s="151"/>
      <c r="BB270" s="151"/>
      <c r="BC270" s="151"/>
      <c r="BD270" s="151"/>
      <c r="BE270" s="151"/>
      <c r="BF270" s="151"/>
      <c r="BG270" s="151"/>
      <c r="BH270" s="151"/>
      <c r="BI270" s="151"/>
    </row>
    <row r="271" spans="1:61" x14ac:dyDescent="0.25">
      <c r="A271" s="149"/>
      <c r="B271" s="149"/>
      <c r="C271" s="149"/>
      <c r="D271" s="149"/>
      <c r="E271" s="150"/>
      <c r="F271" s="150"/>
      <c r="G271" s="149"/>
      <c r="H271" s="149"/>
      <c r="I271" s="149"/>
      <c r="J271" s="150"/>
      <c r="K271" s="150"/>
      <c r="L271" s="149"/>
      <c r="M271" s="149"/>
      <c r="N271" s="149"/>
      <c r="O271" s="150"/>
      <c r="P271" s="150"/>
      <c r="Q271" s="149"/>
      <c r="R271" s="149"/>
      <c r="S271" s="149"/>
      <c r="T271" s="150"/>
      <c r="U271" s="150"/>
      <c r="V271" s="150"/>
      <c r="W271" s="150"/>
      <c r="X271" s="150"/>
      <c r="Y271" s="150"/>
      <c r="Z271" s="150"/>
      <c r="AA271" s="150"/>
      <c r="AB271" s="150"/>
      <c r="AC271" s="149"/>
      <c r="AD271" s="149"/>
      <c r="AE271" s="149"/>
      <c r="AF271" s="150"/>
      <c r="AG271" s="150"/>
      <c r="AH271" s="149"/>
      <c r="AI271" s="149"/>
      <c r="AJ271" s="149"/>
      <c r="AK271" s="150"/>
      <c r="AL271" s="150"/>
      <c r="AM271" s="149"/>
      <c r="AN271" s="149"/>
      <c r="AO271" s="149"/>
      <c r="AP271" s="150"/>
      <c r="AQ271" s="150"/>
      <c r="AR271" s="150"/>
      <c r="AS271" s="150"/>
      <c r="AT271" s="150"/>
      <c r="AU271" s="150"/>
      <c r="AV271" s="150"/>
      <c r="AW271" s="150"/>
      <c r="AX271" s="150"/>
      <c r="AY271" s="151"/>
      <c r="AZ271" s="151"/>
      <c r="BA271" s="151"/>
      <c r="BB271" s="151"/>
      <c r="BC271" s="151"/>
      <c r="BD271" s="151"/>
      <c r="BE271" s="151"/>
      <c r="BF271" s="151"/>
      <c r="BG271" s="151"/>
      <c r="BH271" s="151"/>
      <c r="BI271" s="151"/>
    </row>
    <row r="272" spans="1:61" x14ac:dyDescent="0.25">
      <c r="A272" s="149"/>
      <c r="B272" s="149"/>
      <c r="C272" s="149"/>
      <c r="D272" s="149"/>
      <c r="E272" s="150"/>
      <c r="F272" s="150"/>
      <c r="G272" s="149"/>
      <c r="H272" s="149"/>
      <c r="I272" s="149"/>
      <c r="J272" s="150"/>
      <c r="K272" s="150"/>
      <c r="L272" s="149"/>
      <c r="M272" s="149"/>
      <c r="N272" s="149"/>
      <c r="O272" s="150"/>
      <c r="P272" s="150"/>
      <c r="Q272" s="149"/>
      <c r="R272" s="149"/>
      <c r="S272" s="149"/>
      <c r="T272" s="150"/>
      <c r="U272" s="150"/>
      <c r="V272" s="150"/>
      <c r="W272" s="150"/>
      <c r="X272" s="150"/>
      <c r="Y272" s="150"/>
      <c r="Z272" s="150"/>
      <c r="AA272" s="150"/>
      <c r="AB272" s="150"/>
      <c r="AC272" s="149"/>
      <c r="AD272" s="149"/>
      <c r="AE272" s="149"/>
      <c r="AF272" s="150"/>
      <c r="AG272" s="150"/>
      <c r="AH272" s="149"/>
      <c r="AI272" s="149"/>
      <c r="AJ272" s="149"/>
      <c r="AK272" s="150"/>
      <c r="AL272" s="150"/>
      <c r="AM272" s="149"/>
      <c r="AN272" s="149"/>
      <c r="AO272" s="149"/>
      <c r="AP272" s="150"/>
      <c r="AQ272" s="150"/>
      <c r="AR272" s="150"/>
      <c r="AS272" s="150"/>
      <c r="AT272" s="150"/>
      <c r="AU272" s="150"/>
      <c r="AV272" s="150"/>
      <c r="AW272" s="150"/>
      <c r="AX272" s="150"/>
      <c r="AY272" s="151"/>
      <c r="AZ272" s="151"/>
      <c r="BA272" s="151"/>
      <c r="BB272" s="151"/>
      <c r="BC272" s="151"/>
      <c r="BD272" s="151"/>
      <c r="BE272" s="151"/>
      <c r="BF272" s="151"/>
      <c r="BG272" s="151"/>
      <c r="BH272" s="151"/>
      <c r="BI272" s="151"/>
    </row>
    <row r="273" spans="1:61" x14ac:dyDescent="0.25">
      <c r="A273" s="149"/>
      <c r="B273" s="149"/>
      <c r="C273" s="149"/>
      <c r="D273" s="149"/>
      <c r="E273" s="150"/>
      <c r="F273" s="150"/>
      <c r="G273" s="149"/>
      <c r="H273" s="149"/>
      <c r="I273" s="149"/>
      <c r="J273" s="150"/>
      <c r="K273" s="150"/>
      <c r="L273" s="149"/>
      <c r="M273" s="149"/>
      <c r="N273" s="149"/>
      <c r="O273" s="150"/>
      <c r="P273" s="150"/>
      <c r="Q273" s="149"/>
      <c r="R273" s="149"/>
      <c r="S273" s="149"/>
      <c r="T273" s="150"/>
      <c r="U273" s="150"/>
      <c r="V273" s="150"/>
      <c r="W273" s="150"/>
      <c r="X273" s="150"/>
      <c r="Y273" s="150"/>
      <c r="Z273" s="150"/>
      <c r="AA273" s="150"/>
      <c r="AB273" s="150"/>
      <c r="AC273" s="149"/>
      <c r="AD273" s="149"/>
      <c r="AE273" s="149"/>
      <c r="AF273" s="150"/>
      <c r="AG273" s="150"/>
      <c r="AH273" s="149"/>
      <c r="AI273" s="149"/>
      <c r="AJ273" s="149"/>
      <c r="AK273" s="150"/>
      <c r="AL273" s="150"/>
      <c r="AM273" s="149"/>
      <c r="AN273" s="149"/>
      <c r="AO273" s="149"/>
      <c r="AP273" s="150"/>
      <c r="AQ273" s="150"/>
      <c r="AR273" s="150"/>
      <c r="AS273" s="150"/>
      <c r="AT273" s="150"/>
      <c r="AU273" s="150"/>
      <c r="AV273" s="150"/>
      <c r="AW273" s="150"/>
      <c r="AX273" s="150"/>
      <c r="AY273" s="151"/>
      <c r="AZ273" s="151"/>
      <c r="BA273" s="151"/>
      <c r="BB273" s="151"/>
      <c r="BC273" s="151"/>
      <c r="BD273" s="151"/>
      <c r="BE273" s="151"/>
      <c r="BF273" s="151"/>
      <c r="BG273" s="151"/>
      <c r="BH273" s="151"/>
      <c r="BI273" s="151"/>
    </row>
    <row r="274" spans="1:61" x14ac:dyDescent="0.25">
      <c r="A274" s="149"/>
      <c r="B274" s="149"/>
      <c r="C274" s="149"/>
      <c r="D274" s="149"/>
      <c r="E274" s="150"/>
      <c r="F274" s="150"/>
      <c r="G274" s="149"/>
      <c r="H274" s="149"/>
      <c r="I274" s="149"/>
      <c r="J274" s="150"/>
      <c r="K274" s="150"/>
      <c r="L274" s="149"/>
      <c r="M274" s="149"/>
      <c r="N274" s="149"/>
      <c r="O274" s="150"/>
      <c r="P274" s="150"/>
      <c r="Q274" s="149"/>
      <c r="R274" s="149"/>
      <c r="S274" s="149"/>
      <c r="T274" s="150"/>
      <c r="U274" s="150"/>
      <c r="V274" s="150"/>
      <c r="W274" s="150"/>
      <c r="X274" s="150"/>
      <c r="Y274" s="150"/>
      <c r="Z274" s="150"/>
      <c r="AA274" s="150"/>
      <c r="AB274" s="150"/>
      <c r="AC274" s="149"/>
      <c r="AD274" s="149"/>
      <c r="AE274" s="149"/>
      <c r="AF274" s="150"/>
      <c r="AG274" s="150"/>
      <c r="AH274" s="149"/>
      <c r="AI274" s="149"/>
      <c r="AJ274" s="149"/>
      <c r="AK274" s="150"/>
      <c r="AL274" s="150"/>
      <c r="AM274" s="149"/>
      <c r="AN274" s="149"/>
      <c r="AO274" s="149"/>
      <c r="AP274" s="150"/>
      <c r="AQ274" s="150"/>
      <c r="AR274" s="150"/>
      <c r="AS274" s="150"/>
      <c r="AT274" s="150"/>
      <c r="AU274" s="150"/>
      <c r="AV274" s="150"/>
      <c r="AW274" s="150"/>
      <c r="AX274" s="150"/>
      <c r="AY274" s="151"/>
      <c r="AZ274" s="151"/>
      <c r="BA274" s="151"/>
      <c r="BB274" s="151"/>
      <c r="BC274" s="151"/>
      <c r="BD274" s="151"/>
      <c r="BE274" s="151"/>
      <c r="BF274" s="151"/>
      <c r="BG274" s="151"/>
      <c r="BH274" s="151"/>
      <c r="BI274" s="151"/>
    </row>
    <row r="275" spans="1:61" x14ac:dyDescent="0.25">
      <c r="A275" s="149"/>
      <c r="B275" s="149"/>
      <c r="C275" s="149"/>
      <c r="D275" s="149"/>
      <c r="E275" s="150"/>
      <c r="F275" s="150"/>
      <c r="G275" s="149"/>
      <c r="H275" s="149"/>
      <c r="I275" s="149"/>
      <c r="J275" s="150"/>
      <c r="K275" s="150"/>
      <c r="L275" s="149"/>
      <c r="M275" s="149"/>
      <c r="N275" s="149"/>
      <c r="O275" s="150"/>
      <c r="P275" s="150"/>
      <c r="Q275" s="149"/>
      <c r="R275" s="149"/>
      <c r="S275" s="149"/>
      <c r="T275" s="150"/>
      <c r="U275" s="150"/>
      <c r="V275" s="150"/>
      <c r="W275" s="150"/>
      <c r="X275" s="150"/>
      <c r="Y275" s="150"/>
      <c r="Z275" s="150"/>
      <c r="AA275" s="150"/>
      <c r="AB275" s="150"/>
      <c r="AC275" s="149"/>
      <c r="AD275" s="149"/>
      <c r="AE275" s="149"/>
      <c r="AF275" s="150"/>
      <c r="AG275" s="150"/>
      <c r="AH275" s="149"/>
      <c r="AI275" s="149"/>
      <c r="AJ275" s="149"/>
      <c r="AK275" s="150"/>
      <c r="AL275" s="150"/>
      <c r="AM275" s="149"/>
      <c r="AN275" s="149"/>
      <c r="AO275" s="149"/>
      <c r="AP275" s="150"/>
      <c r="AQ275" s="150"/>
      <c r="AR275" s="150"/>
      <c r="AS275" s="150"/>
      <c r="AT275" s="150"/>
      <c r="AU275" s="150"/>
      <c r="AV275" s="150"/>
      <c r="AW275" s="150"/>
      <c r="AX275" s="150"/>
      <c r="AY275" s="151"/>
      <c r="AZ275" s="151"/>
      <c r="BA275" s="151"/>
      <c r="BB275" s="151"/>
      <c r="BC275" s="151"/>
      <c r="BD275" s="151"/>
      <c r="BE275" s="151"/>
      <c r="BF275" s="151"/>
      <c r="BG275" s="151"/>
      <c r="BH275" s="151"/>
      <c r="BI275" s="151"/>
    </row>
    <row r="276" spans="1:61" x14ac:dyDescent="0.25">
      <c r="A276" s="149"/>
      <c r="B276" s="149"/>
      <c r="C276" s="149"/>
      <c r="D276" s="149"/>
      <c r="E276" s="150"/>
      <c r="F276" s="150"/>
      <c r="G276" s="149"/>
      <c r="H276" s="149"/>
      <c r="I276" s="149"/>
      <c r="J276" s="150"/>
      <c r="K276" s="150"/>
      <c r="L276" s="149"/>
      <c r="M276" s="149"/>
      <c r="N276" s="149"/>
      <c r="O276" s="150"/>
      <c r="P276" s="150"/>
      <c r="Q276" s="149"/>
      <c r="R276" s="149"/>
      <c r="S276" s="149"/>
      <c r="T276" s="150"/>
      <c r="U276" s="150"/>
      <c r="V276" s="150"/>
      <c r="W276" s="150"/>
      <c r="X276" s="150"/>
      <c r="Y276" s="150"/>
      <c r="Z276" s="150"/>
      <c r="AA276" s="150"/>
      <c r="AB276" s="150"/>
      <c r="AC276" s="149"/>
      <c r="AD276" s="149"/>
      <c r="AE276" s="149"/>
      <c r="AF276" s="150"/>
      <c r="AG276" s="150"/>
      <c r="AH276" s="149"/>
      <c r="AI276" s="149"/>
      <c r="AJ276" s="149"/>
      <c r="AK276" s="150"/>
      <c r="AL276" s="150"/>
      <c r="AM276" s="149"/>
      <c r="AN276" s="149"/>
      <c r="AO276" s="149"/>
      <c r="AP276" s="150"/>
      <c r="AQ276" s="150"/>
      <c r="AR276" s="150"/>
      <c r="AS276" s="150"/>
      <c r="AT276" s="150"/>
      <c r="AU276" s="150"/>
      <c r="AV276" s="150"/>
      <c r="AW276" s="150"/>
      <c r="AX276" s="150"/>
      <c r="AY276" s="151"/>
      <c r="AZ276" s="151"/>
      <c r="BA276" s="151"/>
      <c r="BB276" s="151"/>
      <c r="BC276" s="151"/>
      <c r="BD276" s="151"/>
      <c r="BE276" s="151"/>
      <c r="BF276" s="151"/>
      <c r="BG276" s="151"/>
      <c r="BH276" s="151"/>
      <c r="BI276" s="151"/>
    </row>
    <row r="277" spans="1:61" x14ac:dyDescent="0.25">
      <c r="A277" s="149"/>
      <c r="B277" s="149"/>
      <c r="C277" s="149"/>
      <c r="D277" s="149"/>
      <c r="E277" s="150"/>
      <c r="F277" s="150"/>
      <c r="G277" s="149"/>
      <c r="H277" s="149"/>
      <c r="I277" s="149"/>
      <c r="J277" s="150"/>
      <c r="K277" s="150"/>
      <c r="L277" s="149"/>
      <c r="M277" s="149"/>
      <c r="N277" s="149"/>
      <c r="O277" s="150"/>
      <c r="P277" s="150"/>
      <c r="Q277" s="149"/>
      <c r="R277" s="149"/>
      <c r="S277" s="149"/>
      <c r="T277" s="150"/>
      <c r="U277" s="150"/>
      <c r="V277" s="150"/>
      <c r="W277" s="150"/>
      <c r="X277" s="150"/>
      <c r="Y277" s="150"/>
      <c r="Z277" s="150"/>
      <c r="AA277" s="150"/>
      <c r="AB277" s="150"/>
      <c r="AC277" s="149"/>
      <c r="AD277" s="149"/>
      <c r="AE277" s="149"/>
      <c r="AF277" s="150"/>
      <c r="AG277" s="150"/>
      <c r="AH277" s="149"/>
      <c r="AI277" s="149"/>
      <c r="AJ277" s="149"/>
      <c r="AK277" s="150"/>
      <c r="AL277" s="150"/>
      <c r="AM277" s="149"/>
      <c r="AN277" s="149"/>
      <c r="AO277" s="149"/>
      <c r="AP277" s="150"/>
      <c r="AQ277" s="150"/>
      <c r="AR277" s="150"/>
      <c r="AS277" s="150"/>
      <c r="AT277" s="150"/>
      <c r="AU277" s="150"/>
      <c r="AV277" s="150"/>
      <c r="AW277" s="150"/>
      <c r="AX277" s="150"/>
      <c r="AY277" s="151"/>
      <c r="AZ277" s="151"/>
      <c r="BA277" s="151"/>
      <c r="BB277" s="151"/>
      <c r="BC277" s="151"/>
      <c r="BD277" s="151"/>
      <c r="BE277" s="151"/>
      <c r="BF277" s="151"/>
      <c r="BG277" s="151"/>
      <c r="BH277" s="151"/>
      <c r="BI277" s="151"/>
    </row>
    <row r="278" spans="1:61" x14ac:dyDescent="0.25">
      <c r="A278" s="149"/>
      <c r="B278" s="149"/>
      <c r="C278" s="149"/>
      <c r="D278" s="149"/>
      <c r="E278" s="150"/>
      <c r="F278" s="150"/>
      <c r="G278" s="149"/>
      <c r="H278" s="149"/>
      <c r="I278" s="149"/>
      <c r="J278" s="150"/>
      <c r="K278" s="150"/>
      <c r="L278" s="149"/>
      <c r="M278" s="149"/>
      <c r="N278" s="149"/>
      <c r="O278" s="150"/>
      <c r="P278" s="150"/>
      <c r="Q278" s="149"/>
      <c r="R278" s="149"/>
      <c r="S278" s="149"/>
      <c r="T278" s="150"/>
      <c r="U278" s="150"/>
      <c r="V278" s="150"/>
      <c r="W278" s="150"/>
      <c r="X278" s="150"/>
      <c r="Y278" s="150"/>
      <c r="Z278" s="150"/>
      <c r="AA278" s="150"/>
      <c r="AB278" s="150"/>
      <c r="AC278" s="149"/>
      <c r="AD278" s="149"/>
      <c r="AE278" s="149"/>
      <c r="AF278" s="150"/>
      <c r="AG278" s="150"/>
      <c r="AH278" s="149"/>
      <c r="AI278" s="149"/>
      <c r="AJ278" s="149"/>
      <c r="AK278" s="150"/>
      <c r="AL278" s="150"/>
      <c r="AM278" s="149"/>
      <c r="AN278" s="149"/>
      <c r="AO278" s="149"/>
      <c r="AP278" s="150"/>
      <c r="AQ278" s="150"/>
      <c r="AR278" s="150"/>
      <c r="AS278" s="150"/>
      <c r="AT278" s="150"/>
      <c r="AU278" s="150"/>
      <c r="AV278" s="150"/>
      <c r="AW278" s="150"/>
      <c r="AX278" s="150"/>
      <c r="AY278" s="151"/>
      <c r="AZ278" s="151"/>
      <c r="BA278" s="151"/>
      <c r="BB278" s="151"/>
      <c r="BC278" s="151"/>
      <c r="BD278" s="151"/>
      <c r="BE278" s="151"/>
      <c r="BF278" s="151"/>
      <c r="BG278" s="151"/>
      <c r="BH278" s="151"/>
      <c r="BI278" s="151"/>
    </row>
    <row r="279" spans="1:61" x14ac:dyDescent="0.25">
      <c r="A279" s="149"/>
      <c r="B279" s="149"/>
      <c r="C279" s="149"/>
      <c r="D279" s="149"/>
      <c r="E279" s="150"/>
      <c r="F279" s="150"/>
      <c r="G279" s="149"/>
      <c r="H279" s="149"/>
      <c r="I279" s="149"/>
      <c r="J279" s="150"/>
      <c r="K279" s="150"/>
      <c r="L279" s="149"/>
      <c r="M279" s="149"/>
      <c r="N279" s="149"/>
      <c r="O279" s="150"/>
      <c r="P279" s="150"/>
      <c r="Q279" s="149"/>
      <c r="R279" s="149"/>
      <c r="S279" s="149"/>
      <c r="T279" s="150"/>
      <c r="U279" s="150"/>
      <c r="V279" s="150"/>
      <c r="W279" s="150"/>
      <c r="X279" s="150"/>
      <c r="Y279" s="150"/>
      <c r="Z279" s="150"/>
      <c r="AA279" s="150"/>
      <c r="AB279" s="150"/>
      <c r="AC279" s="149"/>
      <c r="AD279" s="149"/>
      <c r="AE279" s="149"/>
      <c r="AF279" s="150"/>
      <c r="AG279" s="150"/>
      <c r="AH279" s="149"/>
      <c r="AI279" s="149"/>
      <c r="AJ279" s="149"/>
      <c r="AK279" s="150"/>
      <c r="AL279" s="150"/>
      <c r="AM279" s="149"/>
      <c r="AN279" s="149"/>
      <c r="AO279" s="149"/>
      <c r="AP279" s="150"/>
      <c r="AQ279" s="150"/>
      <c r="AR279" s="150"/>
      <c r="AS279" s="150"/>
      <c r="AT279" s="150"/>
      <c r="AU279" s="150"/>
      <c r="AV279" s="150"/>
      <c r="AW279" s="150"/>
      <c r="AX279" s="150"/>
      <c r="AY279" s="151"/>
      <c r="AZ279" s="151"/>
      <c r="BA279" s="151"/>
      <c r="BB279" s="151"/>
      <c r="BC279" s="151"/>
      <c r="BD279" s="151"/>
      <c r="BE279" s="151"/>
      <c r="BF279" s="151"/>
      <c r="BG279" s="151"/>
      <c r="BH279" s="151"/>
      <c r="BI279" s="151"/>
    </row>
    <row r="280" spans="1:61" x14ac:dyDescent="0.25">
      <c r="A280" s="149"/>
      <c r="B280" s="149"/>
      <c r="C280" s="149"/>
      <c r="D280" s="149"/>
      <c r="E280" s="150"/>
      <c r="F280" s="150"/>
      <c r="G280" s="149"/>
      <c r="H280" s="149"/>
      <c r="I280" s="149"/>
      <c r="J280" s="150"/>
      <c r="K280" s="150"/>
      <c r="L280" s="149"/>
      <c r="M280" s="149"/>
      <c r="N280" s="149"/>
      <c r="O280" s="150"/>
      <c r="P280" s="150"/>
      <c r="Q280" s="149"/>
      <c r="R280" s="149"/>
      <c r="S280" s="149"/>
      <c r="T280" s="150"/>
      <c r="U280" s="150"/>
      <c r="V280" s="150"/>
      <c r="W280" s="150"/>
      <c r="X280" s="150"/>
      <c r="Y280" s="150"/>
      <c r="Z280" s="150"/>
      <c r="AA280" s="150"/>
      <c r="AB280" s="150"/>
      <c r="AC280" s="149"/>
      <c r="AD280" s="149"/>
      <c r="AE280" s="149"/>
      <c r="AF280" s="150"/>
      <c r="AG280" s="150"/>
      <c r="AH280" s="149"/>
      <c r="AI280" s="149"/>
      <c r="AJ280" s="149"/>
      <c r="AK280" s="150"/>
      <c r="AL280" s="150"/>
      <c r="AM280" s="149"/>
      <c r="AN280" s="149"/>
      <c r="AO280" s="149"/>
      <c r="AP280" s="150"/>
      <c r="AQ280" s="150"/>
      <c r="AR280" s="150"/>
      <c r="AS280" s="150"/>
      <c r="AT280" s="150"/>
      <c r="AU280" s="150"/>
      <c r="AV280" s="150"/>
      <c r="AW280" s="150"/>
      <c r="AX280" s="150"/>
      <c r="AY280" s="151"/>
      <c r="AZ280" s="151"/>
      <c r="BA280" s="151"/>
      <c r="BB280" s="151"/>
      <c r="BC280" s="151"/>
      <c r="BD280" s="151"/>
      <c r="BE280" s="151"/>
      <c r="BF280" s="151"/>
      <c r="BG280" s="151"/>
      <c r="BH280" s="151"/>
      <c r="BI280" s="151"/>
    </row>
    <row r="281" spans="1:61" x14ac:dyDescent="0.25">
      <c r="A281" s="149"/>
      <c r="B281" s="149"/>
      <c r="C281" s="149"/>
      <c r="D281" s="149"/>
      <c r="E281" s="150"/>
      <c r="F281" s="150"/>
      <c r="G281" s="149"/>
      <c r="H281" s="149"/>
      <c r="I281" s="149"/>
      <c r="J281" s="150"/>
      <c r="K281" s="150"/>
      <c r="L281" s="149"/>
      <c r="M281" s="149"/>
      <c r="N281" s="149"/>
      <c r="O281" s="150"/>
      <c r="P281" s="150"/>
      <c r="Q281" s="149"/>
      <c r="R281" s="149"/>
      <c r="S281" s="149"/>
      <c r="T281" s="150"/>
      <c r="U281" s="150"/>
      <c r="V281" s="150"/>
      <c r="W281" s="150"/>
      <c r="X281" s="150"/>
      <c r="Y281" s="150"/>
      <c r="Z281" s="150"/>
      <c r="AA281" s="150"/>
      <c r="AB281" s="150"/>
      <c r="AC281" s="149"/>
      <c r="AD281" s="149"/>
      <c r="AE281" s="149"/>
      <c r="AF281" s="150"/>
      <c r="AG281" s="150"/>
      <c r="AH281" s="149"/>
      <c r="AI281" s="149"/>
      <c r="AJ281" s="149"/>
      <c r="AK281" s="150"/>
      <c r="AL281" s="150"/>
      <c r="AM281" s="149"/>
      <c r="AN281" s="149"/>
      <c r="AO281" s="149"/>
      <c r="AP281" s="150"/>
      <c r="AQ281" s="150"/>
      <c r="AR281" s="150"/>
      <c r="AS281" s="150"/>
      <c r="AT281" s="150"/>
      <c r="AU281" s="150"/>
      <c r="AV281" s="150"/>
      <c r="AW281" s="150"/>
      <c r="AX281" s="150"/>
      <c r="AY281" s="151"/>
      <c r="AZ281" s="151"/>
      <c r="BA281" s="151"/>
      <c r="BB281" s="151"/>
      <c r="BC281" s="151"/>
      <c r="BD281" s="151"/>
      <c r="BE281" s="151"/>
      <c r="BF281" s="151"/>
      <c r="BG281" s="151"/>
      <c r="BH281" s="151"/>
      <c r="BI281" s="151"/>
    </row>
    <row r="282" spans="1:61" x14ac:dyDescent="0.25">
      <c r="A282" s="149"/>
      <c r="B282" s="149"/>
      <c r="C282" s="149"/>
      <c r="D282" s="149"/>
      <c r="E282" s="150"/>
      <c r="F282" s="150"/>
      <c r="G282" s="149"/>
      <c r="H282" s="149"/>
      <c r="I282" s="149"/>
      <c r="J282" s="150"/>
      <c r="K282" s="150"/>
      <c r="L282" s="149"/>
      <c r="M282" s="149"/>
      <c r="N282" s="149"/>
      <c r="O282" s="150"/>
      <c r="P282" s="150"/>
      <c r="Q282" s="149"/>
      <c r="R282" s="149"/>
      <c r="S282" s="149"/>
      <c r="T282" s="150"/>
      <c r="U282" s="150"/>
      <c r="V282" s="150"/>
      <c r="W282" s="150"/>
      <c r="X282" s="150"/>
      <c r="Y282" s="150"/>
      <c r="Z282" s="150"/>
      <c r="AA282" s="150"/>
      <c r="AB282" s="150"/>
      <c r="AC282" s="149"/>
      <c r="AD282" s="149"/>
      <c r="AE282" s="149"/>
      <c r="AF282" s="150"/>
      <c r="AG282" s="150"/>
      <c r="AH282" s="149"/>
      <c r="AI282" s="149"/>
      <c r="AJ282" s="149"/>
      <c r="AK282" s="150"/>
      <c r="AL282" s="150"/>
      <c r="AM282" s="149"/>
      <c r="AN282" s="149"/>
      <c r="AO282" s="149"/>
      <c r="AP282" s="150"/>
      <c r="AQ282" s="150"/>
      <c r="AR282" s="150"/>
      <c r="AS282" s="150"/>
      <c r="AT282" s="150"/>
      <c r="AU282" s="150"/>
      <c r="AV282" s="150"/>
      <c r="AW282" s="150"/>
      <c r="AX282" s="150"/>
      <c r="AY282" s="151"/>
      <c r="AZ282" s="151"/>
      <c r="BA282" s="151"/>
      <c r="BB282" s="151"/>
      <c r="BC282" s="151"/>
      <c r="BD282" s="151"/>
      <c r="BE282" s="151"/>
      <c r="BF282" s="151"/>
      <c r="BG282" s="151"/>
      <c r="BH282" s="151"/>
      <c r="BI282" s="151"/>
    </row>
    <row r="283" spans="1:61" x14ac:dyDescent="0.25">
      <c r="A283" s="149"/>
      <c r="B283" s="149"/>
      <c r="C283" s="149"/>
      <c r="D283" s="149"/>
      <c r="E283" s="150"/>
      <c r="F283" s="150"/>
      <c r="G283" s="149"/>
      <c r="H283" s="149"/>
      <c r="I283" s="149"/>
      <c r="J283" s="150"/>
      <c r="K283" s="150"/>
      <c r="L283" s="149"/>
      <c r="M283" s="149"/>
      <c r="N283" s="149"/>
      <c r="O283" s="150"/>
      <c r="P283" s="150"/>
      <c r="Q283" s="149"/>
      <c r="R283" s="149"/>
      <c r="S283" s="149"/>
      <c r="T283" s="150"/>
      <c r="U283" s="150"/>
      <c r="V283" s="150"/>
      <c r="W283" s="150"/>
      <c r="X283" s="150"/>
      <c r="Y283" s="150"/>
      <c r="Z283" s="150"/>
      <c r="AA283" s="150"/>
      <c r="AB283" s="150"/>
      <c r="AC283" s="149"/>
      <c r="AD283" s="149"/>
      <c r="AE283" s="149"/>
      <c r="AF283" s="150"/>
      <c r="AG283" s="150"/>
      <c r="AH283" s="149"/>
      <c r="AI283" s="149"/>
      <c r="AJ283" s="149"/>
      <c r="AK283" s="150"/>
      <c r="AL283" s="150"/>
      <c r="AM283" s="149"/>
      <c r="AN283" s="149"/>
      <c r="AO283" s="149"/>
      <c r="AP283" s="150"/>
      <c r="AQ283" s="150"/>
      <c r="AR283" s="150"/>
      <c r="AS283" s="150"/>
      <c r="AT283" s="150"/>
      <c r="AU283" s="150"/>
      <c r="AV283" s="150"/>
      <c r="AW283" s="150"/>
      <c r="AX283" s="150"/>
      <c r="AY283" s="151"/>
      <c r="AZ283" s="151"/>
      <c r="BA283" s="151"/>
      <c r="BB283" s="151"/>
      <c r="BC283" s="151"/>
      <c r="BD283" s="151"/>
      <c r="BE283" s="151"/>
      <c r="BF283" s="151"/>
      <c r="BG283" s="151"/>
      <c r="BH283" s="151"/>
      <c r="BI283" s="151"/>
    </row>
    <row r="284" spans="1:61" x14ac:dyDescent="0.25">
      <c r="A284" s="149"/>
      <c r="B284" s="149"/>
      <c r="C284" s="149"/>
      <c r="D284" s="149"/>
      <c r="E284" s="150"/>
      <c r="F284" s="150"/>
      <c r="G284" s="149"/>
      <c r="H284" s="149"/>
      <c r="I284" s="149"/>
      <c r="J284" s="150"/>
      <c r="K284" s="150"/>
      <c r="L284" s="149"/>
      <c r="M284" s="149"/>
      <c r="N284" s="149"/>
      <c r="O284" s="150"/>
      <c r="P284" s="150"/>
      <c r="Q284" s="149"/>
      <c r="R284" s="149"/>
      <c r="S284" s="149"/>
      <c r="T284" s="150"/>
      <c r="U284" s="150"/>
      <c r="V284" s="150"/>
      <c r="W284" s="150"/>
      <c r="X284" s="150"/>
      <c r="Y284" s="150"/>
      <c r="Z284" s="150"/>
      <c r="AA284" s="150"/>
      <c r="AB284" s="150"/>
      <c r="AC284" s="149"/>
      <c r="AD284" s="149"/>
      <c r="AE284" s="149"/>
      <c r="AF284" s="150"/>
      <c r="AG284" s="150"/>
      <c r="AH284" s="149"/>
      <c r="AI284" s="149"/>
      <c r="AJ284" s="149"/>
      <c r="AK284" s="150"/>
      <c r="AL284" s="150"/>
      <c r="AM284" s="149"/>
      <c r="AN284" s="149"/>
      <c r="AO284" s="149"/>
      <c r="AP284" s="150"/>
      <c r="AQ284" s="150"/>
      <c r="AR284" s="150"/>
      <c r="AS284" s="150"/>
      <c r="AT284" s="150"/>
      <c r="AU284" s="150"/>
      <c r="AV284" s="150"/>
      <c r="AW284" s="150"/>
      <c r="AX284" s="150"/>
      <c r="AY284" s="151"/>
      <c r="AZ284" s="151"/>
      <c r="BA284" s="151"/>
      <c r="BB284" s="151"/>
      <c r="BC284" s="151"/>
      <c r="BD284" s="151"/>
      <c r="BE284" s="151"/>
      <c r="BF284" s="151"/>
      <c r="BG284" s="151"/>
      <c r="BH284" s="151"/>
      <c r="BI284" s="151"/>
    </row>
    <row r="285" spans="1:61" x14ac:dyDescent="0.25">
      <c r="A285" s="149"/>
      <c r="B285" s="149"/>
      <c r="C285" s="149"/>
      <c r="D285" s="149"/>
      <c r="E285" s="150"/>
      <c r="F285" s="150"/>
      <c r="G285" s="149"/>
      <c r="H285" s="149"/>
      <c r="I285" s="149"/>
      <c r="J285" s="150"/>
      <c r="K285" s="150"/>
      <c r="L285" s="149"/>
      <c r="M285" s="149"/>
      <c r="N285" s="149"/>
      <c r="O285" s="150"/>
      <c r="P285" s="150"/>
      <c r="Q285" s="149"/>
      <c r="R285" s="149"/>
      <c r="S285" s="149"/>
      <c r="T285" s="150"/>
      <c r="U285" s="150"/>
      <c r="V285" s="150"/>
      <c r="W285" s="150"/>
      <c r="X285" s="150"/>
      <c r="Y285" s="150"/>
      <c r="Z285" s="150"/>
      <c r="AA285" s="150"/>
      <c r="AB285" s="150"/>
      <c r="AC285" s="149"/>
      <c r="AD285" s="149"/>
      <c r="AE285" s="149"/>
      <c r="AF285" s="150"/>
      <c r="AG285" s="150"/>
      <c r="AH285" s="149"/>
      <c r="AI285" s="149"/>
      <c r="AJ285" s="149"/>
      <c r="AK285" s="150"/>
      <c r="AL285" s="150"/>
      <c r="AM285" s="149"/>
      <c r="AN285" s="149"/>
      <c r="AO285" s="149"/>
      <c r="AP285" s="150"/>
      <c r="AQ285" s="150"/>
      <c r="AR285" s="150"/>
      <c r="AS285" s="150"/>
      <c r="AT285" s="150"/>
      <c r="AU285" s="150"/>
      <c r="AV285" s="150"/>
      <c r="AW285" s="150"/>
      <c r="AX285" s="150"/>
      <c r="AY285" s="151"/>
      <c r="AZ285" s="151"/>
      <c r="BA285" s="151"/>
      <c r="BB285" s="151"/>
      <c r="BC285" s="151"/>
      <c r="BD285" s="151"/>
      <c r="BE285" s="151"/>
      <c r="BF285" s="151"/>
      <c r="BG285" s="151"/>
      <c r="BH285" s="151"/>
      <c r="BI285" s="151"/>
    </row>
    <row r="286" spans="1:61" x14ac:dyDescent="0.25">
      <c r="A286" s="149"/>
      <c r="B286" s="149"/>
      <c r="C286" s="149"/>
      <c r="D286" s="149"/>
      <c r="E286" s="150"/>
      <c r="F286" s="150"/>
      <c r="G286" s="149"/>
      <c r="H286" s="149"/>
      <c r="I286" s="149"/>
      <c r="J286" s="150"/>
      <c r="K286" s="150"/>
      <c r="L286" s="149"/>
      <c r="M286" s="149"/>
      <c r="N286" s="149"/>
      <c r="O286" s="150"/>
      <c r="P286" s="150"/>
      <c r="Q286" s="149"/>
      <c r="R286" s="149"/>
      <c r="S286" s="149"/>
      <c r="T286" s="150"/>
      <c r="U286" s="150"/>
      <c r="V286" s="150"/>
      <c r="W286" s="150"/>
      <c r="X286" s="150"/>
      <c r="Y286" s="150"/>
      <c r="Z286" s="150"/>
      <c r="AA286" s="150"/>
      <c r="AB286" s="150"/>
      <c r="AC286" s="149"/>
      <c r="AD286" s="149"/>
      <c r="AE286" s="149"/>
      <c r="AF286" s="150"/>
      <c r="AG286" s="150"/>
      <c r="AH286" s="149"/>
      <c r="AI286" s="149"/>
      <c r="AJ286" s="149"/>
      <c r="AK286" s="150"/>
      <c r="AL286" s="150"/>
      <c r="AM286" s="149"/>
      <c r="AN286" s="149"/>
      <c r="AO286" s="149"/>
      <c r="AP286" s="150"/>
      <c r="AQ286" s="150"/>
      <c r="AR286" s="150"/>
      <c r="AS286" s="150"/>
      <c r="AT286" s="150"/>
      <c r="AU286" s="150"/>
      <c r="AV286" s="150"/>
      <c r="AW286" s="150"/>
      <c r="AX286" s="150"/>
      <c r="AY286" s="151"/>
      <c r="AZ286" s="151"/>
      <c r="BA286" s="151"/>
      <c r="BB286" s="151"/>
      <c r="BC286" s="151"/>
      <c r="BD286" s="151"/>
      <c r="BE286" s="151"/>
      <c r="BF286" s="151"/>
      <c r="BG286" s="151"/>
      <c r="BH286" s="151"/>
      <c r="BI286" s="151"/>
    </row>
    <row r="287" spans="1:61" x14ac:dyDescent="0.25">
      <c r="A287" s="149"/>
      <c r="B287" s="149"/>
      <c r="C287" s="149"/>
      <c r="D287" s="149"/>
      <c r="E287" s="150"/>
      <c r="F287" s="150"/>
      <c r="G287" s="149"/>
      <c r="H287" s="149"/>
      <c r="I287" s="149"/>
      <c r="J287" s="150"/>
      <c r="K287" s="150"/>
      <c r="L287" s="149"/>
      <c r="M287" s="149"/>
      <c r="N287" s="149"/>
      <c r="O287" s="150"/>
      <c r="P287" s="150"/>
      <c r="Q287" s="149"/>
      <c r="R287" s="149"/>
      <c r="S287" s="149"/>
      <c r="T287" s="150"/>
      <c r="U287" s="150"/>
      <c r="V287" s="150"/>
      <c r="W287" s="150"/>
      <c r="X287" s="150"/>
      <c r="Y287" s="150"/>
      <c r="Z287" s="150"/>
      <c r="AA287" s="150"/>
      <c r="AB287" s="150"/>
      <c r="AC287" s="149"/>
      <c r="AD287" s="149"/>
      <c r="AE287" s="149"/>
      <c r="AF287" s="150"/>
      <c r="AG287" s="150"/>
      <c r="AH287" s="149"/>
      <c r="AI287" s="149"/>
      <c r="AJ287" s="149"/>
      <c r="AK287" s="150"/>
      <c r="AL287" s="150"/>
      <c r="AM287" s="149"/>
      <c r="AN287" s="149"/>
      <c r="AO287" s="149"/>
      <c r="AP287" s="150"/>
      <c r="AQ287" s="150"/>
      <c r="AR287" s="150"/>
      <c r="AS287" s="150"/>
      <c r="AT287" s="150"/>
      <c r="AU287" s="150"/>
      <c r="AV287" s="150"/>
      <c r="AW287" s="150"/>
      <c r="AX287" s="150"/>
      <c r="AY287" s="151"/>
      <c r="AZ287" s="151"/>
      <c r="BA287" s="151"/>
      <c r="BB287" s="151"/>
      <c r="BC287" s="151"/>
      <c r="BD287" s="151"/>
      <c r="BE287" s="151"/>
      <c r="BF287" s="151"/>
      <c r="BG287" s="151"/>
      <c r="BH287" s="151"/>
      <c r="BI287" s="151"/>
    </row>
    <row r="288" spans="1:61" x14ac:dyDescent="0.25">
      <c r="A288" s="149"/>
      <c r="B288" s="149"/>
      <c r="C288" s="149"/>
      <c r="D288" s="149"/>
      <c r="E288" s="150"/>
      <c r="F288" s="150"/>
      <c r="G288" s="149"/>
      <c r="H288" s="149"/>
      <c r="I288" s="149"/>
      <c r="J288" s="150"/>
      <c r="K288" s="150"/>
      <c r="L288" s="149"/>
      <c r="M288" s="149"/>
      <c r="N288" s="149"/>
      <c r="O288" s="150"/>
      <c r="P288" s="150"/>
      <c r="Q288" s="149"/>
      <c r="R288" s="149"/>
      <c r="S288" s="149"/>
      <c r="T288" s="150"/>
      <c r="U288" s="150"/>
      <c r="V288" s="150"/>
      <c r="W288" s="150"/>
      <c r="X288" s="150"/>
      <c r="Y288" s="150"/>
      <c r="Z288" s="150"/>
      <c r="AA288" s="150"/>
      <c r="AB288" s="150"/>
      <c r="AC288" s="149"/>
      <c r="AD288" s="149"/>
      <c r="AE288" s="149"/>
      <c r="AF288" s="150"/>
      <c r="AG288" s="150"/>
      <c r="AH288" s="149"/>
      <c r="AI288" s="149"/>
      <c r="AJ288" s="149"/>
      <c r="AK288" s="150"/>
      <c r="AL288" s="150"/>
      <c r="AM288" s="149"/>
      <c r="AN288" s="149"/>
      <c r="AO288" s="149"/>
      <c r="AP288" s="150"/>
      <c r="AQ288" s="150"/>
      <c r="AR288" s="150"/>
      <c r="AS288" s="150"/>
      <c r="AT288" s="150"/>
      <c r="AU288" s="150"/>
      <c r="AV288" s="150"/>
      <c r="AW288" s="150"/>
      <c r="AX288" s="150"/>
      <c r="AY288" s="151"/>
      <c r="AZ288" s="151"/>
      <c r="BA288" s="151"/>
      <c r="BB288" s="151"/>
      <c r="BC288" s="151"/>
      <c r="BD288" s="151"/>
      <c r="BE288" s="151"/>
      <c r="BF288" s="151"/>
      <c r="BG288" s="151"/>
      <c r="BH288" s="151"/>
      <c r="BI288" s="151"/>
    </row>
    <row r="289" spans="1:61" x14ac:dyDescent="0.25">
      <c r="A289" s="149"/>
      <c r="B289" s="149"/>
      <c r="C289" s="149"/>
      <c r="D289" s="149"/>
      <c r="E289" s="150"/>
      <c r="F289" s="150"/>
      <c r="G289" s="149"/>
      <c r="H289" s="149"/>
      <c r="I289" s="149"/>
      <c r="J289" s="150"/>
      <c r="K289" s="150"/>
      <c r="L289" s="149"/>
      <c r="M289" s="149"/>
      <c r="N289" s="149"/>
      <c r="O289" s="150"/>
      <c r="P289" s="150"/>
      <c r="Q289" s="149"/>
      <c r="R289" s="149"/>
      <c r="S289" s="149"/>
      <c r="T289" s="150"/>
      <c r="U289" s="150"/>
      <c r="V289" s="150"/>
      <c r="W289" s="150"/>
      <c r="X289" s="150"/>
      <c r="Y289" s="150"/>
      <c r="Z289" s="150"/>
      <c r="AA289" s="150"/>
      <c r="AB289" s="150"/>
      <c r="AC289" s="149"/>
      <c r="AD289" s="149"/>
      <c r="AE289" s="149"/>
      <c r="AF289" s="150"/>
      <c r="AG289" s="150"/>
      <c r="AH289" s="149"/>
      <c r="AI289" s="149"/>
      <c r="AJ289" s="149"/>
      <c r="AK289" s="150"/>
      <c r="AL289" s="150"/>
      <c r="AM289" s="149"/>
      <c r="AN289" s="149"/>
      <c r="AO289" s="149"/>
      <c r="AP289" s="150"/>
      <c r="AQ289" s="150"/>
      <c r="AR289" s="150"/>
      <c r="AS289" s="150"/>
      <c r="AT289" s="150"/>
      <c r="AU289" s="150"/>
      <c r="AV289" s="150"/>
      <c r="AW289" s="150"/>
      <c r="AX289" s="150"/>
      <c r="AY289" s="151"/>
      <c r="AZ289" s="151"/>
      <c r="BA289" s="151"/>
      <c r="BB289" s="151"/>
      <c r="BC289" s="151"/>
      <c r="BD289" s="151"/>
      <c r="BE289" s="151"/>
      <c r="BF289" s="151"/>
      <c r="BG289" s="151"/>
      <c r="BH289" s="151"/>
      <c r="BI289" s="151"/>
    </row>
    <row r="290" spans="1:61" x14ac:dyDescent="0.25">
      <c r="A290" s="149"/>
      <c r="B290" s="149"/>
      <c r="C290" s="149"/>
      <c r="D290" s="149"/>
      <c r="E290" s="150"/>
      <c r="F290" s="150"/>
      <c r="G290" s="149"/>
      <c r="H290" s="149"/>
      <c r="I290" s="149"/>
      <c r="J290" s="150"/>
      <c r="K290" s="150"/>
      <c r="L290" s="149"/>
      <c r="M290" s="149"/>
      <c r="N290" s="149"/>
      <c r="O290" s="150"/>
      <c r="P290" s="150"/>
      <c r="Q290" s="149"/>
      <c r="R290" s="149"/>
      <c r="S290" s="149"/>
      <c r="T290" s="150"/>
      <c r="U290" s="150"/>
      <c r="V290" s="150"/>
      <c r="W290" s="150"/>
      <c r="X290" s="150"/>
      <c r="Y290" s="150"/>
      <c r="Z290" s="150"/>
      <c r="AA290" s="150"/>
      <c r="AB290" s="150"/>
      <c r="AC290" s="149"/>
      <c r="AD290" s="149"/>
      <c r="AE290" s="149"/>
      <c r="AF290" s="150"/>
      <c r="AG290" s="150"/>
      <c r="AH290" s="149"/>
      <c r="AI290" s="149"/>
      <c r="AJ290" s="149"/>
      <c r="AK290" s="150"/>
      <c r="AL290" s="150"/>
      <c r="AM290" s="149"/>
      <c r="AN290" s="149"/>
      <c r="AO290" s="149"/>
      <c r="AP290" s="150"/>
      <c r="AQ290" s="150"/>
      <c r="AR290" s="150"/>
      <c r="AS290" s="150"/>
      <c r="AT290" s="150"/>
      <c r="AU290" s="150"/>
      <c r="AV290" s="150"/>
      <c r="AW290" s="150"/>
      <c r="AX290" s="150"/>
      <c r="AY290" s="151"/>
      <c r="AZ290" s="151"/>
      <c r="BA290" s="151"/>
      <c r="BB290" s="151"/>
      <c r="BC290" s="151"/>
      <c r="BD290" s="151"/>
      <c r="BE290" s="151"/>
      <c r="BF290" s="151"/>
      <c r="BG290" s="151"/>
      <c r="BH290" s="151"/>
      <c r="BI290" s="151"/>
    </row>
    <row r="291" spans="1:61" x14ac:dyDescent="0.25">
      <c r="A291" s="149"/>
      <c r="B291" s="149"/>
      <c r="C291" s="149"/>
      <c r="D291" s="149"/>
      <c r="E291" s="150"/>
      <c r="F291" s="150"/>
      <c r="G291" s="149"/>
      <c r="H291" s="149"/>
      <c r="I291" s="149"/>
      <c r="J291" s="150"/>
      <c r="K291" s="150"/>
      <c r="L291" s="149"/>
      <c r="M291" s="149"/>
      <c r="N291" s="149"/>
      <c r="O291" s="150"/>
      <c r="P291" s="150"/>
      <c r="Q291" s="149"/>
      <c r="R291" s="149"/>
      <c r="S291" s="149"/>
      <c r="T291" s="150"/>
      <c r="U291" s="150"/>
      <c r="V291" s="150"/>
      <c r="W291" s="150"/>
      <c r="X291" s="150"/>
      <c r="Y291" s="150"/>
      <c r="Z291" s="150"/>
      <c r="AA291" s="150"/>
      <c r="AB291" s="150"/>
      <c r="AC291" s="149"/>
      <c r="AD291" s="149"/>
      <c r="AE291" s="149"/>
      <c r="AF291" s="150"/>
      <c r="AG291" s="150"/>
      <c r="AH291" s="149"/>
      <c r="AI291" s="149"/>
      <c r="AJ291" s="149"/>
      <c r="AK291" s="150"/>
      <c r="AL291" s="150"/>
      <c r="AM291" s="149"/>
      <c r="AN291" s="149"/>
      <c r="AO291" s="149"/>
      <c r="AP291" s="150"/>
      <c r="AQ291" s="150"/>
      <c r="AR291" s="150"/>
      <c r="AS291" s="150"/>
      <c r="AT291" s="150"/>
      <c r="AU291" s="150"/>
      <c r="AV291" s="150"/>
      <c r="AW291" s="150"/>
      <c r="AX291" s="150"/>
      <c r="AY291" s="151"/>
      <c r="AZ291" s="151"/>
      <c r="BA291" s="151"/>
      <c r="BB291" s="151"/>
      <c r="BC291" s="151"/>
      <c r="BD291" s="151"/>
      <c r="BE291" s="151"/>
      <c r="BF291" s="151"/>
      <c r="BG291" s="151"/>
      <c r="BH291" s="151"/>
      <c r="BI291" s="151"/>
    </row>
    <row r="292" spans="1:61" x14ac:dyDescent="0.25">
      <c r="A292" s="149"/>
      <c r="B292" s="149"/>
      <c r="C292" s="149"/>
      <c r="D292" s="149"/>
      <c r="E292" s="150"/>
      <c r="F292" s="150"/>
      <c r="G292" s="149"/>
      <c r="H292" s="149"/>
      <c r="I292" s="149"/>
      <c r="J292" s="150"/>
      <c r="K292" s="150"/>
      <c r="L292" s="149"/>
      <c r="M292" s="149"/>
      <c r="N292" s="149"/>
      <c r="O292" s="150"/>
      <c r="P292" s="150"/>
      <c r="Q292" s="149"/>
      <c r="R292" s="149"/>
      <c r="S292" s="149"/>
      <c r="T292" s="150"/>
      <c r="U292" s="150"/>
      <c r="V292" s="150"/>
      <c r="W292" s="150"/>
      <c r="X292" s="150"/>
      <c r="Y292" s="150"/>
      <c r="Z292" s="150"/>
      <c r="AA292" s="150"/>
      <c r="AB292" s="150"/>
      <c r="AC292" s="149"/>
      <c r="AD292" s="149"/>
      <c r="AE292" s="149"/>
      <c r="AF292" s="150"/>
      <c r="AG292" s="150"/>
      <c r="AH292" s="149"/>
      <c r="AI292" s="149"/>
      <c r="AJ292" s="149"/>
      <c r="AK292" s="150"/>
      <c r="AL292" s="150"/>
      <c r="AM292" s="149"/>
      <c r="AN292" s="149"/>
      <c r="AO292" s="149"/>
      <c r="AP292" s="150"/>
      <c r="AQ292" s="150"/>
      <c r="AR292" s="150"/>
      <c r="AS292" s="150"/>
      <c r="AT292" s="150"/>
      <c r="AU292" s="150"/>
      <c r="AV292" s="150"/>
      <c r="AW292" s="150"/>
      <c r="AX292" s="150"/>
      <c r="AY292" s="151"/>
      <c r="AZ292" s="151"/>
      <c r="BA292" s="151"/>
      <c r="BB292" s="151"/>
      <c r="BC292" s="151"/>
      <c r="BD292" s="151"/>
      <c r="BE292" s="151"/>
      <c r="BF292" s="151"/>
      <c r="BG292" s="151"/>
      <c r="BH292" s="151"/>
      <c r="BI292" s="151"/>
    </row>
    <row r="293" spans="1:61" x14ac:dyDescent="0.25">
      <c r="A293" s="149"/>
      <c r="B293" s="149"/>
      <c r="C293" s="149"/>
      <c r="D293" s="149"/>
      <c r="E293" s="150"/>
      <c r="F293" s="150"/>
      <c r="G293" s="149"/>
      <c r="H293" s="149"/>
      <c r="I293" s="149"/>
      <c r="J293" s="150"/>
      <c r="K293" s="150"/>
      <c r="L293" s="149"/>
      <c r="M293" s="149"/>
      <c r="N293" s="149"/>
      <c r="O293" s="150"/>
      <c r="P293" s="150"/>
      <c r="Q293" s="149"/>
      <c r="R293" s="149"/>
      <c r="S293" s="149"/>
      <c r="T293" s="150"/>
      <c r="U293" s="150"/>
      <c r="V293" s="150"/>
      <c r="W293" s="150"/>
      <c r="X293" s="150"/>
      <c r="Y293" s="150"/>
      <c r="Z293" s="150"/>
      <c r="AA293" s="150"/>
      <c r="AB293" s="150"/>
      <c r="AC293" s="149"/>
      <c r="AD293" s="149"/>
      <c r="AE293" s="149"/>
      <c r="AF293" s="150"/>
      <c r="AG293" s="150"/>
      <c r="AH293" s="149"/>
      <c r="AI293" s="149"/>
      <c r="AJ293" s="149"/>
      <c r="AK293" s="150"/>
      <c r="AL293" s="150"/>
      <c r="AM293" s="149"/>
      <c r="AN293" s="149"/>
      <c r="AO293" s="149"/>
      <c r="AP293" s="150"/>
      <c r="AQ293" s="150"/>
      <c r="AR293" s="150"/>
      <c r="AS293" s="150"/>
      <c r="AT293" s="150"/>
      <c r="AU293" s="150"/>
      <c r="AV293" s="150"/>
      <c r="AW293" s="150"/>
      <c r="AX293" s="150"/>
      <c r="AY293" s="151"/>
      <c r="AZ293" s="151"/>
      <c r="BA293" s="151"/>
      <c r="BB293" s="151"/>
      <c r="BC293" s="151"/>
      <c r="BD293" s="151"/>
      <c r="BE293" s="151"/>
      <c r="BF293" s="151"/>
      <c r="BG293" s="151"/>
      <c r="BH293" s="151"/>
      <c r="BI293" s="151"/>
    </row>
    <row r="294" spans="1:61" x14ac:dyDescent="0.25">
      <c r="A294" s="149"/>
      <c r="B294" s="149"/>
      <c r="C294" s="149"/>
      <c r="D294" s="149"/>
      <c r="E294" s="150"/>
      <c r="F294" s="150"/>
      <c r="G294" s="149"/>
      <c r="H294" s="149"/>
      <c r="I294" s="149"/>
      <c r="J294" s="150"/>
      <c r="K294" s="150"/>
      <c r="L294" s="149"/>
      <c r="M294" s="149"/>
      <c r="N294" s="149"/>
      <c r="O294" s="150"/>
      <c r="P294" s="150"/>
      <c r="Q294" s="149"/>
      <c r="R294" s="149"/>
      <c r="S294" s="149"/>
      <c r="T294" s="150"/>
      <c r="U294" s="150"/>
      <c r="V294" s="150"/>
      <c r="W294" s="150"/>
      <c r="X294" s="150"/>
      <c r="Y294" s="150"/>
      <c r="Z294" s="150"/>
      <c r="AA294" s="150"/>
      <c r="AB294" s="150"/>
      <c r="AC294" s="149"/>
      <c r="AD294" s="149"/>
      <c r="AE294" s="149"/>
      <c r="AF294" s="150"/>
      <c r="AG294" s="150"/>
      <c r="AH294" s="149"/>
      <c r="AI294" s="149"/>
      <c r="AJ294" s="149"/>
      <c r="AK294" s="150"/>
      <c r="AL294" s="150"/>
      <c r="AM294" s="149"/>
      <c r="AN294" s="149"/>
      <c r="AO294" s="149"/>
      <c r="AP294" s="150"/>
      <c r="AQ294" s="150"/>
      <c r="AR294" s="150"/>
      <c r="AS294" s="150"/>
      <c r="AT294" s="150"/>
      <c r="AU294" s="150"/>
      <c r="AV294" s="150"/>
      <c r="AW294" s="150"/>
      <c r="AX294" s="150"/>
      <c r="AY294" s="151"/>
      <c r="AZ294" s="151"/>
      <c r="BA294" s="151"/>
      <c r="BB294" s="151"/>
      <c r="BC294" s="151"/>
      <c r="BD294" s="151"/>
      <c r="BE294" s="151"/>
      <c r="BF294" s="151"/>
      <c r="BG294" s="151"/>
      <c r="BH294" s="151"/>
      <c r="BI294" s="151"/>
    </row>
    <row r="295" spans="1:61" x14ac:dyDescent="0.25">
      <c r="A295" s="149"/>
      <c r="B295" s="149"/>
      <c r="C295" s="149"/>
      <c r="D295" s="149"/>
      <c r="E295" s="150"/>
      <c r="F295" s="150"/>
      <c r="G295" s="149"/>
      <c r="H295" s="149"/>
      <c r="I295" s="149"/>
      <c r="J295" s="150"/>
      <c r="K295" s="150"/>
      <c r="L295" s="149"/>
      <c r="M295" s="149"/>
      <c r="N295" s="149"/>
      <c r="O295" s="150"/>
      <c r="P295" s="150"/>
      <c r="Q295" s="149"/>
      <c r="R295" s="149"/>
      <c r="S295" s="149"/>
      <c r="T295" s="150"/>
      <c r="U295" s="150"/>
      <c r="V295" s="150"/>
      <c r="W295" s="150"/>
      <c r="X295" s="150"/>
      <c r="Y295" s="150"/>
      <c r="Z295" s="150"/>
      <c r="AA295" s="150"/>
      <c r="AB295" s="150"/>
      <c r="AC295" s="149"/>
      <c r="AD295" s="149"/>
      <c r="AE295" s="149"/>
      <c r="AF295" s="150"/>
      <c r="AG295" s="150"/>
      <c r="AH295" s="149"/>
      <c r="AI295" s="149"/>
      <c r="AJ295" s="149"/>
      <c r="AK295" s="150"/>
      <c r="AL295" s="150"/>
      <c r="AM295" s="149"/>
      <c r="AN295" s="149"/>
      <c r="AO295" s="149"/>
      <c r="AP295" s="150"/>
      <c r="AQ295" s="150"/>
      <c r="AR295" s="150"/>
      <c r="AS295" s="150"/>
      <c r="AT295" s="150"/>
      <c r="AU295" s="150"/>
      <c r="AV295" s="150"/>
      <c r="AW295" s="150"/>
      <c r="AX295" s="150"/>
      <c r="AY295" s="151"/>
      <c r="AZ295" s="151"/>
      <c r="BA295" s="151"/>
      <c r="BB295" s="151"/>
      <c r="BC295" s="151"/>
      <c r="BD295" s="151"/>
      <c r="BE295" s="151"/>
      <c r="BF295" s="151"/>
      <c r="BG295" s="151"/>
      <c r="BH295" s="151"/>
      <c r="BI295" s="151"/>
    </row>
    <row r="296" spans="1:61" x14ac:dyDescent="0.25">
      <c r="A296" s="149"/>
      <c r="B296" s="149"/>
      <c r="C296" s="149"/>
      <c r="D296" s="149"/>
      <c r="E296" s="150"/>
      <c r="F296" s="150"/>
      <c r="G296" s="149"/>
      <c r="H296" s="149"/>
      <c r="I296" s="149"/>
      <c r="J296" s="150"/>
      <c r="K296" s="150"/>
      <c r="L296" s="149"/>
      <c r="M296" s="149"/>
      <c r="N296" s="149"/>
      <c r="O296" s="150"/>
      <c r="P296" s="150"/>
      <c r="Q296" s="149"/>
      <c r="R296" s="149"/>
      <c r="S296" s="149"/>
      <c r="T296" s="150"/>
      <c r="U296" s="150"/>
      <c r="V296" s="150"/>
      <c r="W296" s="150"/>
      <c r="X296" s="150"/>
      <c r="Y296" s="150"/>
      <c r="Z296" s="150"/>
      <c r="AA296" s="150"/>
      <c r="AB296" s="150"/>
      <c r="AC296" s="149"/>
      <c r="AD296" s="149"/>
      <c r="AE296" s="149"/>
      <c r="AF296" s="150"/>
      <c r="AG296" s="150"/>
      <c r="AH296" s="149"/>
      <c r="AI296" s="149"/>
      <c r="AJ296" s="149"/>
      <c r="AK296" s="150"/>
      <c r="AL296" s="150"/>
      <c r="AM296" s="149"/>
      <c r="AN296" s="149"/>
      <c r="AO296" s="149"/>
      <c r="AP296" s="150"/>
      <c r="AQ296" s="150"/>
      <c r="AR296" s="150"/>
      <c r="AS296" s="150"/>
      <c r="AT296" s="150"/>
      <c r="AU296" s="150"/>
      <c r="AV296" s="150"/>
      <c r="AW296" s="150"/>
      <c r="AX296" s="150"/>
      <c r="AY296" s="151"/>
      <c r="AZ296" s="151"/>
      <c r="BA296" s="151"/>
      <c r="BB296" s="151"/>
      <c r="BC296" s="151"/>
      <c r="BD296" s="151"/>
      <c r="BE296" s="151"/>
      <c r="BF296" s="151"/>
      <c r="BG296" s="151"/>
      <c r="BH296" s="151"/>
      <c r="BI296" s="151"/>
    </row>
    <row r="297" spans="1:61" x14ac:dyDescent="0.25">
      <c r="A297" s="149"/>
      <c r="B297" s="149"/>
      <c r="C297" s="149"/>
      <c r="D297" s="149"/>
      <c r="E297" s="150"/>
      <c r="F297" s="150"/>
      <c r="G297" s="149"/>
      <c r="H297" s="149"/>
      <c r="I297" s="149"/>
      <c r="J297" s="150"/>
      <c r="K297" s="150"/>
      <c r="L297" s="149"/>
      <c r="M297" s="149"/>
      <c r="N297" s="149"/>
      <c r="O297" s="150"/>
      <c r="P297" s="150"/>
      <c r="Q297" s="149"/>
      <c r="R297" s="149"/>
      <c r="S297" s="149"/>
      <c r="T297" s="150"/>
      <c r="U297" s="150"/>
      <c r="V297" s="150"/>
      <c r="W297" s="150"/>
      <c r="X297" s="150"/>
      <c r="Y297" s="150"/>
      <c r="Z297" s="150"/>
      <c r="AA297" s="150"/>
      <c r="AB297" s="150"/>
      <c r="AC297" s="149"/>
      <c r="AD297" s="149"/>
      <c r="AE297" s="149"/>
      <c r="AF297" s="150"/>
      <c r="AG297" s="150"/>
      <c r="AH297" s="149"/>
      <c r="AI297" s="149"/>
      <c r="AJ297" s="149"/>
      <c r="AK297" s="150"/>
      <c r="AL297" s="150"/>
      <c r="AM297" s="149"/>
      <c r="AN297" s="149"/>
      <c r="AO297" s="149"/>
      <c r="AP297" s="150"/>
      <c r="AQ297" s="150"/>
      <c r="AR297" s="150"/>
      <c r="AS297" s="150"/>
      <c r="AT297" s="150"/>
      <c r="AU297" s="150"/>
      <c r="AV297" s="150"/>
      <c r="AW297" s="150"/>
      <c r="AX297" s="150"/>
      <c r="AY297" s="151"/>
      <c r="AZ297" s="151"/>
      <c r="BA297" s="151"/>
      <c r="BB297" s="151"/>
      <c r="BC297" s="151"/>
      <c r="BD297" s="151"/>
      <c r="BE297" s="151"/>
      <c r="BF297" s="151"/>
      <c r="BG297" s="151"/>
      <c r="BH297" s="151"/>
      <c r="BI297" s="151"/>
    </row>
    <row r="298" spans="1:61" x14ac:dyDescent="0.25">
      <c r="A298" s="149"/>
      <c r="B298" s="149"/>
      <c r="C298" s="149"/>
      <c r="D298" s="149"/>
      <c r="E298" s="150"/>
      <c r="F298" s="150"/>
      <c r="G298" s="149"/>
      <c r="H298" s="149"/>
      <c r="I298" s="149"/>
      <c r="J298" s="150"/>
      <c r="K298" s="150"/>
      <c r="L298" s="149"/>
      <c r="M298" s="149"/>
      <c r="N298" s="149"/>
      <c r="O298" s="150"/>
      <c r="P298" s="150"/>
      <c r="Q298" s="149"/>
      <c r="R298" s="149"/>
      <c r="S298" s="149"/>
      <c r="T298" s="150"/>
      <c r="U298" s="150"/>
      <c r="V298" s="150"/>
      <c r="W298" s="150"/>
      <c r="X298" s="150"/>
      <c r="Y298" s="150"/>
      <c r="Z298" s="150"/>
      <c r="AA298" s="150"/>
      <c r="AB298" s="150"/>
      <c r="AC298" s="149"/>
      <c r="AD298" s="149"/>
      <c r="AE298" s="149"/>
      <c r="AF298" s="150"/>
      <c r="AG298" s="150"/>
      <c r="AH298" s="149"/>
      <c r="AI298" s="149"/>
      <c r="AJ298" s="149"/>
      <c r="AK298" s="150"/>
      <c r="AL298" s="150"/>
      <c r="AM298" s="149"/>
      <c r="AN298" s="149"/>
      <c r="AO298" s="149"/>
      <c r="AP298" s="150"/>
      <c r="AQ298" s="150"/>
      <c r="AR298" s="150"/>
      <c r="AS298" s="150"/>
      <c r="AT298" s="150"/>
      <c r="AU298" s="150"/>
      <c r="AV298" s="150"/>
      <c r="AW298" s="150"/>
      <c r="AX298" s="150"/>
      <c r="AY298" s="151"/>
      <c r="AZ298" s="151"/>
      <c r="BA298" s="151"/>
      <c r="BB298" s="151"/>
      <c r="BC298" s="151"/>
      <c r="BD298" s="151"/>
      <c r="BE298" s="151"/>
      <c r="BF298" s="151"/>
      <c r="BG298" s="151"/>
      <c r="BH298" s="151"/>
      <c r="BI298" s="151"/>
    </row>
    <row r="299" spans="1:61" x14ac:dyDescent="0.25">
      <c r="A299" s="149"/>
      <c r="B299" s="149"/>
      <c r="C299" s="149"/>
      <c r="D299" s="149"/>
      <c r="E299" s="150"/>
      <c r="F299" s="150"/>
      <c r="G299" s="149"/>
      <c r="H299" s="149"/>
      <c r="I299" s="149"/>
      <c r="J299" s="150"/>
      <c r="K299" s="150"/>
      <c r="L299" s="149"/>
      <c r="M299" s="149"/>
      <c r="N299" s="149"/>
      <c r="O299" s="150"/>
      <c r="P299" s="150"/>
      <c r="Q299" s="149"/>
      <c r="R299" s="149"/>
      <c r="S299" s="149"/>
      <c r="T299" s="150"/>
      <c r="U299" s="150"/>
      <c r="V299" s="150"/>
      <c r="W299" s="150"/>
      <c r="X299" s="150"/>
      <c r="Y299" s="150"/>
      <c r="Z299" s="150"/>
      <c r="AA299" s="150"/>
      <c r="AB299" s="150"/>
      <c r="AC299" s="149"/>
      <c r="AD299" s="149"/>
      <c r="AE299" s="149"/>
      <c r="AF299" s="150"/>
      <c r="AG299" s="150"/>
      <c r="AH299" s="149"/>
      <c r="AI299" s="149"/>
      <c r="AJ299" s="149"/>
      <c r="AK299" s="150"/>
      <c r="AL299" s="150"/>
      <c r="AM299" s="149"/>
      <c r="AN299" s="149"/>
      <c r="AO299" s="149"/>
      <c r="AP299" s="150"/>
      <c r="AQ299" s="150"/>
      <c r="AR299" s="150"/>
      <c r="AS299" s="150"/>
      <c r="AT299" s="150"/>
      <c r="AU299" s="150"/>
      <c r="AV299" s="150"/>
      <c r="AW299" s="150"/>
      <c r="AX299" s="150"/>
      <c r="AY299" s="151"/>
      <c r="AZ299" s="151"/>
      <c r="BA299" s="151"/>
      <c r="BB299" s="151"/>
      <c r="BC299" s="151"/>
      <c r="BD299" s="151"/>
      <c r="BE299" s="151"/>
      <c r="BF299" s="151"/>
      <c r="BG299" s="151"/>
      <c r="BH299" s="151"/>
      <c r="BI299" s="151"/>
    </row>
    <row r="300" spans="1:61" x14ac:dyDescent="0.25">
      <c r="A300" s="149"/>
      <c r="B300" s="149"/>
      <c r="C300" s="149"/>
      <c r="D300" s="149"/>
      <c r="E300" s="150"/>
      <c r="F300" s="150"/>
      <c r="G300" s="149"/>
      <c r="H300" s="149"/>
      <c r="I300" s="149"/>
      <c r="J300" s="150"/>
      <c r="K300" s="150"/>
      <c r="L300" s="149"/>
      <c r="M300" s="149"/>
      <c r="N300" s="149"/>
      <c r="O300" s="150"/>
      <c r="P300" s="150"/>
      <c r="Q300" s="149"/>
      <c r="R300" s="149"/>
      <c r="S300" s="149"/>
      <c r="T300" s="150"/>
      <c r="U300" s="150"/>
      <c r="V300" s="150"/>
      <c r="W300" s="150"/>
      <c r="X300" s="150"/>
      <c r="Y300" s="150"/>
      <c r="Z300" s="150"/>
      <c r="AA300" s="150"/>
      <c r="AB300" s="150"/>
      <c r="AC300" s="149"/>
      <c r="AD300" s="149"/>
      <c r="AE300" s="149"/>
      <c r="AF300" s="150"/>
      <c r="AG300" s="150"/>
      <c r="AH300" s="149"/>
      <c r="AI300" s="149"/>
      <c r="AJ300" s="149"/>
      <c r="AK300" s="150"/>
      <c r="AL300" s="150"/>
      <c r="AM300" s="149"/>
      <c r="AN300" s="149"/>
      <c r="AO300" s="149"/>
      <c r="AP300" s="150"/>
      <c r="AQ300" s="150"/>
      <c r="AR300" s="150"/>
      <c r="AS300" s="150"/>
      <c r="AT300" s="150"/>
      <c r="AU300" s="150"/>
      <c r="AV300" s="150"/>
      <c r="AW300" s="150"/>
      <c r="AX300" s="150"/>
      <c r="AY300" s="151"/>
      <c r="AZ300" s="151"/>
      <c r="BA300" s="151"/>
      <c r="BB300" s="151"/>
      <c r="BC300" s="151"/>
      <c r="BD300" s="151"/>
      <c r="BE300" s="151"/>
      <c r="BF300" s="151"/>
      <c r="BG300" s="151"/>
      <c r="BH300" s="151"/>
      <c r="BI300" s="151"/>
    </row>
    <row r="301" spans="1:61" x14ac:dyDescent="0.25">
      <c r="A301" s="149"/>
      <c r="B301" s="149"/>
      <c r="C301" s="149"/>
      <c r="D301" s="149"/>
      <c r="E301" s="150"/>
      <c r="F301" s="150"/>
      <c r="G301" s="149"/>
      <c r="H301" s="149"/>
      <c r="I301" s="149"/>
      <c r="J301" s="150"/>
      <c r="K301" s="150"/>
      <c r="L301" s="149"/>
      <c r="M301" s="149"/>
      <c r="N301" s="149"/>
      <c r="O301" s="150"/>
      <c r="P301" s="150"/>
      <c r="Q301" s="149"/>
      <c r="R301" s="149"/>
      <c r="S301" s="149"/>
      <c r="T301" s="150"/>
      <c r="U301" s="150"/>
      <c r="V301" s="150"/>
      <c r="W301" s="150"/>
      <c r="X301" s="150"/>
      <c r="Y301" s="150"/>
      <c r="Z301" s="150"/>
      <c r="AA301" s="150"/>
      <c r="AB301" s="150"/>
      <c r="AC301" s="149"/>
      <c r="AD301" s="149"/>
      <c r="AE301" s="149"/>
      <c r="AF301" s="150"/>
      <c r="AG301" s="150"/>
      <c r="AH301" s="149"/>
      <c r="AI301" s="149"/>
      <c r="AJ301" s="149"/>
      <c r="AK301" s="150"/>
      <c r="AL301" s="150"/>
      <c r="AM301" s="149"/>
      <c r="AN301" s="149"/>
      <c r="AO301" s="149"/>
      <c r="AP301" s="150"/>
      <c r="AQ301" s="150"/>
      <c r="AR301" s="150"/>
      <c r="AS301" s="150"/>
      <c r="AT301" s="150"/>
      <c r="AU301" s="150"/>
      <c r="AV301" s="150"/>
      <c r="AW301" s="150"/>
      <c r="AX301" s="150"/>
      <c r="AY301" s="151"/>
      <c r="AZ301" s="151"/>
      <c r="BA301" s="151"/>
      <c r="BB301" s="151"/>
      <c r="BC301" s="151"/>
      <c r="BD301" s="151"/>
      <c r="BE301" s="151"/>
      <c r="BF301" s="151"/>
      <c r="BG301" s="151"/>
      <c r="BH301" s="151"/>
      <c r="BI301" s="151"/>
    </row>
    <row r="302" spans="1:61" x14ac:dyDescent="0.25">
      <c r="A302" s="149"/>
      <c r="B302" s="149"/>
      <c r="C302" s="149"/>
      <c r="D302" s="149"/>
      <c r="E302" s="150"/>
      <c r="F302" s="150"/>
      <c r="G302" s="149"/>
      <c r="H302" s="149"/>
      <c r="I302" s="149"/>
      <c r="J302" s="150"/>
      <c r="K302" s="150"/>
      <c r="L302" s="149"/>
      <c r="M302" s="149"/>
      <c r="N302" s="149"/>
      <c r="O302" s="150"/>
      <c r="P302" s="150"/>
      <c r="Q302" s="149"/>
      <c r="R302" s="149"/>
      <c r="S302" s="149"/>
      <c r="T302" s="150"/>
      <c r="U302" s="150"/>
      <c r="V302" s="150"/>
      <c r="W302" s="150"/>
      <c r="X302" s="150"/>
      <c r="Y302" s="150"/>
      <c r="Z302" s="150"/>
      <c r="AA302" s="150"/>
      <c r="AB302" s="150"/>
      <c r="AC302" s="149"/>
      <c r="AD302" s="149"/>
      <c r="AE302" s="149"/>
      <c r="AF302" s="150"/>
      <c r="AG302" s="150"/>
      <c r="AH302" s="149"/>
      <c r="AI302" s="149"/>
      <c r="AJ302" s="149"/>
      <c r="AK302" s="150"/>
      <c r="AL302" s="150"/>
      <c r="AM302" s="149"/>
      <c r="AN302" s="149"/>
      <c r="AO302" s="149"/>
      <c r="AP302" s="150"/>
      <c r="AQ302" s="150"/>
      <c r="AR302" s="150"/>
      <c r="AS302" s="150"/>
      <c r="AT302" s="150"/>
      <c r="AU302" s="150"/>
      <c r="AV302" s="150"/>
      <c r="AW302" s="150"/>
      <c r="AX302" s="150"/>
      <c r="AY302" s="151"/>
      <c r="AZ302" s="151"/>
      <c r="BA302" s="151"/>
      <c r="BB302" s="151"/>
      <c r="BC302" s="151"/>
      <c r="BD302" s="151"/>
      <c r="BE302" s="151"/>
      <c r="BF302" s="151"/>
      <c r="BG302" s="151"/>
      <c r="BH302" s="151"/>
      <c r="BI302" s="151"/>
    </row>
    <row r="303" spans="1:61" x14ac:dyDescent="0.25">
      <c r="A303" s="149"/>
      <c r="B303" s="149"/>
      <c r="C303" s="149"/>
      <c r="D303" s="149"/>
      <c r="E303" s="150"/>
      <c r="F303" s="150"/>
      <c r="G303" s="149"/>
      <c r="H303" s="149"/>
      <c r="I303" s="149"/>
      <c r="J303" s="150"/>
      <c r="K303" s="150"/>
      <c r="L303" s="149"/>
      <c r="M303" s="149"/>
      <c r="N303" s="149"/>
      <c r="O303" s="150"/>
      <c r="P303" s="150"/>
      <c r="Q303" s="149"/>
      <c r="R303" s="149"/>
      <c r="S303" s="149"/>
      <c r="T303" s="150"/>
      <c r="U303" s="150"/>
      <c r="V303" s="150"/>
      <c r="W303" s="150"/>
      <c r="X303" s="150"/>
      <c r="Y303" s="150"/>
      <c r="Z303" s="150"/>
      <c r="AA303" s="150"/>
      <c r="AB303" s="150"/>
      <c r="AC303" s="149"/>
      <c r="AD303" s="149"/>
      <c r="AE303" s="149"/>
      <c r="AF303" s="150"/>
      <c r="AG303" s="150"/>
      <c r="AH303" s="149"/>
      <c r="AI303" s="149"/>
      <c r="AJ303" s="149"/>
      <c r="AK303" s="150"/>
      <c r="AL303" s="150"/>
      <c r="AM303" s="149"/>
      <c r="AN303" s="149"/>
      <c r="AO303" s="149"/>
      <c r="AP303" s="150"/>
      <c r="AQ303" s="150"/>
      <c r="AR303" s="150"/>
      <c r="AS303" s="150"/>
      <c r="AT303" s="150"/>
      <c r="AU303" s="150"/>
      <c r="AV303" s="150"/>
      <c r="AW303" s="150"/>
      <c r="AX303" s="150"/>
      <c r="AY303" s="151"/>
      <c r="AZ303" s="151"/>
      <c r="BA303" s="151"/>
      <c r="BB303" s="151"/>
      <c r="BC303" s="151"/>
      <c r="BD303" s="151"/>
      <c r="BE303" s="151"/>
      <c r="BF303" s="151"/>
      <c r="BG303" s="151"/>
      <c r="BH303" s="151"/>
      <c r="BI303" s="151"/>
    </row>
    <row r="304" spans="1:61" x14ac:dyDescent="0.25">
      <c r="A304" s="149"/>
      <c r="B304" s="149"/>
      <c r="C304" s="149"/>
      <c r="D304" s="149"/>
      <c r="E304" s="150"/>
      <c r="F304" s="150"/>
      <c r="G304" s="149"/>
      <c r="H304" s="149"/>
      <c r="I304" s="149"/>
      <c r="J304" s="150"/>
      <c r="K304" s="150"/>
      <c r="L304" s="149"/>
      <c r="M304" s="149"/>
      <c r="N304" s="149"/>
      <c r="O304" s="150"/>
      <c r="P304" s="150"/>
      <c r="Q304" s="149"/>
      <c r="R304" s="149"/>
      <c r="S304" s="149"/>
      <c r="T304" s="150"/>
      <c r="U304" s="150"/>
      <c r="V304" s="150"/>
      <c r="W304" s="150"/>
      <c r="X304" s="150"/>
      <c r="Y304" s="150"/>
      <c r="Z304" s="150"/>
      <c r="AA304" s="150"/>
      <c r="AB304" s="150"/>
      <c r="AC304" s="149"/>
      <c r="AD304" s="149"/>
      <c r="AE304" s="149"/>
      <c r="AF304" s="150"/>
      <c r="AG304" s="150"/>
      <c r="AH304" s="149"/>
      <c r="AI304" s="149"/>
      <c r="AJ304" s="149"/>
      <c r="AK304" s="150"/>
      <c r="AL304" s="150"/>
      <c r="AM304" s="149"/>
      <c r="AN304" s="149"/>
      <c r="AO304" s="149"/>
      <c r="AP304" s="150"/>
      <c r="AQ304" s="150"/>
      <c r="AR304" s="150"/>
      <c r="AS304" s="150"/>
      <c r="AT304" s="150"/>
      <c r="AU304" s="150"/>
      <c r="AV304" s="150"/>
      <c r="AW304" s="150"/>
      <c r="AX304" s="150"/>
      <c r="AY304" s="151"/>
      <c r="AZ304" s="151"/>
      <c r="BA304" s="151"/>
      <c r="BB304" s="151"/>
      <c r="BC304" s="151"/>
      <c r="BD304" s="151"/>
      <c r="BE304" s="151"/>
      <c r="BF304" s="151"/>
      <c r="BG304" s="151"/>
      <c r="BH304" s="151"/>
      <c r="BI304" s="151"/>
    </row>
    <row r="305" spans="1:61" x14ac:dyDescent="0.25">
      <c r="A305" s="149"/>
      <c r="B305" s="149"/>
      <c r="C305" s="149"/>
      <c r="D305" s="149"/>
      <c r="E305" s="150"/>
      <c r="F305" s="150"/>
      <c r="G305" s="149"/>
      <c r="H305" s="149"/>
      <c r="I305" s="149"/>
      <c r="J305" s="150"/>
      <c r="K305" s="150"/>
      <c r="L305" s="149"/>
      <c r="M305" s="149"/>
      <c r="N305" s="149"/>
      <c r="O305" s="150"/>
      <c r="P305" s="150"/>
      <c r="Q305" s="149"/>
      <c r="R305" s="149"/>
      <c r="S305" s="149"/>
      <c r="T305" s="150"/>
      <c r="U305" s="150"/>
      <c r="V305" s="150"/>
      <c r="W305" s="150"/>
      <c r="X305" s="150"/>
      <c r="Y305" s="150"/>
      <c r="Z305" s="150"/>
      <c r="AA305" s="150"/>
      <c r="AB305" s="150"/>
      <c r="AC305" s="149"/>
      <c r="AD305" s="149"/>
      <c r="AE305" s="149"/>
      <c r="AF305" s="150"/>
      <c r="AG305" s="150"/>
      <c r="AH305" s="149"/>
      <c r="AI305" s="149"/>
      <c r="AJ305" s="149"/>
      <c r="AK305" s="150"/>
      <c r="AL305" s="150"/>
      <c r="AM305" s="149"/>
      <c r="AN305" s="149"/>
      <c r="AO305" s="149"/>
      <c r="AP305" s="150"/>
      <c r="AQ305" s="150"/>
      <c r="AR305" s="150"/>
      <c r="AS305" s="150"/>
      <c r="AT305" s="150"/>
      <c r="AU305" s="150"/>
      <c r="AV305" s="150"/>
      <c r="AW305" s="150"/>
      <c r="AX305" s="150"/>
      <c r="AY305" s="151"/>
      <c r="AZ305" s="151"/>
      <c r="BA305" s="151"/>
      <c r="BB305" s="151"/>
      <c r="BC305" s="151"/>
      <c r="BD305" s="151"/>
      <c r="BE305" s="151"/>
      <c r="BF305" s="151"/>
      <c r="BG305" s="151"/>
      <c r="BH305" s="151"/>
      <c r="BI305" s="151"/>
    </row>
    <row r="306" spans="1:61" x14ac:dyDescent="0.25">
      <c r="A306" s="149"/>
      <c r="B306" s="149"/>
      <c r="C306" s="149"/>
      <c r="D306" s="149"/>
      <c r="E306" s="150"/>
      <c r="F306" s="150"/>
      <c r="G306" s="149"/>
      <c r="H306" s="149"/>
      <c r="I306" s="149"/>
      <c r="J306" s="150"/>
      <c r="K306" s="150"/>
      <c r="L306" s="149"/>
      <c r="M306" s="149"/>
      <c r="N306" s="149"/>
      <c r="O306" s="150"/>
      <c r="P306" s="150"/>
      <c r="Q306" s="149"/>
      <c r="R306" s="149"/>
      <c r="S306" s="149"/>
      <c r="T306" s="150"/>
      <c r="U306" s="150"/>
      <c r="V306" s="150"/>
      <c r="W306" s="150"/>
      <c r="X306" s="150"/>
      <c r="Y306" s="150"/>
      <c r="Z306" s="150"/>
      <c r="AA306" s="150"/>
      <c r="AB306" s="150"/>
      <c r="AC306" s="149"/>
      <c r="AD306" s="149"/>
      <c r="AE306" s="149"/>
      <c r="AF306" s="150"/>
      <c r="AG306" s="150"/>
      <c r="AH306" s="149"/>
      <c r="AI306" s="149"/>
      <c r="AJ306" s="149"/>
      <c r="AK306" s="150"/>
      <c r="AL306" s="150"/>
      <c r="AM306" s="149"/>
      <c r="AN306" s="149"/>
      <c r="AO306" s="149"/>
      <c r="AP306" s="150"/>
      <c r="AQ306" s="150"/>
      <c r="AR306" s="150"/>
      <c r="AS306" s="150"/>
      <c r="AT306" s="150"/>
      <c r="AU306" s="150"/>
      <c r="AV306" s="150"/>
      <c r="AW306" s="150"/>
      <c r="AX306" s="150"/>
      <c r="AY306" s="151"/>
      <c r="AZ306" s="151"/>
      <c r="BA306" s="151"/>
      <c r="BB306" s="151"/>
      <c r="BC306" s="151"/>
      <c r="BD306" s="151"/>
      <c r="BE306" s="151"/>
      <c r="BF306" s="151"/>
      <c r="BG306" s="151"/>
      <c r="BH306" s="151"/>
      <c r="BI306" s="151"/>
    </row>
    <row r="307" spans="1:61" x14ac:dyDescent="0.25">
      <c r="A307" s="149"/>
      <c r="B307" s="149"/>
      <c r="C307" s="149"/>
      <c r="D307" s="149"/>
      <c r="E307" s="150"/>
      <c r="F307" s="150"/>
      <c r="G307" s="149"/>
      <c r="H307" s="149"/>
      <c r="I307" s="149"/>
      <c r="J307" s="150"/>
      <c r="K307" s="150"/>
      <c r="L307" s="149"/>
      <c r="M307" s="149"/>
      <c r="N307" s="149"/>
      <c r="O307" s="150"/>
      <c r="P307" s="150"/>
      <c r="Q307" s="149"/>
      <c r="R307" s="149"/>
      <c r="S307" s="149"/>
      <c r="T307" s="150"/>
      <c r="U307" s="150"/>
      <c r="V307" s="150"/>
      <c r="W307" s="150"/>
      <c r="X307" s="150"/>
      <c r="Y307" s="150"/>
      <c r="Z307" s="150"/>
      <c r="AA307" s="150"/>
      <c r="AB307" s="150"/>
      <c r="AC307" s="149"/>
      <c r="AD307" s="149"/>
      <c r="AE307" s="149"/>
      <c r="AF307" s="150"/>
      <c r="AG307" s="150"/>
      <c r="AH307" s="149"/>
      <c r="AI307" s="149"/>
      <c r="AJ307" s="149"/>
      <c r="AK307" s="150"/>
      <c r="AL307" s="150"/>
      <c r="AM307" s="149"/>
      <c r="AN307" s="149"/>
      <c r="AO307" s="149"/>
      <c r="AP307" s="150"/>
      <c r="AQ307" s="150"/>
      <c r="AR307" s="150"/>
      <c r="AS307" s="150"/>
      <c r="AT307" s="150"/>
      <c r="AU307" s="150"/>
      <c r="AV307" s="150"/>
      <c r="AW307" s="150"/>
      <c r="AX307" s="150"/>
      <c r="AY307" s="151"/>
      <c r="AZ307" s="151"/>
      <c r="BA307" s="151"/>
      <c r="BB307" s="151"/>
      <c r="BC307" s="151"/>
      <c r="BD307" s="151"/>
      <c r="BE307" s="151"/>
      <c r="BF307" s="151"/>
      <c r="BG307" s="151"/>
      <c r="BH307" s="151"/>
      <c r="BI307" s="151"/>
    </row>
    <row r="308" spans="1:61" x14ac:dyDescent="0.25">
      <c r="A308" s="149"/>
      <c r="B308" s="149"/>
      <c r="C308" s="149"/>
      <c r="D308" s="149"/>
      <c r="E308" s="150"/>
      <c r="F308" s="150"/>
      <c r="G308" s="149"/>
      <c r="H308" s="149"/>
      <c r="I308" s="149"/>
      <c r="J308" s="150"/>
      <c r="K308" s="150"/>
      <c r="L308" s="149"/>
      <c r="M308" s="149"/>
      <c r="N308" s="149"/>
      <c r="O308" s="150"/>
      <c r="P308" s="150"/>
      <c r="Q308" s="149"/>
      <c r="R308" s="149"/>
      <c r="S308" s="149"/>
      <c r="T308" s="150"/>
      <c r="U308" s="150"/>
      <c r="V308" s="150"/>
      <c r="W308" s="150"/>
      <c r="X308" s="150"/>
      <c r="Y308" s="150"/>
      <c r="Z308" s="150"/>
      <c r="AA308" s="150"/>
      <c r="AB308" s="150"/>
      <c r="AC308" s="149"/>
      <c r="AD308" s="149"/>
      <c r="AE308" s="149"/>
      <c r="AF308" s="150"/>
      <c r="AG308" s="150"/>
      <c r="AH308" s="149"/>
      <c r="AI308" s="149"/>
      <c r="AJ308" s="149"/>
      <c r="AK308" s="150"/>
      <c r="AL308" s="150"/>
      <c r="AM308" s="149"/>
      <c r="AN308" s="149"/>
      <c r="AO308" s="149"/>
      <c r="AP308" s="150"/>
      <c r="AQ308" s="150"/>
      <c r="AR308" s="150"/>
      <c r="AS308" s="150"/>
      <c r="AT308" s="150"/>
      <c r="AU308" s="150"/>
      <c r="AV308" s="150"/>
      <c r="AW308" s="150"/>
      <c r="AX308" s="150"/>
      <c r="AY308" s="151"/>
      <c r="AZ308" s="151"/>
      <c r="BA308" s="151"/>
      <c r="BB308" s="151"/>
      <c r="BC308" s="151"/>
      <c r="BD308" s="151"/>
      <c r="BE308" s="151"/>
      <c r="BF308" s="151"/>
      <c r="BG308" s="151"/>
      <c r="BH308" s="151"/>
      <c r="BI308" s="151"/>
    </row>
    <row r="309" spans="1:61" x14ac:dyDescent="0.25">
      <c r="A309" s="149"/>
      <c r="B309" s="149"/>
      <c r="C309" s="149"/>
      <c r="D309" s="149"/>
      <c r="E309" s="150"/>
      <c r="F309" s="150"/>
      <c r="G309" s="149"/>
      <c r="H309" s="149"/>
      <c r="I309" s="149"/>
      <c r="J309" s="150"/>
      <c r="K309" s="150"/>
      <c r="L309" s="149"/>
      <c r="M309" s="149"/>
      <c r="N309" s="149"/>
      <c r="O309" s="150"/>
      <c r="P309" s="150"/>
      <c r="Q309" s="149"/>
      <c r="R309" s="149"/>
      <c r="S309" s="149"/>
      <c r="T309" s="150"/>
      <c r="U309" s="150"/>
      <c r="V309" s="150"/>
      <c r="W309" s="150"/>
      <c r="X309" s="150"/>
      <c r="Y309" s="150"/>
      <c r="Z309" s="150"/>
      <c r="AA309" s="150"/>
      <c r="AB309" s="150"/>
      <c r="AC309" s="149"/>
      <c r="AD309" s="149"/>
      <c r="AE309" s="149"/>
      <c r="AF309" s="150"/>
      <c r="AG309" s="150"/>
      <c r="AH309" s="149"/>
      <c r="AI309" s="149"/>
      <c r="AJ309" s="149"/>
      <c r="AK309" s="150"/>
      <c r="AL309" s="150"/>
      <c r="AM309" s="149"/>
      <c r="AN309" s="149"/>
      <c r="AO309" s="149"/>
      <c r="AP309" s="150"/>
      <c r="AQ309" s="150"/>
      <c r="AR309" s="150"/>
      <c r="AS309" s="150"/>
      <c r="AT309" s="150"/>
      <c r="AU309" s="150"/>
      <c r="AV309" s="150"/>
      <c r="AW309" s="150"/>
      <c r="AX309" s="150"/>
      <c r="AY309" s="151"/>
      <c r="AZ309" s="151"/>
      <c r="BA309" s="151"/>
      <c r="BB309" s="151"/>
      <c r="BC309" s="151"/>
      <c r="BD309" s="151"/>
      <c r="BE309" s="151"/>
      <c r="BF309" s="151"/>
      <c r="BG309" s="151"/>
      <c r="BH309" s="151"/>
      <c r="BI309" s="151"/>
    </row>
    <row r="310" spans="1:61" x14ac:dyDescent="0.25">
      <c r="A310" s="149"/>
      <c r="B310" s="149"/>
      <c r="C310" s="149"/>
      <c r="D310" s="149"/>
      <c r="E310" s="150"/>
      <c r="F310" s="150"/>
      <c r="G310" s="149"/>
      <c r="H310" s="149"/>
      <c r="I310" s="149"/>
      <c r="J310" s="150"/>
      <c r="K310" s="150"/>
      <c r="L310" s="149"/>
      <c r="M310" s="149"/>
      <c r="N310" s="149"/>
      <c r="O310" s="150"/>
      <c r="P310" s="150"/>
      <c r="Q310" s="149"/>
      <c r="R310" s="149"/>
      <c r="S310" s="149"/>
      <c r="T310" s="150"/>
      <c r="U310" s="150"/>
      <c r="V310" s="150"/>
      <c r="W310" s="150"/>
      <c r="X310" s="150"/>
      <c r="Y310" s="150"/>
      <c r="Z310" s="150"/>
      <c r="AA310" s="150"/>
      <c r="AB310" s="150"/>
      <c r="AC310" s="149"/>
      <c r="AD310" s="149"/>
      <c r="AE310" s="149"/>
      <c r="AF310" s="150"/>
      <c r="AG310" s="150"/>
      <c r="AH310" s="149"/>
      <c r="AI310" s="149"/>
      <c r="AJ310" s="149"/>
      <c r="AK310" s="150"/>
      <c r="AL310" s="150"/>
      <c r="AM310" s="149"/>
      <c r="AN310" s="149"/>
      <c r="AO310" s="149"/>
      <c r="AP310" s="150"/>
      <c r="AQ310" s="150"/>
      <c r="AR310" s="150"/>
      <c r="AS310" s="150"/>
      <c r="AT310" s="150"/>
      <c r="AU310" s="150"/>
      <c r="AV310" s="150"/>
      <c r="AW310" s="150"/>
      <c r="AX310" s="150"/>
      <c r="AY310" s="151"/>
      <c r="AZ310" s="151"/>
      <c r="BA310" s="151"/>
      <c r="BB310" s="151"/>
      <c r="BC310" s="151"/>
      <c r="BD310" s="151"/>
      <c r="BE310" s="151"/>
      <c r="BF310" s="151"/>
      <c r="BG310" s="151"/>
      <c r="BH310" s="151"/>
      <c r="BI310" s="151"/>
    </row>
    <row r="311" spans="1:61" x14ac:dyDescent="0.25">
      <c r="A311" s="149"/>
      <c r="B311" s="149"/>
      <c r="C311" s="149"/>
      <c r="D311" s="149"/>
      <c r="E311" s="150"/>
      <c r="F311" s="150"/>
      <c r="G311" s="149"/>
      <c r="H311" s="149"/>
      <c r="I311" s="149"/>
      <c r="J311" s="150"/>
      <c r="K311" s="150"/>
      <c r="L311" s="149"/>
      <c r="M311" s="149"/>
      <c r="N311" s="149"/>
      <c r="O311" s="150"/>
      <c r="P311" s="150"/>
      <c r="Q311" s="149"/>
      <c r="R311" s="149"/>
      <c r="S311" s="149"/>
      <c r="T311" s="150"/>
      <c r="U311" s="150"/>
      <c r="V311" s="150"/>
      <c r="W311" s="150"/>
      <c r="X311" s="150"/>
      <c r="Y311" s="150"/>
      <c r="Z311" s="150"/>
      <c r="AA311" s="150"/>
      <c r="AB311" s="150"/>
      <c r="AC311" s="149"/>
      <c r="AD311" s="149"/>
      <c r="AE311" s="149"/>
      <c r="AF311" s="150"/>
      <c r="AG311" s="150"/>
      <c r="AH311" s="149"/>
      <c r="AI311" s="149"/>
      <c r="AJ311" s="149"/>
      <c r="AK311" s="150"/>
      <c r="AL311" s="150"/>
      <c r="AM311" s="149"/>
      <c r="AN311" s="149"/>
      <c r="AO311" s="149"/>
      <c r="AP311" s="150"/>
      <c r="AQ311" s="150"/>
      <c r="AR311" s="150"/>
      <c r="AS311" s="150"/>
      <c r="AT311" s="150"/>
      <c r="AU311" s="150"/>
      <c r="AV311" s="150"/>
      <c r="AW311" s="150"/>
      <c r="AX311" s="150"/>
      <c r="AY311" s="151"/>
      <c r="AZ311" s="151"/>
      <c r="BA311" s="151"/>
      <c r="BB311" s="151"/>
      <c r="BC311" s="151"/>
      <c r="BD311" s="151"/>
      <c r="BE311" s="151"/>
      <c r="BF311" s="151"/>
      <c r="BG311" s="151"/>
      <c r="BH311" s="151"/>
      <c r="BI311" s="151"/>
    </row>
    <row r="312" spans="1:61" x14ac:dyDescent="0.25">
      <c r="A312" s="149"/>
      <c r="B312" s="149"/>
      <c r="C312" s="149"/>
      <c r="D312" s="149"/>
      <c r="E312" s="150"/>
      <c r="F312" s="150"/>
      <c r="G312" s="149"/>
      <c r="H312" s="149"/>
      <c r="I312" s="149"/>
      <c r="J312" s="150"/>
      <c r="K312" s="150"/>
      <c r="L312" s="149"/>
      <c r="M312" s="149"/>
      <c r="N312" s="149"/>
      <c r="O312" s="150"/>
      <c r="P312" s="150"/>
      <c r="Q312" s="149"/>
      <c r="R312" s="149"/>
      <c r="S312" s="149"/>
      <c r="T312" s="150"/>
      <c r="U312" s="150"/>
      <c r="V312" s="150"/>
      <c r="W312" s="150"/>
      <c r="X312" s="150"/>
      <c r="Y312" s="150"/>
      <c r="Z312" s="150"/>
      <c r="AA312" s="150"/>
      <c r="AB312" s="150"/>
      <c r="AC312" s="149"/>
      <c r="AD312" s="149"/>
      <c r="AE312" s="149"/>
      <c r="AF312" s="150"/>
      <c r="AG312" s="150"/>
      <c r="AH312" s="149"/>
      <c r="AI312" s="149"/>
      <c r="AJ312" s="149"/>
      <c r="AK312" s="150"/>
      <c r="AL312" s="150"/>
      <c r="AM312" s="149"/>
      <c r="AN312" s="149"/>
      <c r="AO312" s="149"/>
      <c r="AP312" s="150"/>
      <c r="AQ312" s="150"/>
      <c r="AR312" s="150"/>
      <c r="AS312" s="150"/>
      <c r="AT312" s="150"/>
      <c r="AU312" s="150"/>
      <c r="AV312" s="150"/>
      <c r="AW312" s="150"/>
      <c r="AX312" s="150"/>
      <c r="AY312" s="151"/>
      <c r="AZ312" s="151"/>
      <c r="BA312" s="151"/>
      <c r="BB312" s="151"/>
      <c r="BC312" s="151"/>
      <c r="BD312" s="151"/>
      <c r="BE312" s="151"/>
      <c r="BF312" s="151"/>
      <c r="BG312" s="151"/>
      <c r="BH312" s="151"/>
      <c r="BI312" s="151"/>
    </row>
    <row r="313" spans="1:61" x14ac:dyDescent="0.25">
      <c r="A313" s="149"/>
      <c r="B313" s="149"/>
      <c r="C313" s="149"/>
      <c r="D313" s="149"/>
      <c r="E313" s="150"/>
      <c r="F313" s="150"/>
      <c r="G313" s="149"/>
      <c r="H313" s="149"/>
      <c r="I313" s="149"/>
      <c r="J313" s="150"/>
      <c r="K313" s="150"/>
      <c r="L313" s="149"/>
      <c r="M313" s="149"/>
      <c r="N313" s="149"/>
      <c r="O313" s="150"/>
      <c r="P313" s="150"/>
      <c r="Q313" s="149"/>
      <c r="R313" s="149"/>
      <c r="S313" s="149"/>
      <c r="T313" s="150"/>
      <c r="U313" s="150"/>
      <c r="V313" s="150"/>
      <c r="W313" s="150"/>
      <c r="X313" s="150"/>
      <c r="Y313" s="150"/>
      <c r="Z313" s="150"/>
      <c r="AA313" s="150"/>
      <c r="AB313" s="150"/>
      <c r="AC313" s="149"/>
      <c r="AD313" s="149"/>
      <c r="AE313" s="149"/>
      <c r="AF313" s="150"/>
      <c r="AG313" s="150"/>
      <c r="AH313" s="149"/>
      <c r="AI313" s="149"/>
      <c r="AJ313" s="149"/>
      <c r="AK313" s="150"/>
      <c r="AL313" s="150"/>
      <c r="AM313" s="149"/>
      <c r="AN313" s="149"/>
      <c r="AO313" s="149"/>
      <c r="AP313" s="150"/>
      <c r="AQ313" s="150"/>
      <c r="AR313" s="150"/>
      <c r="AS313" s="150"/>
      <c r="AT313" s="150"/>
      <c r="AU313" s="150"/>
      <c r="AV313" s="150"/>
      <c r="AW313" s="150"/>
      <c r="AX313" s="150"/>
      <c r="AY313" s="151"/>
      <c r="AZ313" s="151"/>
      <c r="BA313" s="151"/>
      <c r="BB313" s="151"/>
      <c r="BC313" s="151"/>
      <c r="BD313" s="151"/>
      <c r="BE313" s="151"/>
      <c r="BF313" s="151"/>
      <c r="BG313" s="151"/>
      <c r="BH313" s="151"/>
      <c r="BI313" s="151"/>
    </row>
    <row r="314" spans="1:61" x14ac:dyDescent="0.25">
      <c r="A314" s="149"/>
      <c r="B314" s="149"/>
      <c r="C314" s="149"/>
      <c r="D314" s="149"/>
      <c r="E314" s="150"/>
      <c r="F314" s="150"/>
      <c r="G314" s="149"/>
      <c r="H314" s="149"/>
      <c r="I314" s="149"/>
      <c r="J314" s="150"/>
      <c r="K314" s="150"/>
      <c r="L314" s="149"/>
      <c r="M314" s="149"/>
      <c r="N314" s="149"/>
      <c r="O314" s="150"/>
      <c r="P314" s="150"/>
      <c r="Q314" s="149"/>
      <c r="R314" s="149"/>
      <c r="S314" s="149"/>
      <c r="T314" s="150"/>
      <c r="U314" s="150"/>
      <c r="V314" s="150"/>
      <c r="W314" s="150"/>
      <c r="X314" s="150"/>
      <c r="Y314" s="150"/>
      <c r="Z314" s="150"/>
      <c r="AA314" s="150"/>
      <c r="AB314" s="150"/>
      <c r="AC314" s="149"/>
      <c r="AD314" s="149"/>
      <c r="AE314" s="149"/>
      <c r="AF314" s="150"/>
      <c r="AG314" s="150"/>
      <c r="AH314" s="149"/>
      <c r="AI314" s="149"/>
      <c r="AJ314" s="149"/>
      <c r="AK314" s="150"/>
      <c r="AL314" s="150"/>
      <c r="AM314" s="149"/>
      <c r="AN314" s="149"/>
      <c r="AO314" s="149"/>
      <c r="AP314" s="150"/>
      <c r="AQ314" s="150"/>
      <c r="AR314" s="150"/>
      <c r="AS314" s="150"/>
      <c r="AT314" s="150"/>
      <c r="AU314" s="150"/>
      <c r="AV314" s="150"/>
      <c r="AW314" s="150"/>
      <c r="AX314" s="150"/>
      <c r="AY314" s="151"/>
      <c r="AZ314" s="151"/>
      <c r="BA314" s="151"/>
      <c r="BB314" s="151"/>
      <c r="BC314" s="151"/>
      <c r="BD314" s="151"/>
      <c r="BE314" s="151"/>
      <c r="BF314" s="151"/>
      <c r="BG314" s="151"/>
      <c r="BH314" s="151"/>
      <c r="BI314" s="151"/>
    </row>
    <row r="315" spans="1:61" x14ac:dyDescent="0.25">
      <c r="A315" s="149"/>
      <c r="B315" s="149"/>
      <c r="C315" s="149"/>
      <c r="D315" s="149"/>
      <c r="E315" s="150"/>
      <c r="F315" s="150"/>
      <c r="G315" s="149"/>
      <c r="H315" s="149"/>
      <c r="I315" s="149"/>
      <c r="J315" s="150"/>
      <c r="K315" s="150"/>
      <c r="L315" s="149"/>
      <c r="M315" s="149"/>
      <c r="N315" s="149"/>
      <c r="O315" s="150"/>
      <c r="P315" s="150"/>
      <c r="Q315" s="149"/>
      <c r="R315" s="149"/>
      <c r="S315" s="149"/>
      <c r="T315" s="150"/>
      <c r="U315" s="150"/>
      <c r="V315" s="150"/>
      <c r="W315" s="150"/>
      <c r="X315" s="150"/>
      <c r="Y315" s="150"/>
      <c r="Z315" s="150"/>
      <c r="AA315" s="150"/>
      <c r="AB315" s="150"/>
      <c r="AC315" s="149"/>
      <c r="AD315" s="149"/>
      <c r="AE315" s="149"/>
      <c r="AF315" s="150"/>
      <c r="AG315" s="150"/>
      <c r="AH315" s="149"/>
      <c r="AI315" s="149"/>
      <c r="AJ315" s="149"/>
      <c r="AK315" s="150"/>
      <c r="AL315" s="150"/>
      <c r="AM315" s="149"/>
      <c r="AN315" s="149"/>
      <c r="AO315" s="149"/>
      <c r="AP315" s="150"/>
      <c r="AQ315" s="150"/>
      <c r="AR315" s="150"/>
      <c r="AS315" s="150"/>
      <c r="AT315" s="150"/>
      <c r="AU315" s="150"/>
      <c r="AV315" s="150"/>
      <c r="AW315" s="150"/>
      <c r="AX315" s="150"/>
      <c r="AY315" s="151"/>
      <c r="AZ315" s="151"/>
      <c r="BA315" s="151"/>
      <c r="BB315" s="151"/>
      <c r="BC315" s="151"/>
      <c r="BD315" s="151"/>
      <c r="BE315" s="151"/>
      <c r="BF315" s="151"/>
      <c r="BG315" s="151"/>
      <c r="BH315" s="151"/>
      <c r="BI315" s="151"/>
    </row>
    <row r="316" spans="1:61" x14ac:dyDescent="0.25">
      <c r="A316" s="149"/>
      <c r="B316" s="149"/>
      <c r="C316" s="149"/>
      <c r="D316" s="149"/>
      <c r="E316" s="150"/>
      <c r="F316" s="150"/>
      <c r="G316" s="149"/>
      <c r="H316" s="149"/>
      <c r="I316" s="149"/>
      <c r="J316" s="150"/>
      <c r="K316" s="150"/>
      <c r="L316" s="149"/>
      <c r="M316" s="149"/>
      <c r="N316" s="149"/>
      <c r="O316" s="150"/>
      <c r="P316" s="150"/>
      <c r="Q316" s="149"/>
      <c r="R316" s="149"/>
      <c r="S316" s="149"/>
      <c r="T316" s="150"/>
      <c r="U316" s="150"/>
      <c r="V316" s="150"/>
      <c r="W316" s="150"/>
      <c r="X316" s="150"/>
      <c r="Y316" s="150"/>
      <c r="Z316" s="150"/>
      <c r="AA316" s="150"/>
      <c r="AB316" s="150"/>
      <c r="AC316" s="149"/>
      <c r="AD316" s="149"/>
      <c r="AE316" s="149"/>
      <c r="AF316" s="150"/>
      <c r="AG316" s="150"/>
      <c r="AH316" s="149"/>
      <c r="AI316" s="149"/>
      <c r="AJ316" s="149"/>
      <c r="AK316" s="150"/>
      <c r="AL316" s="150"/>
      <c r="AM316" s="149"/>
      <c r="AN316" s="149"/>
      <c r="AO316" s="149"/>
      <c r="AP316" s="150"/>
      <c r="AQ316" s="150"/>
      <c r="AR316" s="150"/>
      <c r="AS316" s="150"/>
      <c r="AT316" s="150"/>
      <c r="AU316" s="150"/>
      <c r="AV316" s="150"/>
      <c r="AW316" s="150"/>
      <c r="AX316" s="150"/>
      <c r="AY316" s="151"/>
      <c r="AZ316" s="151"/>
      <c r="BA316" s="151"/>
      <c r="BB316" s="151"/>
      <c r="BC316" s="151"/>
      <c r="BD316" s="151"/>
      <c r="BE316" s="151"/>
      <c r="BF316" s="151"/>
      <c r="BG316" s="151"/>
      <c r="BH316" s="151"/>
      <c r="BI316" s="151"/>
    </row>
    <row r="317" spans="1:61" x14ac:dyDescent="0.25">
      <c r="A317" s="149"/>
      <c r="B317" s="149"/>
      <c r="C317" s="149"/>
      <c r="D317" s="149"/>
      <c r="E317" s="150"/>
      <c r="F317" s="150"/>
      <c r="G317" s="149"/>
      <c r="H317" s="149"/>
      <c r="I317" s="149"/>
      <c r="J317" s="150"/>
      <c r="K317" s="150"/>
      <c r="L317" s="149"/>
      <c r="M317" s="149"/>
      <c r="N317" s="149"/>
      <c r="O317" s="150"/>
      <c r="P317" s="150"/>
      <c r="Q317" s="149"/>
      <c r="R317" s="149"/>
      <c r="S317" s="149"/>
      <c r="T317" s="150"/>
      <c r="U317" s="150"/>
      <c r="V317" s="150"/>
      <c r="W317" s="150"/>
      <c r="X317" s="150"/>
      <c r="Y317" s="150"/>
      <c r="Z317" s="150"/>
      <c r="AA317" s="150"/>
      <c r="AB317" s="150"/>
      <c r="AC317" s="149"/>
      <c r="AD317" s="149"/>
      <c r="AE317" s="149"/>
      <c r="AF317" s="150"/>
      <c r="AG317" s="150"/>
      <c r="AH317" s="149"/>
      <c r="AI317" s="149"/>
      <c r="AJ317" s="149"/>
      <c r="AK317" s="150"/>
      <c r="AL317" s="150"/>
      <c r="AM317" s="149"/>
      <c r="AN317" s="149"/>
      <c r="AO317" s="149"/>
      <c r="AP317" s="150"/>
      <c r="AQ317" s="150"/>
      <c r="AR317" s="150"/>
      <c r="AS317" s="150"/>
      <c r="AT317" s="150"/>
      <c r="AU317" s="150"/>
      <c r="AV317" s="150"/>
      <c r="AW317" s="150"/>
      <c r="AX317" s="150"/>
      <c r="AY317" s="151"/>
      <c r="AZ317" s="151"/>
      <c r="BA317" s="151"/>
      <c r="BB317" s="151"/>
      <c r="BC317" s="151"/>
      <c r="BD317" s="151"/>
      <c r="BE317" s="151"/>
      <c r="BF317" s="151"/>
      <c r="BG317" s="151"/>
      <c r="BH317" s="151"/>
      <c r="BI317" s="151"/>
    </row>
    <row r="318" spans="1:61" x14ac:dyDescent="0.25">
      <c r="A318" s="149"/>
      <c r="B318" s="149"/>
      <c r="C318" s="149"/>
      <c r="D318" s="149"/>
      <c r="E318" s="150"/>
      <c r="F318" s="150"/>
      <c r="G318" s="149"/>
      <c r="H318" s="149"/>
      <c r="I318" s="149"/>
      <c r="J318" s="150"/>
      <c r="K318" s="150"/>
      <c r="L318" s="149"/>
      <c r="M318" s="149"/>
      <c r="N318" s="149"/>
      <c r="O318" s="150"/>
      <c r="P318" s="150"/>
      <c r="Q318" s="149"/>
      <c r="R318" s="149"/>
      <c r="S318" s="149"/>
      <c r="T318" s="150"/>
      <c r="U318" s="150"/>
      <c r="V318" s="150"/>
      <c r="W318" s="150"/>
      <c r="X318" s="150"/>
      <c r="Y318" s="150"/>
      <c r="Z318" s="150"/>
      <c r="AA318" s="150"/>
      <c r="AB318" s="150"/>
      <c r="AC318" s="149"/>
      <c r="AD318" s="149"/>
      <c r="AE318" s="149"/>
      <c r="AF318" s="150"/>
      <c r="AG318" s="150"/>
      <c r="AH318" s="149"/>
      <c r="AI318" s="149"/>
      <c r="AJ318" s="149"/>
      <c r="AK318" s="150"/>
      <c r="AL318" s="150"/>
      <c r="AM318" s="149"/>
      <c r="AN318" s="149"/>
      <c r="AO318" s="149"/>
      <c r="AP318" s="150"/>
      <c r="AQ318" s="150"/>
      <c r="AR318" s="150"/>
      <c r="AS318" s="150"/>
      <c r="AT318" s="150"/>
      <c r="AU318" s="150"/>
      <c r="AV318" s="150"/>
      <c r="AW318" s="150"/>
      <c r="AX318" s="150"/>
      <c r="AY318" s="151"/>
      <c r="AZ318" s="151"/>
      <c r="BA318" s="151"/>
      <c r="BB318" s="151"/>
      <c r="BC318" s="151"/>
      <c r="BD318" s="151"/>
      <c r="BE318" s="151"/>
      <c r="BF318" s="151"/>
      <c r="BG318" s="151"/>
      <c r="BH318" s="151"/>
      <c r="BI318" s="151"/>
    </row>
    <row r="319" spans="1:61" x14ac:dyDescent="0.25">
      <c r="A319" s="149"/>
      <c r="B319" s="149"/>
      <c r="C319" s="149"/>
      <c r="D319" s="149"/>
      <c r="E319" s="150"/>
      <c r="F319" s="150"/>
      <c r="G319" s="149"/>
      <c r="H319" s="149"/>
      <c r="I319" s="149"/>
      <c r="J319" s="150"/>
      <c r="K319" s="150"/>
      <c r="L319" s="149"/>
      <c r="M319" s="149"/>
      <c r="N319" s="149"/>
      <c r="O319" s="150"/>
      <c r="P319" s="150"/>
      <c r="Q319" s="149"/>
      <c r="R319" s="149"/>
      <c r="S319" s="149"/>
      <c r="T319" s="150"/>
      <c r="U319" s="150"/>
      <c r="V319" s="150"/>
      <c r="W319" s="150"/>
      <c r="X319" s="150"/>
      <c r="Y319" s="150"/>
      <c r="Z319" s="150"/>
      <c r="AA319" s="150"/>
      <c r="AB319" s="150"/>
      <c r="AC319" s="149"/>
      <c r="AD319" s="149"/>
      <c r="AE319" s="149"/>
      <c r="AF319" s="150"/>
      <c r="AG319" s="150"/>
      <c r="AH319" s="149"/>
      <c r="AI319" s="149"/>
      <c r="AJ319" s="149"/>
      <c r="AK319" s="150"/>
      <c r="AL319" s="150"/>
      <c r="AM319" s="149"/>
      <c r="AN319" s="149"/>
      <c r="AO319" s="149"/>
      <c r="AP319" s="150"/>
      <c r="AQ319" s="150"/>
      <c r="AR319" s="150"/>
      <c r="AS319" s="150"/>
      <c r="AT319" s="150"/>
      <c r="AU319" s="150"/>
      <c r="AV319" s="150"/>
      <c r="AW319" s="150"/>
      <c r="AX319" s="150"/>
      <c r="AY319" s="151"/>
      <c r="AZ319" s="151"/>
      <c r="BA319" s="151"/>
      <c r="BB319" s="151"/>
      <c r="BC319" s="151"/>
      <c r="BD319" s="151"/>
      <c r="BE319" s="151"/>
      <c r="BF319" s="151"/>
      <c r="BG319" s="151"/>
      <c r="BH319" s="151"/>
      <c r="BI319" s="151"/>
    </row>
    <row r="320" spans="1:61" x14ac:dyDescent="0.25">
      <c r="A320" s="149"/>
      <c r="B320" s="149"/>
      <c r="C320" s="149"/>
      <c r="D320" s="149"/>
      <c r="E320" s="150"/>
      <c r="F320" s="150"/>
      <c r="G320" s="149"/>
      <c r="H320" s="149"/>
      <c r="I320" s="149"/>
      <c r="J320" s="150"/>
      <c r="K320" s="150"/>
      <c r="L320" s="149"/>
      <c r="M320" s="149"/>
      <c r="N320" s="149"/>
      <c r="O320" s="150"/>
      <c r="P320" s="150"/>
      <c r="Q320" s="149"/>
      <c r="R320" s="149"/>
      <c r="S320" s="149"/>
      <c r="T320" s="150"/>
      <c r="U320" s="150"/>
      <c r="V320" s="150"/>
      <c r="W320" s="150"/>
      <c r="X320" s="150"/>
      <c r="Y320" s="150"/>
      <c r="Z320" s="150"/>
      <c r="AA320" s="150"/>
      <c r="AB320" s="150"/>
      <c r="AC320" s="149"/>
      <c r="AD320" s="149"/>
      <c r="AE320" s="149"/>
      <c r="AF320" s="150"/>
      <c r="AG320" s="150"/>
      <c r="AH320" s="149"/>
      <c r="AI320" s="149"/>
      <c r="AJ320" s="149"/>
      <c r="AK320" s="150"/>
      <c r="AL320" s="150"/>
      <c r="AM320" s="149"/>
      <c r="AN320" s="149"/>
      <c r="AO320" s="149"/>
      <c r="AP320" s="150"/>
      <c r="AQ320" s="150"/>
      <c r="AR320" s="150"/>
      <c r="AS320" s="150"/>
      <c r="AT320" s="150"/>
      <c r="AU320" s="150"/>
      <c r="AV320" s="150"/>
      <c r="AW320" s="150"/>
      <c r="AX320" s="150"/>
      <c r="AY320" s="151"/>
      <c r="AZ320" s="151"/>
      <c r="BA320" s="151"/>
      <c r="BB320" s="151"/>
      <c r="BC320" s="151"/>
      <c r="BD320" s="151"/>
      <c r="BE320" s="151"/>
      <c r="BF320" s="151"/>
      <c r="BG320" s="151"/>
      <c r="BH320" s="151"/>
      <c r="BI320" s="151"/>
    </row>
    <row r="321" spans="1:61" x14ac:dyDescent="0.25">
      <c r="A321" s="149"/>
      <c r="B321" s="149"/>
      <c r="C321" s="149"/>
      <c r="D321" s="149"/>
      <c r="E321" s="150"/>
      <c r="F321" s="150"/>
      <c r="G321" s="149"/>
      <c r="H321" s="149"/>
      <c r="I321" s="149"/>
      <c r="J321" s="150"/>
      <c r="K321" s="150"/>
      <c r="L321" s="149"/>
      <c r="M321" s="149"/>
      <c r="N321" s="149"/>
      <c r="O321" s="150"/>
      <c r="P321" s="150"/>
      <c r="Q321" s="149"/>
      <c r="R321" s="149"/>
      <c r="S321" s="149"/>
      <c r="T321" s="150"/>
      <c r="U321" s="150"/>
      <c r="V321" s="150"/>
      <c r="W321" s="150"/>
      <c r="X321" s="150"/>
      <c r="Y321" s="150"/>
      <c r="Z321" s="150"/>
      <c r="AA321" s="150"/>
      <c r="AB321" s="150"/>
      <c r="AC321" s="149"/>
      <c r="AD321" s="149"/>
      <c r="AE321" s="149"/>
      <c r="AF321" s="150"/>
      <c r="AG321" s="150"/>
      <c r="AH321" s="149"/>
      <c r="AI321" s="149"/>
      <c r="AJ321" s="149"/>
      <c r="AK321" s="150"/>
      <c r="AL321" s="150"/>
      <c r="AM321" s="149"/>
      <c r="AN321" s="149"/>
      <c r="AO321" s="149"/>
      <c r="AP321" s="150"/>
      <c r="AQ321" s="150"/>
      <c r="AR321" s="150"/>
      <c r="AS321" s="150"/>
      <c r="AT321" s="150"/>
      <c r="AU321" s="150"/>
      <c r="AV321" s="150"/>
      <c r="AW321" s="150"/>
      <c r="AX321" s="150"/>
      <c r="AY321" s="151"/>
      <c r="AZ321" s="151"/>
      <c r="BA321" s="151"/>
      <c r="BB321" s="151"/>
      <c r="BC321" s="151"/>
      <c r="BD321" s="151"/>
      <c r="BE321" s="151"/>
      <c r="BF321" s="151"/>
      <c r="BG321" s="151"/>
      <c r="BH321" s="151"/>
      <c r="BI321" s="151"/>
    </row>
    <row r="322" spans="1:61" x14ac:dyDescent="0.25">
      <c r="A322" s="149"/>
      <c r="B322" s="149"/>
      <c r="C322" s="149"/>
      <c r="D322" s="149"/>
      <c r="E322" s="150"/>
      <c r="F322" s="150"/>
      <c r="G322" s="149"/>
      <c r="H322" s="149"/>
      <c r="I322" s="149"/>
      <c r="J322" s="150"/>
      <c r="K322" s="150"/>
      <c r="L322" s="149"/>
      <c r="M322" s="149"/>
      <c r="N322" s="149"/>
      <c r="O322" s="150"/>
      <c r="P322" s="150"/>
      <c r="Q322" s="149"/>
      <c r="R322" s="149"/>
      <c r="S322" s="149"/>
      <c r="T322" s="150"/>
      <c r="U322" s="150"/>
      <c r="V322" s="150"/>
      <c r="W322" s="150"/>
      <c r="X322" s="150"/>
      <c r="Y322" s="150"/>
      <c r="Z322" s="150"/>
      <c r="AA322" s="150"/>
      <c r="AB322" s="150"/>
      <c r="AC322" s="149"/>
      <c r="AD322" s="149"/>
      <c r="AE322" s="149"/>
      <c r="AF322" s="150"/>
      <c r="AG322" s="150"/>
      <c r="AH322" s="149"/>
      <c r="AI322" s="149"/>
      <c r="AJ322" s="149"/>
      <c r="AK322" s="150"/>
      <c r="AL322" s="150"/>
      <c r="AM322" s="149"/>
      <c r="AN322" s="149"/>
      <c r="AO322" s="149"/>
      <c r="AP322" s="150"/>
      <c r="AQ322" s="150"/>
      <c r="AR322" s="150"/>
      <c r="AS322" s="150"/>
      <c r="AT322" s="150"/>
      <c r="AU322" s="150"/>
      <c r="AV322" s="150"/>
      <c r="AW322" s="150"/>
      <c r="AX322" s="150"/>
      <c r="AY322" s="151"/>
      <c r="AZ322" s="151"/>
      <c r="BA322" s="151"/>
      <c r="BB322" s="151"/>
      <c r="BC322" s="151"/>
      <c r="BD322" s="151"/>
      <c r="BE322" s="151"/>
      <c r="BF322" s="151"/>
      <c r="BG322" s="151"/>
      <c r="BH322" s="151"/>
      <c r="BI322" s="151"/>
    </row>
    <row r="323" spans="1:61" x14ac:dyDescent="0.25">
      <c r="A323" s="149"/>
      <c r="B323" s="149"/>
      <c r="C323" s="149"/>
      <c r="D323" s="149"/>
      <c r="E323" s="150"/>
      <c r="F323" s="150"/>
      <c r="G323" s="149"/>
      <c r="H323" s="149"/>
      <c r="I323" s="149"/>
      <c r="J323" s="150"/>
      <c r="K323" s="150"/>
      <c r="L323" s="149"/>
      <c r="M323" s="149"/>
      <c r="N323" s="149"/>
      <c r="O323" s="150"/>
      <c r="P323" s="150"/>
      <c r="Q323" s="149"/>
      <c r="R323" s="149"/>
      <c r="S323" s="149"/>
      <c r="T323" s="150"/>
      <c r="U323" s="150"/>
      <c r="V323" s="150"/>
      <c r="W323" s="150"/>
      <c r="X323" s="150"/>
      <c r="Y323" s="150"/>
      <c r="Z323" s="150"/>
      <c r="AA323" s="150"/>
      <c r="AB323" s="150"/>
      <c r="AC323" s="149"/>
      <c r="AD323" s="149"/>
      <c r="AE323" s="149"/>
      <c r="AF323" s="150"/>
      <c r="AG323" s="150"/>
      <c r="AH323" s="149"/>
      <c r="AI323" s="149"/>
      <c r="AJ323" s="149"/>
      <c r="AK323" s="150"/>
      <c r="AL323" s="150"/>
      <c r="AM323" s="149"/>
      <c r="AN323" s="149"/>
      <c r="AO323" s="149"/>
      <c r="AP323" s="150"/>
      <c r="AQ323" s="150"/>
      <c r="AR323" s="150"/>
      <c r="AS323" s="150"/>
      <c r="AT323" s="150"/>
      <c r="AU323" s="150"/>
      <c r="AV323" s="150"/>
      <c r="AW323" s="150"/>
      <c r="AX323" s="150"/>
      <c r="AY323" s="151"/>
      <c r="AZ323" s="151"/>
      <c r="BA323" s="151"/>
      <c r="BB323" s="151"/>
      <c r="BC323" s="151"/>
      <c r="BD323" s="151"/>
      <c r="BE323" s="151"/>
      <c r="BF323" s="151"/>
      <c r="BG323" s="151"/>
      <c r="BH323" s="151"/>
      <c r="BI323" s="151"/>
    </row>
    <row r="324" spans="1:61" x14ac:dyDescent="0.25">
      <c r="A324" s="149"/>
      <c r="B324" s="149"/>
      <c r="C324" s="149"/>
      <c r="D324" s="149"/>
      <c r="E324" s="150"/>
      <c r="F324" s="150"/>
      <c r="G324" s="149"/>
      <c r="H324" s="149"/>
      <c r="I324" s="149"/>
      <c r="J324" s="150"/>
      <c r="K324" s="150"/>
      <c r="L324" s="149"/>
      <c r="M324" s="149"/>
      <c r="N324" s="149"/>
      <c r="O324" s="150"/>
      <c r="P324" s="150"/>
      <c r="Q324" s="149"/>
      <c r="R324" s="149"/>
      <c r="S324" s="149"/>
      <c r="T324" s="150"/>
      <c r="U324" s="150"/>
      <c r="V324" s="150"/>
      <c r="W324" s="150"/>
      <c r="X324" s="150"/>
      <c r="Y324" s="150"/>
      <c r="Z324" s="150"/>
      <c r="AA324" s="150"/>
      <c r="AB324" s="150"/>
      <c r="AC324" s="149"/>
      <c r="AD324" s="149"/>
      <c r="AE324" s="149"/>
      <c r="AF324" s="150"/>
      <c r="AG324" s="150"/>
      <c r="AH324" s="149"/>
      <c r="AI324" s="149"/>
      <c r="AJ324" s="149"/>
      <c r="AK324" s="150"/>
      <c r="AL324" s="150"/>
      <c r="AM324" s="149"/>
      <c r="AN324" s="149"/>
      <c r="AO324" s="149"/>
      <c r="AP324" s="150"/>
      <c r="AQ324" s="150"/>
      <c r="AR324" s="150"/>
      <c r="AS324" s="150"/>
      <c r="AT324" s="150"/>
      <c r="AU324" s="150"/>
      <c r="AV324" s="150"/>
      <c r="AW324" s="150"/>
      <c r="AX324" s="150"/>
      <c r="AY324" s="151"/>
      <c r="AZ324" s="151"/>
      <c r="BA324" s="151"/>
      <c r="BB324" s="151"/>
      <c r="BC324" s="151"/>
      <c r="BD324" s="151"/>
      <c r="BE324" s="151"/>
      <c r="BF324" s="151"/>
      <c r="BG324" s="151"/>
      <c r="BH324" s="151"/>
      <c r="BI324" s="151"/>
    </row>
    <row r="325" spans="1:61" x14ac:dyDescent="0.25">
      <c r="A325" s="149"/>
      <c r="B325" s="149"/>
      <c r="C325" s="149"/>
      <c r="D325" s="149"/>
      <c r="E325" s="150"/>
      <c r="F325" s="150"/>
      <c r="G325" s="149"/>
      <c r="H325" s="149"/>
      <c r="I325" s="149"/>
      <c r="J325" s="150"/>
      <c r="K325" s="150"/>
      <c r="L325" s="149"/>
      <c r="M325" s="149"/>
      <c r="N325" s="149"/>
      <c r="O325" s="150"/>
      <c r="P325" s="150"/>
      <c r="Q325" s="149"/>
      <c r="R325" s="149"/>
      <c r="S325" s="149"/>
      <c r="T325" s="150"/>
      <c r="U325" s="150"/>
      <c r="V325" s="150"/>
      <c r="W325" s="150"/>
      <c r="X325" s="150"/>
      <c r="Y325" s="150"/>
      <c r="Z325" s="150"/>
      <c r="AA325" s="150"/>
      <c r="AB325" s="150"/>
      <c r="AC325" s="149"/>
      <c r="AD325" s="149"/>
      <c r="AE325" s="149"/>
      <c r="AF325" s="150"/>
      <c r="AG325" s="150"/>
      <c r="AH325" s="149"/>
      <c r="AI325" s="149"/>
      <c r="AJ325" s="149"/>
      <c r="AK325" s="150"/>
      <c r="AL325" s="150"/>
      <c r="AM325" s="149"/>
      <c r="AN325" s="149"/>
      <c r="AO325" s="149"/>
      <c r="AP325" s="150"/>
      <c r="AQ325" s="150"/>
      <c r="AR325" s="150"/>
      <c r="AS325" s="150"/>
      <c r="AT325" s="150"/>
      <c r="AU325" s="150"/>
      <c r="AV325" s="150"/>
      <c r="AW325" s="150"/>
      <c r="AX325" s="150"/>
      <c r="AY325" s="151"/>
      <c r="AZ325" s="151"/>
      <c r="BA325" s="151"/>
      <c r="BB325" s="151"/>
      <c r="BC325" s="151"/>
      <c r="BD325" s="151"/>
      <c r="BE325" s="151"/>
      <c r="BF325" s="151"/>
      <c r="BG325" s="151"/>
      <c r="BH325" s="151"/>
      <c r="BI325" s="151"/>
    </row>
    <row r="326" spans="1:61" x14ac:dyDescent="0.25">
      <c r="A326" s="149"/>
      <c r="B326" s="149"/>
      <c r="C326" s="149"/>
      <c r="D326" s="149"/>
      <c r="E326" s="150"/>
      <c r="F326" s="150"/>
      <c r="G326" s="149"/>
      <c r="H326" s="149"/>
      <c r="I326" s="149"/>
      <c r="J326" s="150"/>
      <c r="K326" s="150"/>
      <c r="L326" s="149"/>
      <c r="M326" s="149"/>
      <c r="N326" s="149"/>
      <c r="O326" s="150"/>
      <c r="P326" s="150"/>
      <c r="Q326" s="149"/>
      <c r="R326" s="149"/>
      <c r="S326" s="149"/>
      <c r="T326" s="150"/>
      <c r="U326" s="150"/>
      <c r="V326" s="150"/>
      <c r="W326" s="150"/>
      <c r="X326" s="150"/>
      <c r="Y326" s="150"/>
      <c r="Z326" s="150"/>
      <c r="AA326" s="150"/>
      <c r="AB326" s="150"/>
      <c r="AC326" s="149"/>
      <c r="AD326" s="149"/>
      <c r="AE326" s="149"/>
      <c r="AF326" s="150"/>
      <c r="AG326" s="150"/>
      <c r="AH326" s="149"/>
      <c r="AI326" s="149"/>
      <c r="AJ326" s="149"/>
      <c r="AK326" s="150"/>
      <c r="AL326" s="150"/>
      <c r="AM326" s="149"/>
      <c r="AN326" s="149"/>
      <c r="AO326" s="149"/>
      <c r="AP326" s="150"/>
      <c r="AQ326" s="150"/>
      <c r="AR326" s="150"/>
      <c r="AS326" s="150"/>
      <c r="AT326" s="150"/>
      <c r="AU326" s="150"/>
      <c r="AV326" s="150"/>
      <c r="AW326" s="150"/>
      <c r="AX326" s="150"/>
      <c r="AY326" s="151"/>
      <c r="AZ326" s="151"/>
      <c r="BA326" s="151"/>
      <c r="BB326" s="151"/>
      <c r="BC326" s="151"/>
      <c r="BD326" s="151"/>
      <c r="BE326" s="151"/>
      <c r="BF326" s="151"/>
      <c r="BG326" s="151"/>
      <c r="BH326" s="151"/>
      <c r="BI326" s="151"/>
    </row>
    <row r="327" spans="1:61" x14ac:dyDescent="0.25">
      <c r="A327" s="149"/>
      <c r="B327" s="149"/>
      <c r="C327" s="149"/>
      <c r="D327" s="149"/>
      <c r="E327" s="150"/>
      <c r="F327" s="150"/>
      <c r="G327" s="149"/>
      <c r="H327" s="149"/>
      <c r="I327" s="149"/>
      <c r="J327" s="150"/>
      <c r="K327" s="150"/>
      <c r="L327" s="149"/>
      <c r="M327" s="149"/>
      <c r="N327" s="149"/>
      <c r="O327" s="150"/>
      <c r="P327" s="150"/>
      <c r="Q327" s="149"/>
      <c r="R327" s="149"/>
      <c r="S327" s="149"/>
      <c r="T327" s="150"/>
      <c r="U327" s="150"/>
      <c r="V327" s="150"/>
      <c r="W327" s="150"/>
      <c r="X327" s="150"/>
      <c r="Y327" s="150"/>
      <c r="Z327" s="150"/>
      <c r="AA327" s="150"/>
      <c r="AB327" s="150"/>
      <c r="AC327" s="149"/>
      <c r="AD327" s="149"/>
      <c r="AE327" s="149"/>
      <c r="AF327" s="150"/>
      <c r="AG327" s="150"/>
      <c r="AH327" s="149"/>
      <c r="AI327" s="149"/>
      <c r="AJ327" s="149"/>
      <c r="AK327" s="150"/>
      <c r="AL327" s="150"/>
      <c r="AM327" s="149"/>
      <c r="AN327" s="149"/>
      <c r="AO327" s="149"/>
      <c r="AP327" s="150"/>
      <c r="AQ327" s="150"/>
      <c r="AR327" s="150"/>
      <c r="AS327" s="150"/>
      <c r="AT327" s="150"/>
      <c r="AU327" s="150"/>
      <c r="AV327" s="150"/>
      <c r="AW327" s="150"/>
      <c r="AX327" s="150"/>
      <c r="AY327" s="151"/>
      <c r="AZ327" s="151"/>
      <c r="BA327" s="151"/>
      <c r="BB327" s="151"/>
      <c r="BC327" s="151"/>
      <c r="BD327" s="151"/>
      <c r="BE327" s="151"/>
      <c r="BF327" s="151"/>
      <c r="BG327" s="151"/>
      <c r="BH327" s="151"/>
      <c r="BI327" s="151"/>
    </row>
    <row r="328" spans="1:61" x14ac:dyDescent="0.25">
      <c r="A328" s="149"/>
      <c r="B328" s="149"/>
      <c r="C328" s="149"/>
      <c r="D328" s="149"/>
      <c r="E328" s="150"/>
      <c r="F328" s="150"/>
      <c r="G328" s="149"/>
      <c r="H328" s="149"/>
      <c r="I328" s="149"/>
      <c r="J328" s="150"/>
      <c r="K328" s="150"/>
      <c r="L328" s="149"/>
      <c r="M328" s="149"/>
      <c r="N328" s="149"/>
      <c r="O328" s="150"/>
      <c r="P328" s="150"/>
      <c r="Q328" s="149"/>
      <c r="R328" s="149"/>
      <c r="S328" s="149"/>
      <c r="T328" s="150"/>
      <c r="U328" s="150"/>
      <c r="V328" s="150"/>
      <c r="W328" s="150"/>
      <c r="X328" s="150"/>
      <c r="Y328" s="150"/>
      <c r="Z328" s="150"/>
      <c r="AA328" s="150"/>
      <c r="AB328" s="150"/>
      <c r="AC328" s="149"/>
      <c r="AD328" s="149"/>
      <c r="AE328" s="149"/>
      <c r="AF328" s="150"/>
      <c r="AG328" s="150"/>
      <c r="AH328" s="149"/>
      <c r="AI328" s="149"/>
      <c r="AJ328" s="149"/>
      <c r="AK328" s="150"/>
      <c r="AL328" s="150"/>
      <c r="AM328" s="149"/>
      <c r="AN328" s="149"/>
      <c r="AO328" s="149"/>
      <c r="AP328" s="150"/>
      <c r="AQ328" s="150"/>
      <c r="AR328" s="150"/>
      <c r="AS328" s="150"/>
      <c r="AT328" s="150"/>
      <c r="AU328" s="150"/>
      <c r="AV328" s="150"/>
      <c r="AW328" s="150"/>
      <c r="AX328" s="150"/>
      <c r="AY328" s="151"/>
      <c r="AZ328" s="151"/>
      <c r="BA328" s="151"/>
      <c r="BB328" s="151"/>
      <c r="BC328" s="151"/>
      <c r="BD328" s="151"/>
      <c r="BE328" s="151"/>
      <c r="BF328" s="151"/>
      <c r="BG328" s="151"/>
      <c r="BH328" s="151"/>
      <c r="BI328" s="151"/>
    </row>
    <row r="329" spans="1:61" x14ac:dyDescent="0.25">
      <c r="A329" s="149"/>
      <c r="B329" s="149"/>
      <c r="C329" s="149"/>
      <c r="D329" s="149"/>
      <c r="E329" s="150"/>
      <c r="F329" s="150"/>
      <c r="G329" s="149"/>
      <c r="H329" s="149"/>
      <c r="I329" s="149"/>
      <c r="J329" s="150"/>
      <c r="K329" s="150"/>
      <c r="L329" s="149"/>
      <c r="M329" s="149"/>
      <c r="N329" s="149"/>
      <c r="O329" s="150"/>
      <c r="P329" s="150"/>
      <c r="Q329" s="149"/>
      <c r="R329" s="149"/>
      <c r="S329" s="149"/>
      <c r="T329" s="150"/>
      <c r="U329" s="150"/>
      <c r="V329" s="150"/>
      <c r="W329" s="150"/>
      <c r="X329" s="150"/>
      <c r="Y329" s="150"/>
      <c r="Z329" s="150"/>
      <c r="AA329" s="150"/>
      <c r="AB329" s="150"/>
      <c r="AC329" s="149"/>
      <c r="AD329" s="149"/>
      <c r="AE329" s="149"/>
      <c r="AF329" s="150"/>
      <c r="AG329" s="150"/>
      <c r="AH329" s="149"/>
      <c r="AI329" s="149"/>
      <c r="AJ329" s="149"/>
      <c r="AK329" s="150"/>
      <c r="AL329" s="150"/>
      <c r="AM329" s="149"/>
      <c r="AN329" s="149"/>
      <c r="AO329" s="149"/>
      <c r="AP329" s="150"/>
      <c r="AQ329" s="150"/>
      <c r="AR329" s="150"/>
      <c r="AS329" s="150"/>
      <c r="AT329" s="150"/>
      <c r="AU329" s="150"/>
      <c r="AV329" s="150"/>
      <c r="AW329" s="150"/>
      <c r="AX329" s="150"/>
      <c r="AY329" s="151"/>
      <c r="AZ329" s="151"/>
      <c r="BA329" s="151"/>
      <c r="BB329" s="151"/>
      <c r="BC329" s="151"/>
      <c r="BD329" s="151"/>
      <c r="BE329" s="151"/>
      <c r="BF329" s="151"/>
      <c r="BG329" s="151"/>
      <c r="BH329" s="151"/>
      <c r="BI329" s="151"/>
    </row>
    <row r="330" spans="1:61" x14ac:dyDescent="0.25">
      <c r="A330" s="149"/>
      <c r="B330" s="149"/>
      <c r="C330" s="149"/>
      <c r="D330" s="149"/>
      <c r="E330" s="150"/>
      <c r="F330" s="150"/>
      <c r="G330" s="149"/>
      <c r="H330" s="149"/>
      <c r="I330" s="149"/>
      <c r="J330" s="150"/>
      <c r="K330" s="150"/>
      <c r="L330" s="149"/>
      <c r="M330" s="149"/>
      <c r="N330" s="149"/>
      <c r="O330" s="150"/>
      <c r="P330" s="150"/>
      <c r="Q330" s="149"/>
      <c r="R330" s="149"/>
      <c r="S330" s="149"/>
      <c r="T330" s="150"/>
      <c r="U330" s="150"/>
      <c r="V330" s="150"/>
      <c r="W330" s="150"/>
      <c r="X330" s="150"/>
      <c r="Y330" s="150"/>
      <c r="Z330" s="150"/>
      <c r="AA330" s="150"/>
      <c r="AB330" s="150"/>
      <c r="AC330" s="149"/>
      <c r="AD330" s="149"/>
      <c r="AE330" s="149"/>
      <c r="AF330" s="150"/>
      <c r="AG330" s="150"/>
      <c r="AH330" s="149"/>
      <c r="AI330" s="149"/>
      <c r="AJ330" s="149"/>
      <c r="AK330" s="150"/>
      <c r="AL330" s="150"/>
      <c r="AM330" s="149"/>
      <c r="AN330" s="149"/>
      <c r="AO330" s="149"/>
      <c r="AP330" s="150"/>
      <c r="AQ330" s="150"/>
      <c r="AR330" s="150"/>
      <c r="AS330" s="150"/>
      <c r="AT330" s="150"/>
      <c r="AU330" s="150"/>
      <c r="AV330" s="150"/>
      <c r="AW330" s="150"/>
      <c r="AX330" s="150"/>
      <c r="AY330" s="151"/>
      <c r="AZ330" s="151"/>
      <c r="BA330" s="151"/>
      <c r="BB330" s="151"/>
      <c r="BC330" s="151"/>
      <c r="BD330" s="151"/>
      <c r="BE330" s="151"/>
      <c r="BF330" s="151"/>
      <c r="BG330" s="151"/>
      <c r="BH330" s="151"/>
      <c r="BI330" s="151"/>
    </row>
    <row r="331" spans="1:61" x14ac:dyDescent="0.25">
      <c r="A331" s="149"/>
      <c r="B331" s="149"/>
      <c r="C331" s="149"/>
      <c r="D331" s="149"/>
      <c r="E331" s="150"/>
      <c r="F331" s="150"/>
      <c r="G331" s="149"/>
      <c r="H331" s="149"/>
      <c r="I331" s="149"/>
      <c r="J331" s="150"/>
      <c r="K331" s="150"/>
      <c r="L331" s="149"/>
      <c r="M331" s="149"/>
      <c r="N331" s="149"/>
      <c r="O331" s="150"/>
      <c r="P331" s="150"/>
      <c r="Q331" s="149"/>
      <c r="R331" s="149"/>
      <c r="S331" s="149"/>
      <c r="T331" s="150"/>
      <c r="U331" s="150"/>
      <c r="V331" s="150"/>
      <c r="W331" s="150"/>
      <c r="X331" s="150"/>
      <c r="Y331" s="150"/>
      <c r="Z331" s="150"/>
      <c r="AA331" s="150"/>
      <c r="AB331" s="150"/>
      <c r="AC331" s="149"/>
      <c r="AD331" s="149"/>
      <c r="AE331" s="149"/>
      <c r="AF331" s="150"/>
      <c r="AG331" s="150"/>
      <c r="AH331" s="149"/>
      <c r="AI331" s="149"/>
      <c r="AJ331" s="149"/>
      <c r="AK331" s="150"/>
      <c r="AL331" s="150"/>
      <c r="AM331" s="149"/>
      <c r="AN331" s="149"/>
      <c r="AO331" s="149"/>
      <c r="AP331" s="150"/>
      <c r="AQ331" s="150"/>
      <c r="AR331" s="150"/>
      <c r="AS331" s="150"/>
      <c r="AT331" s="150"/>
      <c r="AU331" s="150"/>
      <c r="AV331" s="150"/>
      <c r="AW331" s="150"/>
      <c r="AX331" s="150"/>
      <c r="AY331" s="151"/>
      <c r="AZ331" s="151"/>
      <c r="BA331" s="151"/>
      <c r="BB331" s="151"/>
      <c r="BC331" s="151"/>
      <c r="BD331" s="151"/>
      <c r="BE331" s="151"/>
      <c r="BF331" s="151"/>
      <c r="BG331" s="151"/>
      <c r="BH331" s="151"/>
      <c r="BI331" s="151"/>
    </row>
    <row r="332" spans="1:61" x14ac:dyDescent="0.25">
      <c r="A332" s="149"/>
      <c r="B332" s="149"/>
      <c r="C332" s="149"/>
      <c r="D332" s="149"/>
      <c r="E332" s="150"/>
      <c r="F332" s="150"/>
      <c r="G332" s="149"/>
      <c r="H332" s="149"/>
      <c r="I332" s="149"/>
      <c r="J332" s="150"/>
      <c r="K332" s="150"/>
      <c r="L332" s="149"/>
      <c r="M332" s="149"/>
      <c r="N332" s="149"/>
      <c r="O332" s="150"/>
      <c r="P332" s="150"/>
      <c r="Q332" s="149"/>
      <c r="R332" s="149"/>
      <c r="S332" s="149"/>
      <c r="T332" s="150"/>
      <c r="U332" s="150"/>
      <c r="V332" s="150"/>
      <c r="W332" s="150"/>
      <c r="X332" s="150"/>
      <c r="Y332" s="150"/>
      <c r="Z332" s="150"/>
      <c r="AA332" s="150"/>
      <c r="AB332" s="150"/>
      <c r="AC332" s="149"/>
      <c r="AD332" s="149"/>
      <c r="AE332" s="149"/>
      <c r="AF332" s="150"/>
      <c r="AG332" s="150"/>
      <c r="AH332" s="149"/>
      <c r="AI332" s="149"/>
      <c r="AJ332" s="149"/>
      <c r="AK332" s="150"/>
      <c r="AL332" s="150"/>
      <c r="AM332" s="149"/>
      <c r="AN332" s="149"/>
      <c r="AO332" s="149"/>
      <c r="AP332" s="150"/>
      <c r="AQ332" s="150"/>
      <c r="AR332" s="150"/>
      <c r="AS332" s="150"/>
      <c r="AT332" s="150"/>
      <c r="AU332" s="150"/>
      <c r="AV332" s="150"/>
      <c r="AW332" s="150"/>
      <c r="AX332" s="150"/>
      <c r="AY332" s="151"/>
      <c r="AZ332" s="151"/>
      <c r="BA332" s="151"/>
      <c r="BB332" s="151"/>
      <c r="BC332" s="151"/>
      <c r="BD332" s="151"/>
      <c r="BE332" s="151"/>
      <c r="BF332" s="151"/>
      <c r="BG332" s="151"/>
      <c r="BH332" s="151"/>
      <c r="BI332" s="151"/>
    </row>
    <row r="333" spans="1:61" x14ac:dyDescent="0.25">
      <c r="A333" s="149"/>
      <c r="B333" s="149"/>
      <c r="C333" s="149"/>
      <c r="D333" s="149"/>
      <c r="E333" s="150"/>
      <c r="F333" s="150"/>
      <c r="G333" s="149"/>
      <c r="H333" s="149"/>
      <c r="I333" s="149"/>
      <c r="J333" s="150"/>
      <c r="K333" s="150"/>
      <c r="L333" s="149"/>
      <c r="M333" s="149"/>
      <c r="N333" s="149"/>
      <c r="O333" s="150"/>
      <c r="P333" s="150"/>
      <c r="Q333" s="149"/>
      <c r="R333" s="149"/>
      <c r="S333" s="149"/>
      <c r="T333" s="150"/>
      <c r="U333" s="150"/>
      <c r="V333" s="150"/>
      <c r="W333" s="150"/>
      <c r="X333" s="150"/>
      <c r="Y333" s="150"/>
      <c r="Z333" s="150"/>
      <c r="AA333" s="150"/>
      <c r="AB333" s="150"/>
      <c r="AC333" s="149"/>
      <c r="AD333" s="149"/>
      <c r="AE333" s="149"/>
      <c r="AF333" s="150"/>
      <c r="AG333" s="150"/>
      <c r="AH333" s="149"/>
      <c r="AI333" s="149"/>
      <c r="AJ333" s="149"/>
      <c r="AK333" s="150"/>
      <c r="AL333" s="150"/>
      <c r="AM333" s="149"/>
      <c r="AN333" s="149"/>
      <c r="AO333" s="149"/>
      <c r="AP333" s="150"/>
      <c r="AQ333" s="150"/>
      <c r="AR333" s="150"/>
      <c r="AS333" s="150"/>
      <c r="AT333" s="150"/>
      <c r="AU333" s="150"/>
      <c r="AV333" s="150"/>
      <c r="AW333" s="150"/>
      <c r="AX333" s="150"/>
      <c r="AY333" s="151"/>
      <c r="AZ333" s="151"/>
      <c r="BA333" s="151"/>
      <c r="BB333" s="151"/>
      <c r="BC333" s="151"/>
      <c r="BD333" s="151"/>
      <c r="BE333" s="151"/>
      <c r="BF333" s="151"/>
      <c r="BG333" s="151"/>
      <c r="BH333" s="151"/>
      <c r="BI333" s="151"/>
    </row>
    <row r="334" spans="1:61" x14ac:dyDescent="0.25">
      <c r="A334" s="149"/>
      <c r="B334" s="149"/>
      <c r="C334" s="149"/>
      <c r="D334" s="149"/>
      <c r="E334" s="150"/>
      <c r="F334" s="150"/>
      <c r="G334" s="149"/>
      <c r="H334" s="149"/>
      <c r="I334" s="149"/>
      <c r="J334" s="150"/>
      <c r="K334" s="150"/>
      <c r="L334" s="149"/>
      <c r="M334" s="149"/>
      <c r="N334" s="149"/>
      <c r="O334" s="150"/>
      <c r="P334" s="150"/>
      <c r="Q334" s="149"/>
      <c r="R334" s="149"/>
      <c r="S334" s="149"/>
      <c r="T334" s="150"/>
      <c r="U334" s="150"/>
      <c r="V334" s="150"/>
      <c r="W334" s="150"/>
      <c r="X334" s="150"/>
      <c r="Y334" s="150"/>
      <c r="Z334" s="150"/>
      <c r="AA334" s="150"/>
      <c r="AB334" s="150"/>
      <c r="AC334" s="149"/>
      <c r="AD334" s="149"/>
      <c r="AE334" s="149"/>
      <c r="AF334" s="150"/>
      <c r="AG334" s="150"/>
      <c r="AH334" s="149"/>
      <c r="AI334" s="149"/>
      <c r="AJ334" s="149"/>
      <c r="AK334" s="150"/>
      <c r="AL334" s="150"/>
      <c r="AM334" s="149"/>
      <c r="AN334" s="149"/>
      <c r="AO334" s="149"/>
      <c r="AP334" s="150"/>
      <c r="AQ334" s="150"/>
      <c r="AR334" s="150"/>
      <c r="AS334" s="150"/>
      <c r="AT334" s="150"/>
      <c r="AU334" s="150"/>
      <c r="AV334" s="150"/>
      <c r="AW334" s="150"/>
      <c r="AX334" s="150"/>
      <c r="AY334" s="151"/>
      <c r="AZ334" s="151"/>
      <c r="BA334" s="151"/>
      <c r="BB334" s="151"/>
      <c r="BC334" s="151"/>
      <c r="BD334" s="151"/>
      <c r="BE334" s="151"/>
      <c r="BF334" s="151"/>
      <c r="BG334" s="151"/>
      <c r="BH334" s="151"/>
      <c r="BI334" s="151"/>
    </row>
    <row r="335" spans="1:61" x14ac:dyDescent="0.25">
      <c r="A335" s="149"/>
      <c r="B335" s="149"/>
      <c r="C335" s="149"/>
      <c r="D335" s="149"/>
      <c r="E335" s="150"/>
      <c r="F335" s="150"/>
      <c r="G335" s="149"/>
      <c r="H335" s="149"/>
      <c r="I335" s="149"/>
      <c r="J335" s="150"/>
      <c r="K335" s="150"/>
      <c r="L335" s="149"/>
      <c r="M335" s="149"/>
      <c r="N335" s="149"/>
      <c r="O335" s="150"/>
      <c r="P335" s="150"/>
      <c r="Q335" s="149"/>
      <c r="R335" s="149"/>
      <c r="S335" s="149"/>
      <c r="T335" s="150"/>
      <c r="U335" s="150"/>
      <c r="V335" s="150"/>
      <c r="W335" s="150"/>
      <c r="X335" s="150"/>
      <c r="Y335" s="150"/>
      <c r="Z335" s="150"/>
      <c r="AA335" s="150"/>
      <c r="AB335" s="150"/>
      <c r="AC335" s="149"/>
      <c r="AD335" s="149"/>
      <c r="AE335" s="149"/>
      <c r="AF335" s="150"/>
      <c r="AG335" s="150"/>
      <c r="AH335" s="149"/>
      <c r="AI335" s="149"/>
      <c r="AJ335" s="149"/>
      <c r="AK335" s="150"/>
      <c r="AL335" s="150"/>
      <c r="AM335" s="149"/>
      <c r="AN335" s="149"/>
      <c r="AO335" s="149"/>
      <c r="AP335" s="150"/>
      <c r="AQ335" s="150"/>
      <c r="AR335" s="150"/>
      <c r="AS335" s="150"/>
      <c r="AT335" s="150"/>
      <c r="AU335" s="150"/>
      <c r="AV335" s="150"/>
      <c r="AW335" s="150"/>
      <c r="AX335" s="150"/>
      <c r="AY335" s="151"/>
      <c r="AZ335" s="151"/>
      <c r="BA335" s="151"/>
      <c r="BB335" s="151"/>
      <c r="BC335" s="151"/>
      <c r="BD335" s="151"/>
      <c r="BE335" s="151"/>
      <c r="BF335" s="151"/>
      <c r="BG335" s="151"/>
      <c r="BH335" s="151"/>
      <c r="BI335" s="151"/>
    </row>
    <row r="336" spans="1:61" x14ac:dyDescent="0.25">
      <c r="A336" s="149"/>
      <c r="B336" s="149"/>
      <c r="C336" s="149"/>
      <c r="D336" s="149"/>
      <c r="E336" s="150"/>
      <c r="F336" s="150"/>
      <c r="G336" s="149"/>
      <c r="H336" s="149"/>
      <c r="I336" s="149"/>
      <c r="J336" s="150"/>
      <c r="K336" s="150"/>
      <c r="L336" s="149"/>
      <c r="M336" s="149"/>
      <c r="N336" s="149"/>
      <c r="O336" s="150"/>
      <c r="P336" s="150"/>
      <c r="Q336" s="149"/>
      <c r="R336" s="149"/>
      <c r="S336" s="149"/>
      <c r="T336" s="150"/>
      <c r="U336" s="150"/>
      <c r="V336" s="150"/>
      <c r="W336" s="150"/>
      <c r="X336" s="150"/>
      <c r="Y336" s="150"/>
      <c r="Z336" s="150"/>
      <c r="AA336" s="150"/>
      <c r="AB336" s="150"/>
      <c r="AC336" s="149"/>
      <c r="AD336" s="149"/>
      <c r="AE336" s="149"/>
      <c r="AF336" s="150"/>
      <c r="AG336" s="150"/>
      <c r="AH336" s="149"/>
      <c r="AI336" s="149"/>
      <c r="AJ336" s="149"/>
      <c r="AK336" s="150"/>
      <c r="AL336" s="150"/>
      <c r="AM336" s="149"/>
      <c r="AN336" s="149"/>
      <c r="AO336" s="149"/>
      <c r="AP336" s="150"/>
      <c r="AQ336" s="150"/>
      <c r="AR336" s="150"/>
      <c r="AS336" s="150"/>
      <c r="AT336" s="150"/>
      <c r="AU336" s="150"/>
      <c r="AV336" s="150"/>
      <c r="AW336" s="150"/>
      <c r="AX336" s="150"/>
      <c r="AY336" s="151"/>
      <c r="AZ336" s="151"/>
      <c r="BA336" s="151"/>
      <c r="BB336" s="151"/>
      <c r="BC336" s="151"/>
      <c r="BD336" s="151"/>
      <c r="BE336" s="151"/>
      <c r="BF336" s="151"/>
      <c r="BG336" s="151"/>
      <c r="BH336" s="151"/>
      <c r="BI336" s="151"/>
    </row>
    <row r="337" spans="1:61" x14ac:dyDescent="0.25">
      <c r="A337" s="149"/>
      <c r="B337" s="149"/>
      <c r="C337" s="149"/>
      <c r="D337" s="149"/>
      <c r="E337" s="150"/>
      <c r="F337" s="150"/>
      <c r="G337" s="149"/>
      <c r="H337" s="149"/>
      <c r="I337" s="149"/>
      <c r="J337" s="150"/>
      <c r="K337" s="150"/>
      <c r="L337" s="149"/>
      <c r="M337" s="149"/>
      <c r="N337" s="149"/>
      <c r="O337" s="150"/>
      <c r="P337" s="150"/>
      <c r="Q337" s="149"/>
      <c r="R337" s="149"/>
      <c r="S337" s="149"/>
      <c r="T337" s="150"/>
      <c r="U337" s="150"/>
      <c r="V337" s="150"/>
      <c r="W337" s="150"/>
      <c r="X337" s="150"/>
      <c r="Y337" s="150"/>
      <c r="Z337" s="150"/>
      <c r="AA337" s="150"/>
      <c r="AB337" s="150"/>
      <c r="AC337" s="149"/>
      <c r="AD337" s="149"/>
      <c r="AE337" s="149"/>
      <c r="AF337" s="150"/>
      <c r="AG337" s="150"/>
      <c r="AH337" s="149"/>
      <c r="AI337" s="149"/>
      <c r="AJ337" s="149"/>
      <c r="AK337" s="150"/>
      <c r="AL337" s="150"/>
      <c r="AM337" s="149"/>
      <c r="AN337" s="149"/>
      <c r="AO337" s="149"/>
      <c r="AP337" s="150"/>
      <c r="AQ337" s="150"/>
      <c r="AR337" s="150"/>
      <c r="AS337" s="150"/>
      <c r="AT337" s="150"/>
      <c r="AU337" s="150"/>
      <c r="AV337" s="150"/>
      <c r="AW337" s="150"/>
      <c r="AX337" s="150"/>
      <c r="AY337" s="151"/>
      <c r="AZ337" s="151"/>
      <c r="BA337" s="151"/>
      <c r="BB337" s="151"/>
      <c r="BC337" s="151"/>
      <c r="BD337" s="151"/>
      <c r="BE337" s="151"/>
      <c r="BF337" s="151"/>
      <c r="BG337" s="151"/>
      <c r="BH337" s="151"/>
      <c r="BI337" s="151"/>
    </row>
    <row r="338" spans="1:61" x14ac:dyDescent="0.25">
      <c r="A338" s="149"/>
      <c r="B338" s="149"/>
      <c r="C338" s="149"/>
      <c r="D338" s="149"/>
      <c r="E338" s="150"/>
      <c r="F338" s="150"/>
      <c r="G338" s="149"/>
      <c r="H338" s="149"/>
      <c r="I338" s="149"/>
      <c r="J338" s="150"/>
      <c r="K338" s="150"/>
      <c r="L338" s="149"/>
      <c r="M338" s="149"/>
      <c r="N338" s="149"/>
      <c r="O338" s="150"/>
      <c r="P338" s="150"/>
      <c r="Q338" s="149"/>
      <c r="R338" s="149"/>
      <c r="S338" s="149"/>
      <c r="T338" s="150"/>
      <c r="U338" s="150"/>
      <c r="V338" s="150"/>
      <c r="W338" s="150"/>
      <c r="X338" s="150"/>
      <c r="Y338" s="150"/>
      <c r="Z338" s="150"/>
      <c r="AA338" s="150"/>
      <c r="AB338" s="150"/>
      <c r="AC338" s="149"/>
      <c r="AD338" s="149"/>
      <c r="AE338" s="149"/>
      <c r="AF338" s="150"/>
      <c r="AG338" s="150"/>
      <c r="AH338" s="149"/>
      <c r="AI338" s="149"/>
      <c r="AJ338" s="149"/>
      <c r="AK338" s="150"/>
      <c r="AL338" s="150"/>
      <c r="AM338" s="149"/>
      <c r="AN338" s="149"/>
      <c r="AO338" s="149"/>
      <c r="AP338" s="150"/>
      <c r="AQ338" s="150"/>
      <c r="AR338" s="150"/>
      <c r="AS338" s="150"/>
      <c r="AT338" s="150"/>
      <c r="AU338" s="150"/>
      <c r="AV338" s="150"/>
      <c r="AW338" s="150"/>
      <c r="AX338" s="150"/>
      <c r="AY338" s="151"/>
      <c r="AZ338" s="151"/>
      <c r="BA338" s="151"/>
      <c r="BB338" s="151"/>
      <c r="BC338" s="151"/>
      <c r="BD338" s="151"/>
      <c r="BE338" s="151"/>
      <c r="BF338" s="151"/>
      <c r="BG338" s="151"/>
      <c r="BH338" s="151"/>
      <c r="BI338" s="151"/>
    </row>
    <row r="339" spans="1:61" x14ac:dyDescent="0.25">
      <c r="A339" s="149"/>
      <c r="B339" s="149"/>
      <c r="C339" s="149"/>
      <c r="D339" s="149"/>
      <c r="E339" s="150"/>
      <c r="F339" s="150"/>
      <c r="G339" s="149"/>
      <c r="H339" s="149"/>
      <c r="I339" s="149"/>
      <c r="J339" s="150"/>
      <c r="K339" s="150"/>
      <c r="L339" s="149"/>
      <c r="M339" s="149"/>
      <c r="N339" s="149"/>
      <c r="O339" s="150"/>
      <c r="P339" s="150"/>
      <c r="Q339" s="149"/>
      <c r="R339" s="149"/>
      <c r="S339" s="149"/>
      <c r="T339" s="150"/>
      <c r="U339" s="150"/>
      <c r="V339" s="150"/>
      <c r="W339" s="150"/>
      <c r="X339" s="150"/>
      <c r="Y339" s="150"/>
      <c r="Z339" s="150"/>
      <c r="AA339" s="150"/>
      <c r="AB339" s="150"/>
      <c r="AC339" s="149"/>
      <c r="AD339" s="149"/>
      <c r="AE339" s="149"/>
      <c r="AF339" s="150"/>
      <c r="AG339" s="150"/>
      <c r="AH339" s="149"/>
      <c r="AI339" s="149"/>
      <c r="AJ339" s="149"/>
      <c r="AK339" s="150"/>
      <c r="AL339" s="150"/>
      <c r="AM339" s="149"/>
      <c r="AN339" s="149"/>
      <c r="AO339" s="149"/>
      <c r="AP339" s="150"/>
      <c r="AQ339" s="150"/>
      <c r="AR339" s="150"/>
      <c r="AS339" s="150"/>
      <c r="AT339" s="150"/>
      <c r="AU339" s="150"/>
      <c r="AV339" s="150"/>
      <c r="AW339" s="150"/>
      <c r="AX339" s="150"/>
      <c r="AY339" s="151"/>
      <c r="AZ339" s="151"/>
      <c r="BA339" s="151"/>
      <c r="BB339" s="151"/>
      <c r="BC339" s="151"/>
      <c r="BD339" s="151"/>
      <c r="BE339" s="151"/>
      <c r="BF339" s="151"/>
      <c r="BG339" s="151"/>
      <c r="BH339" s="151"/>
      <c r="BI339" s="151"/>
    </row>
    <row r="340" spans="1:61" x14ac:dyDescent="0.25">
      <c r="A340" s="149"/>
      <c r="B340" s="149"/>
      <c r="C340" s="149"/>
      <c r="D340" s="149"/>
      <c r="E340" s="150"/>
      <c r="F340" s="150"/>
      <c r="G340" s="149"/>
      <c r="H340" s="149"/>
      <c r="I340" s="149"/>
      <c r="J340" s="150"/>
      <c r="K340" s="150"/>
      <c r="L340" s="149"/>
      <c r="M340" s="149"/>
      <c r="N340" s="149"/>
      <c r="O340" s="150"/>
      <c r="P340" s="150"/>
      <c r="Q340" s="149"/>
      <c r="R340" s="149"/>
      <c r="S340" s="149"/>
      <c r="T340" s="150"/>
      <c r="U340" s="150"/>
      <c r="V340" s="150"/>
      <c r="W340" s="150"/>
      <c r="X340" s="150"/>
      <c r="Y340" s="150"/>
      <c r="Z340" s="150"/>
      <c r="AA340" s="150"/>
      <c r="AB340" s="150"/>
      <c r="AC340" s="149"/>
      <c r="AD340" s="149"/>
      <c r="AE340" s="149"/>
      <c r="AF340" s="150"/>
      <c r="AG340" s="150"/>
      <c r="AH340" s="149"/>
      <c r="AI340" s="149"/>
      <c r="AJ340" s="149"/>
      <c r="AK340" s="150"/>
      <c r="AL340" s="150"/>
      <c r="AM340" s="149"/>
      <c r="AN340" s="149"/>
      <c r="AO340" s="149"/>
      <c r="AP340" s="150"/>
      <c r="AQ340" s="150"/>
      <c r="AR340" s="150"/>
      <c r="AS340" s="150"/>
      <c r="AT340" s="150"/>
      <c r="AU340" s="150"/>
      <c r="AV340" s="150"/>
      <c r="AW340" s="150"/>
      <c r="AX340" s="150"/>
      <c r="AY340" s="151"/>
      <c r="AZ340" s="151"/>
      <c r="BA340" s="151"/>
      <c r="BB340" s="151"/>
      <c r="BC340" s="151"/>
      <c r="BD340" s="151"/>
      <c r="BE340" s="151"/>
      <c r="BF340" s="151"/>
      <c r="BG340" s="151"/>
      <c r="BH340" s="151"/>
      <c r="BI340" s="151"/>
    </row>
    <row r="341" spans="1:61" x14ac:dyDescent="0.25">
      <c r="A341" s="149"/>
      <c r="B341" s="149"/>
      <c r="C341" s="149"/>
      <c r="D341" s="149"/>
      <c r="E341" s="150"/>
      <c r="F341" s="150"/>
      <c r="G341" s="149"/>
      <c r="H341" s="149"/>
      <c r="I341" s="149"/>
      <c r="J341" s="150"/>
      <c r="K341" s="150"/>
      <c r="L341" s="149"/>
      <c r="M341" s="149"/>
      <c r="N341" s="149"/>
      <c r="O341" s="150"/>
      <c r="P341" s="150"/>
      <c r="Q341" s="149"/>
      <c r="R341" s="149"/>
      <c r="S341" s="149"/>
      <c r="T341" s="150"/>
      <c r="U341" s="150"/>
      <c r="V341" s="150"/>
      <c r="W341" s="150"/>
      <c r="X341" s="150"/>
      <c r="Y341" s="150"/>
      <c r="Z341" s="150"/>
      <c r="AA341" s="150"/>
      <c r="AB341" s="150"/>
      <c r="AC341" s="149"/>
      <c r="AD341" s="149"/>
      <c r="AE341" s="149"/>
      <c r="AF341" s="150"/>
      <c r="AG341" s="150"/>
      <c r="AH341" s="149"/>
      <c r="AI341" s="149"/>
      <c r="AJ341" s="149"/>
      <c r="AK341" s="150"/>
      <c r="AL341" s="150"/>
      <c r="AM341" s="149"/>
      <c r="AN341" s="149"/>
      <c r="AO341" s="149"/>
      <c r="AP341" s="150"/>
      <c r="AQ341" s="150"/>
      <c r="AR341" s="150"/>
      <c r="AS341" s="150"/>
      <c r="AT341" s="150"/>
      <c r="AU341" s="150"/>
      <c r="AV341" s="150"/>
      <c r="AW341" s="150"/>
      <c r="AX341" s="150"/>
      <c r="AY341" s="151"/>
      <c r="AZ341" s="151"/>
      <c r="BA341" s="151"/>
      <c r="BB341" s="151"/>
      <c r="BC341" s="151"/>
      <c r="BD341" s="151"/>
      <c r="BE341" s="151"/>
      <c r="BF341" s="151"/>
      <c r="BG341" s="151"/>
      <c r="BH341" s="151"/>
      <c r="BI341" s="151"/>
    </row>
    <row r="342" spans="1:61" x14ac:dyDescent="0.25">
      <c r="A342" s="149"/>
      <c r="B342" s="149"/>
      <c r="C342" s="149"/>
      <c r="D342" s="149"/>
      <c r="E342" s="150"/>
      <c r="F342" s="150"/>
      <c r="G342" s="149"/>
      <c r="H342" s="149"/>
      <c r="I342" s="149"/>
      <c r="J342" s="150"/>
      <c r="K342" s="150"/>
      <c r="L342" s="149"/>
      <c r="M342" s="149"/>
      <c r="N342" s="149"/>
      <c r="O342" s="150"/>
      <c r="P342" s="150"/>
      <c r="Q342" s="149"/>
      <c r="R342" s="149"/>
      <c r="S342" s="149"/>
      <c r="T342" s="150"/>
      <c r="U342" s="150"/>
      <c r="V342" s="150"/>
      <c r="W342" s="150"/>
      <c r="X342" s="150"/>
      <c r="Y342" s="150"/>
      <c r="Z342" s="150"/>
      <c r="AA342" s="150"/>
      <c r="AB342" s="150"/>
      <c r="AC342" s="149"/>
      <c r="AD342" s="149"/>
      <c r="AE342" s="149"/>
      <c r="AF342" s="150"/>
      <c r="AG342" s="150"/>
      <c r="AH342" s="149"/>
      <c r="AI342" s="149"/>
      <c r="AJ342" s="149"/>
      <c r="AK342" s="150"/>
      <c r="AL342" s="150"/>
      <c r="AM342" s="149"/>
      <c r="AN342" s="149"/>
      <c r="AO342" s="149"/>
      <c r="AP342" s="150"/>
      <c r="AQ342" s="150"/>
      <c r="AR342" s="150"/>
      <c r="AS342" s="150"/>
      <c r="AT342" s="150"/>
      <c r="AU342" s="150"/>
      <c r="AV342" s="150"/>
      <c r="AW342" s="150"/>
      <c r="AX342" s="150"/>
      <c r="AY342" s="151"/>
      <c r="AZ342" s="151"/>
      <c r="BA342" s="151"/>
      <c r="BB342" s="151"/>
      <c r="BC342" s="151"/>
      <c r="BD342" s="151"/>
      <c r="BE342" s="151"/>
      <c r="BF342" s="151"/>
      <c r="BG342" s="151"/>
      <c r="BH342" s="151"/>
      <c r="BI342" s="151"/>
    </row>
    <row r="343" spans="1:61" x14ac:dyDescent="0.25">
      <c r="A343" s="149"/>
      <c r="B343" s="149"/>
      <c r="C343" s="149"/>
      <c r="D343" s="149"/>
      <c r="E343" s="150"/>
      <c r="F343" s="150"/>
      <c r="G343" s="149"/>
      <c r="H343" s="149"/>
      <c r="I343" s="149"/>
      <c r="J343" s="150"/>
      <c r="K343" s="150"/>
      <c r="L343" s="149"/>
      <c r="M343" s="149"/>
      <c r="N343" s="149"/>
      <c r="O343" s="150"/>
      <c r="P343" s="150"/>
      <c r="Q343" s="149"/>
      <c r="R343" s="149"/>
      <c r="S343" s="149"/>
      <c r="T343" s="150"/>
      <c r="U343" s="150"/>
      <c r="V343" s="150"/>
      <c r="W343" s="150"/>
      <c r="X343" s="150"/>
      <c r="Y343" s="150"/>
      <c r="Z343" s="150"/>
      <c r="AA343" s="150"/>
      <c r="AB343" s="150"/>
      <c r="AC343" s="149"/>
      <c r="AD343" s="149"/>
      <c r="AE343" s="149"/>
      <c r="AF343" s="150"/>
      <c r="AG343" s="150"/>
      <c r="AH343" s="149"/>
      <c r="AI343" s="149"/>
      <c r="AJ343" s="149"/>
      <c r="AK343" s="150"/>
      <c r="AL343" s="150"/>
      <c r="AM343" s="149"/>
      <c r="AN343" s="149"/>
      <c r="AO343" s="149"/>
      <c r="AP343" s="150"/>
      <c r="AQ343" s="150"/>
      <c r="AR343" s="150"/>
      <c r="AS343" s="150"/>
      <c r="AT343" s="150"/>
      <c r="AU343" s="150"/>
      <c r="AV343" s="150"/>
      <c r="AW343" s="150"/>
      <c r="AX343" s="150"/>
      <c r="AY343" s="151"/>
      <c r="AZ343" s="151"/>
      <c r="BA343" s="151"/>
      <c r="BB343" s="151"/>
      <c r="BC343" s="151"/>
      <c r="BD343" s="151"/>
      <c r="BE343" s="151"/>
      <c r="BF343" s="151"/>
      <c r="BG343" s="151"/>
      <c r="BH343" s="151"/>
      <c r="BI343" s="151"/>
    </row>
    <row r="344" spans="1:61" x14ac:dyDescent="0.25">
      <c r="A344" s="149"/>
      <c r="B344" s="149"/>
      <c r="C344" s="149"/>
      <c r="D344" s="149"/>
      <c r="E344" s="150"/>
      <c r="F344" s="150"/>
      <c r="G344" s="149"/>
      <c r="H344" s="149"/>
      <c r="I344" s="149"/>
      <c r="J344" s="150"/>
      <c r="K344" s="150"/>
      <c r="L344" s="149"/>
      <c r="M344" s="149"/>
      <c r="N344" s="149"/>
      <c r="O344" s="150"/>
      <c r="P344" s="150"/>
      <c r="Q344" s="149"/>
      <c r="R344" s="149"/>
      <c r="S344" s="149"/>
      <c r="T344" s="150"/>
      <c r="U344" s="150"/>
      <c r="V344" s="150"/>
      <c r="W344" s="150"/>
      <c r="X344" s="150"/>
      <c r="Y344" s="150"/>
      <c r="Z344" s="150"/>
      <c r="AA344" s="150"/>
      <c r="AB344" s="150"/>
      <c r="AC344" s="149"/>
      <c r="AD344" s="149"/>
      <c r="AE344" s="149"/>
      <c r="AF344" s="150"/>
      <c r="AG344" s="150"/>
      <c r="AH344" s="149"/>
      <c r="AI344" s="149"/>
      <c r="AJ344" s="149"/>
      <c r="AK344" s="150"/>
      <c r="AL344" s="150"/>
      <c r="AM344" s="149"/>
      <c r="AN344" s="149"/>
      <c r="AO344" s="149"/>
      <c r="AP344" s="150"/>
      <c r="AQ344" s="150"/>
      <c r="AR344" s="150"/>
      <c r="AS344" s="150"/>
      <c r="AT344" s="150"/>
      <c r="AU344" s="150"/>
      <c r="AV344" s="150"/>
      <c r="AW344" s="150"/>
      <c r="AX344" s="150"/>
      <c r="AY344" s="151"/>
      <c r="AZ344" s="151"/>
      <c r="BA344" s="151"/>
      <c r="BB344" s="151"/>
      <c r="BC344" s="151"/>
      <c r="BD344" s="151"/>
      <c r="BE344" s="151"/>
      <c r="BF344" s="151"/>
      <c r="BG344" s="151"/>
      <c r="BH344" s="151"/>
      <c r="BI344" s="151"/>
    </row>
    <row r="345" spans="1:61" x14ac:dyDescent="0.25">
      <c r="A345" s="149"/>
      <c r="B345" s="149"/>
      <c r="C345" s="149"/>
      <c r="D345" s="149"/>
      <c r="E345" s="150"/>
      <c r="F345" s="150"/>
      <c r="G345" s="149"/>
      <c r="H345" s="149"/>
      <c r="I345" s="149"/>
      <c r="J345" s="150"/>
      <c r="K345" s="150"/>
      <c r="L345" s="149"/>
      <c r="M345" s="149"/>
      <c r="N345" s="149"/>
      <c r="O345" s="150"/>
      <c r="P345" s="150"/>
      <c r="Q345" s="149"/>
      <c r="R345" s="149"/>
      <c r="S345" s="149"/>
      <c r="T345" s="150"/>
      <c r="U345" s="150"/>
      <c r="V345" s="150"/>
      <c r="W345" s="150"/>
      <c r="X345" s="150"/>
      <c r="Y345" s="150"/>
      <c r="Z345" s="150"/>
      <c r="AA345" s="150"/>
      <c r="AB345" s="150"/>
      <c r="AC345" s="149"/>
      <c r="AD345" s="149"/>
      <c r="AE345" s="149"/>
      <c r="AF345" s="150"/>
      <c r="AG345" s="150"/>
      <c r="AH345" s="149"/>
      <c r="AI345" s="149"/>
      <c r="AJ345" s="149"/>
      <c r="AK345" s="150"/>
      <c r="AL345" s="150"/>
      <c r="AM345" s="149"/>
      <c r="AN345" s="149"/>
      <c r="AO345" s="149"/>
      <c r="AP345" s="150"/>
      <c r="AQ345" s="150"/>
      <c r="AR345" s="150"/>
      <c r="AS345" s="150"/>
      <c r="AT345" s="150"/>
      <c r="AU345" s="150"/>
      <c r="AV345" s="150"/>
      <c r="AW345" s="150"/>
      <c r="AX345" s="150"/>
      <c r="AY345" s="151"/>
      <c r="AZ345" s="151"/>
      <c r="BA345" s="151"/>
      <c r="BB345" s="151"/>
      <c r="BC345" s="151"/>
      <c r="BD345" s="151"/>
      <c r="BE345" s="151"/>
      <c r="BF345" s="151"/>
      <c r="BG345" s="151"/>
      <c r="BH345" s="151"/>
      <c r="BI345" s="151"/>
    </row>
    <row r="346" spans="1:61" x14ac:dyDescent="0.25">
      <c r="A346" s="149"/>
      <c r="B346" s="149"/>
      <c r="C346" s="149"/>
      <c r="D346" s="149"/>
      <c r="E346" s="150"/>
      <c r="F346" s="150"/>
      <c r="G346" s="149"/>
      <c r="H346" s="149"/>
      <c r="I346" s="149"/>
      <c r="J346" s="150"/>
      <c r="K346" s="150"/>
      <c r="L346" s="149"/>
      <c r="M346" s="149"/>
      <c r="N346" s="149"/>
      <c r="O346" s="150"/>
      <c r="P346" s="150"/>
      <c r="Q346" s="149"/>
      <c r="R346" s="149"/>
      <c r="S346" s="149"/>
      <c r="T346" s="150"/>
      <c r="U346" s="150"/>
      <c r="V346" s="150"/>
      <c r="W346" s="150"/>
      <c r="X346" s="150"/>
      <c r="Y346" s="150"/>
      <c r="Z346" s="150"/>
      <c r="AA346" s="150"/>
      <c r="AB346" s="150"/>
      <c r="AC346" s="149"/>
      <c r="AD346" s="149"/>
      <c r="AE346" s="149"/>
      <c r="AF346" s="150"/>
      <c r="AG346" s="150"/>
      <c r="AH346" s="149"/>
      <c r="AI346" s="149"/>
      <c r="AJ346" s="149"/>
      <c r="AK346" s="150"/>
      <c r="AL346" s="150"/>
      <c r="AM346" s="149"/>
      <c r="AN346" s="149"/>
      <c r="AO346" s="149"/>
      <c r="AP346" s="150"/>
      <c r="AQ346" s="150"/>
      <c r="AR346" s="150"/>
      <c r="AS346" s="150"/>
      <c r="AT346" s="150"/>
      <c r="AU346" s="150"/>
      <c r="AV346" s="150"/>
      <c r="AW346" s="150"/>
      <c r="AX346" s="150"/>
      <c r="AY346" s="151"/>
      <c r="AZ346" s="151"/>
      <c r="BA346" s="151"/>
      <c r="BB346" s="151"/>
      <c r="BC346" s="151"/>
      <c r="BD346" s="151"/>
      <c r="BE346" s="151"/>
      <c r="BF346" s="151"/>
      <c r="BG346" s="151"/>
      <c r="BH346" s="151"/>
      <c r="BI346" s="151"/>
    </row>
    <row r="347" spans="1:61" x14ac:dyDescent="0.25">
      <c r="A347" s="149"/>
      <c r="B347" s="149"/>
      <c r="C347" s="149"/>
      <c r="D347" s="149"/>
      <c r="E347" s="150"/>
      <c r="F347" s="150"/>
      <c r="G347" s="149"/>
      <c r="H347" s="149"/>
      <c r="I347" s="149"/>
      <c r="J347" s="150"/>
      <c r="K347" s="150"/>
      <c r="L347" s="149"/>
      <c r="M347" s="149"/>
      <c r="N347" s="149"/>
      <c r="O347" s="150"/>
      <c r="P347" s="150"/>
      <c r="Q347" s="149"/>
      <c r="R347" s="149"/>
      <c r="S347" s="149"/>
      <c r="T347" s="150"/>
      <c r="U347" s="150"/>
      <c r="V347" s="150"/>
      <c r="W347" s="150"/>
      <c r="X347" s="150"/>
      <c r="Y347" s="150"/>
      <c r="Z347" s="150"/>
      <c r="AA347" s="150"/>
      <c r="AB347" s="150"/>
      <c r="AC347" s="149"/>
      <c r="AD347" s="149"/>
      <c r="AE347" s="149"/>
      <c r="AF347" s="150"/>
      <c r="AG347" s="150"/>
      <c r="AH347" s="149"/>
      <c r="AI347" s="149"/>
      <c r="AJ347" s="149"/>
      <c r="AK347" s="150"/>
      <c r="AL347" s="150"/>
      <c r="AM347" s="149"/>
      <c r="AN347" s="149"/>
      <c r="AO347" s="149"/>
      <c r="AP347" s="150"/>
      <c r="AQ347" s="150"/>
      <c r="AR347" s="150"/>
      <c r="AS347" s="150"/>
      <c r="AT347" s="150"/>
      <c r="AU347" s="150"/>
      <c r="AV347" s="150"/>
      <c r="AW347" s="150"/>
      <c r="AX347" s="150"/>
      <c r="AY347" s="151"/>
      <c r="AZ347" s="151"/>
      <c r="BA347" s="151"/>
      <c r="BB347" s="151"/>
      <c r="BC347" s="151"/>
      <c r="BD347" s="151"/>
      <c r="BE347" s="151"/>
      <c r="BF347" s="151"/>
      <c r="BG347" s="151"/>
      <c r="BH347" s="151"/>
      <c r="BI347" s="151"/>
    </row>
    <row r="348" spans="1:61" x14ac:dyDescent="0.25">
      <c r="A348" s="149"/>
      <c r="B348" s="149"/>
      <c r="C348" s="149"/>
      <c r="D348" s="149"/>
      <c r="E348" s="150"/>
      <c r="F348" s="150"/>
      <c r="G348" s="149"/>
      <c r="H348" s="149"/>
      <c r="I348" s="149"/>
      <c r="J348" s="150"/>
      <c r="K348" s="150"/>
      <c r="L348" s="149"/>
      <c r="M348" s="149"/>
      <c r="N348" s="149"/>
      <c r="O348" s="150"/>
      <c r="P348" s="150"/>
      <c r="Q348" s="149"/>
      <c r="R348" s="149"/>
      <c r="S348" s="149"/>
      <c r="T348" s="150"/>
      <c r="U348" s="150"/>
      <c r="V348" s="150"/>
      <c r="W348" s="150"/>
      <c r="X348" s="150"/>
      <c r="Y348" s="150"/>
      <c r="Z348" s="150"/>
      <c r="AA348" s="150"/>
      <c r="AB348" s="150"/>
      <c r="AC348" s="149"/>
      <c r="AD348" s="149"/>
      <c r="AE348" s="149"/>
      <c r="AF348" s="150"/>
      <c r="AG348" s="150"/>
      <c r="AH348" s="149"/>
      <c r="AI348" s="149"/>
      <c r="AJ348" s="149"/>
      <c r="AK348" s="150"/>
      <c r="AL348" s="150"/>
      <c r="AM348" s="149"/>
      <c r="AN348" s="149"/>
      <c r="AO348" s="149"/>
      <c r="AP348" s="150"/>
      <c r="AQ348" s="150"/>
      <c r="AR348" s="150"/>
      <c r="AS348" s="150"/>
      <c r="AT348" s="150"/>
      <c r="AU348" s="150"/>
      <c r="AV348" s="150"/>
      <c r="AW348" s="150"/>
      <c r="AX348" s="150"/>
      <c r="AY348" s="151"/>
      <c r="AZ348" s="151"/>
      <c r="BA348" s="151"/>
      <c r="BB348" s="151"/>
      <c r="BC348" s="151"/>
      <c r="BD348" s="151"/>
      <c r="BE348" s="151"/>
      <c r="BF348" s="151"/>
      <c r="BG348" s="151"/>
      <c r="BH348" s="151"/>
      <c r="BI348" s="151"/>
    </row>
    <row r="349" spans="1:61" x14ac:dyDescent="0.25">
      <c r="A349" s="149"/>
      <c r="B349" s="149"/>
      <c r="C349" s="149"/>
      <c r="D349" s="149"/>
      <c r="E349" s="150"/>
      <c r="F349" s="150"/>
      <c r="G349" s="149"/>
      <c r="H349" s="149"/>
      <c r="I349" s="149"/>
      <c r="J349" s="150"/>
      <c r="K349" s="150"/>
      <c r="L349" s="149"/>
      <c r="M349" s="149"/>
      <c r="N349" s="149"/>
      <c r="O349" s="150"/>
      <c r="P349" s="150"/>
      <c r="Q349" s="149"/>
      <c r="R349" s="149"/>
      <c r="S349" s="149"/>
      <c r="T349" s="150"/>
      <c r="U349" s="150"/>
      <c r="V349" s="150"/>
      <c r="W349" s="150"/>
      <c r="X349" s="150"/>
      <c r="Y349" s="150"/>
      <c r="Z349" s="150"/>
      <c r="AA349" s="150"/>
      <c r="AB349" s="150"/>
      <c r="AC349" s="149"/>
      <c r="AD349" s="149"/>
      <c r="AE349" s="149"/>
      <c r="AF349" s="150"/>
      <c r="AG349" s="150"/>
      <c r="AH349" s="149"/>
      <c r="AI349" s="149"/>
      <c r="AJ349" s="149"/>
      <c r="AK349" s="150"/>
      <c r="AL349" s="150"/>
      <c r="AM349" s="149"/>
      <c r="AN349" s="149"/>
      <c r="AO349" s="149"/>
      <c r="AP349" s="150"/>
      <c r="AQ349" s="150"/>
      <c r="AR349" s="150"/>
      <c r="AS349" s="150"/>
      <c r="AT349" s="150"/>
      <c r="AU349" s="150"/>
      <c r="AV349" s="150"/>
      <c r="AW349" s="150"/>
      <c r="AX349" s="150"/>
      <c r="AY349" s="151"/>
      <c r="AZ349" s="151"/>
      <c r="BA349" s="151"/>
      <c r="BB349" s="151"/>
      <c r="BC349" s="151"/>
      <c r="BD349" s="151"/>
      <c r="BE349" s="151"/>
      <c r="BF349" s="151"/>
      <c r="BG349" s="151"/>
      <c r="BH349" s="151"/>
      <c r="BI349" s="151"/>
    </row>
    <row r="350" spans="1:61" x14ac:dyDescent="0.25">
      <c r="A350" s="149"/>
      <c r="B350" s="149"/>
      <c r="C350" s="149"/>
      <c r="D350" s="149"/>
      <c r="E350" s="150"/>
      <c r="F350" s="150"/>
      <c r="G350" s="149"/>
      <c r="H350" s="149"/>
      <c r="I350" s="149"/>
      <c r="J350" s="150"/>
      <c r="K350" s="150"/>
      <c r="L350" s="149"/>
      <c r="M350" s="149"/>
      <c r="N350" s="149"/>
      <c r="O350" s="150"/>
      <c r="P350" s="150"/>
      <c r="Q350" s="149"/>
      <c r="R350" s="149"/>
      <c r="S350" s="149"/>
      <c r="T350" s="150"/>
      <c r="U350" s="150"/>
      <c r="V350" s="150"/>
      <c r="W350" s="150"/>
      <c r="X350" s="150"/>
      <c r="Y350" s="150"/>
      <c r="Z350" s="150"/>
      <c r="AA350" s="150"/>
      <c r="AB350" s="150"/>
      <c r="AC350" s="149"/>
      <c r="AD350" s="149"/>
      <c r="AE350" s="149"/>
      <c r="AF350" s="150"/>
      <c r="AG350" s="150"/>
      <c r="AH350" s="149"/>
      <c r="AI350" s="149"/>
      <c r="AJ350" s="149"/>
      <c r="AK350" s="150"/>
      <c r="AL350" s="150"/>
      <c r="AM350" s="149"/>
      <c r="AN350" s="149"/>
      <c r="AO350" s="149"/>
      <c r="AP350" s="150"/>
      <c r="AQ350" s="150"/>
      <c r="AR350" s="150"/>
      <c r="AS350" s="150"/>
      <c r="AT350" s="150"/>
      <c r="AU350" s="150"/>
      <c r="AV350" s="150"/>
      <c r="AW350" s="150"/>
      <c r="AX350" s="150"/>
      <c r="AY350" s="151"/>
      <c r="AZ350" s="151"/>
      <c r="BA350" s="151"/>
      <c r="BB350" s="151"/>
      <c r="BC350" s="151"/>
      <c r="BD350" s="151"/>
      <c r="BE350" s="151"/>
      <c r="BF350" s="151"/>
      <c r="BG350" s="151"/>
      <c r="BH350" s="151"/>
      <c r="BI350" s="151"/>
    </row>
    <row r="351" spans="1:61" x14ac:dyDescent="0.25">
      <c r="A351" s="149"/>
      <c r="B351" s="149"/>
      <c r="C351" s="149"/>
      <c r="D351" s="149"/>
      <c r="E351" s="150"/>
      <c r="F351" s="150"/>
      <c r="G351" s="149"/>
      <c r="H351" s="149"/>
      <c r="I351" s="149"/>
      <c r="J351" s="150"/>
      <c r="K351" s="150"/>
      <c r="L351" s="149"/>
      <c r="M351" s="149"/>
      <c r="N351" s="149"/>
      <c r="O351" s="150"/>
      <c r="P351" s="150"/>
      <c r="Q351" s="149"/>
      <c r="R351" s="149"/>
      <c r="S351" s="149"/>
      <c r="T351" s="150"/>
      <c r="U351" s="150"/>
      <c r="V351" s="150"/>
      <c r="W351" s="150"/>
      <c r="X351" s="150"/>
      <c r="Y351" s="150"/>
      <c r="Z351" s="150"/>
      <c r="AA351" s="150"/>
      <c r="AB351" s="150"/>
      <c r="AC351" s="149"/>
      <c r="AD351" s="149"/>
      <c r="AE351" s="149"/>
      <c r="AF351" s="150"/>
      <c r="AG351" s="150"/>
      <c r="AH351" s="149"/>
      <c r="AI351" s="149"/>
      <c r="AJ351" s="149"/>
      <c r="AK351" s="150"/>
      <c r="AL351" s="150"/>
      <c r="AM351" s="149"/>
      <c r="AN351" s="149"/>
      <c r="AO351" s="149"/>
      <c r="AP351" s="150"/>
      <c r="AQ351" s="150"/>
      <c r="AR351" s="150"/>
      <c r="AS351" s="150"/>
      <c r="AT351" s="150"/>
      <c r="AU351" s="150"/>
      <c r="AV351" s="150"/>
      <c r="AW351" s="150"/>
      <c r="AX351" s="150"/>
      <c r="AY351" s="151"/>
      <c r="AZ351" s="151"/>
      <c r="BA351" s="151"/>
      <c r="BB351" s="151"/>
      <c r="BC351" s="151"/>
      <c r="BD351" s="151"/>
      <c r="BE351" s="151"/>
      <c r="BF351" s="151"/>
      <c r="BG351" s="151"/>
      <c r="BH351" s="151"/>
      <c r="BI351" s="151"/>
    </row>
    <row r="352" spans="1:61" x14ac:dyDescent="0.25">
      <c r="A352" s="149"/>
      <c r="B352" s="149"/>
      <c r="C352" s="149"/>
      <c r="D352" s="149"/>
      <c r="E352" s="150"/>
      <c r="F352" s="150"/>
      <c r="G352" s="149"/>
      <c r="H352" s="149"/>
      <c r="I352" s="149"/>
      <c r="J352" s="150"/>
      <c r="K352" s="150"/>
      <c r="L352" s="149"/>
      <c r="M352" s="149"/>
      <c r="N352" s="149"/>
      <c r="O352" s="150"/>
      <c r="P352" s="150"/>
      <c r="Q352" s="149"/>
      <c r="R352" s="149"/>
      <c r="S352" s="149"/>
      <c r="T352" s="150"/>
      <c r="U352" s="150"/>
      <c r="V352" s="150"/>
      <c r="W352" s="150"/>
      <c r="X352" s="150"/>
      <c r="Y352" s="150"/>
      <c r="Z352" s="150"/>
      <c r="AA352" s="150"/>
      <c r="AB352" s="150"/>
      <c r="AC352" s="149"/>
      <c r="AD352" s="149"/>
      <c r="AE352" s="149"/>
      <c r="AF352" s="150"/>
      <c r="AG352" s="150"/>
      <c r="AH352" s="149"/>
      <c r="AI352" s="149"/>
      <c r="AJ352" s="149"/>
      <c r="AK352" s="150"/>
      <c r="AL352" s="150"/>
      <c r="AM352" s="149"/>
      <c r="AN352" s="149"/>
      <c r="AO352" s="149"/>
      <c r="AP352" s="150"/>
      <c r="AQ352" s="150"/>
      <c r="AR352" s="150"/>
      <c r="AS352" s="150"/>
      <c r="AT352" s="150"/>
      <c r="AU352" s="150"/>
      <c r="AV352" s="150"/>
      <c r="AW352" s="150"/>
      <c r="AX352" s="150"/>
      <c r="AY352" s="151"/>
      <c r="AZ352" s="151"/>
      <c r="BA352" s="151"/>
      <c r="BB352" s="151"/>
      <c r="BC352" s="151"/>
      <c r="BD352" s="151"/>
      <c r="BE352" s="151"/>
      <c r="BF352" s="151"/>
      <c r="BG352" s="151"/>
      <c r="BH352" s="151"/>
      <c r="BI352" s="151"/>
    </row>
    <row r="353" spans="1:61" x14ac:dyDescent="0.25">
      <c r="A353" s="149"/>
      <c r="B353" s="149"/>
      <c r="C353" s="149"/>
      <c r="D353" s="149"/>
      <c r="E353" s="150"/>
      <c r="F353" s="150"/>
      <c r="G353" s="149"/>
      <c r="H353" s="149"/>
      <c r="I353" s="149"/>
      <c r="J353" s="150"/>
      <c r="K353" s="150"/>
      <c r="L353" s="149"/>
      <c r="M353" s="149"/>
      <c r="N353" s="149"/>
      <c r="O353" s="150"/>
      <c r="P353" s="150"/>
      <c r="Q353" s="149"/>
      <c r="R353" s="149"/>
      <c r="S353" s="149"/>
      <c r="T353" s="150"/>
      <c r="U353" s="150"/>
      <c r="V353" s="150"/>
      <c r="W353" s="150"/>
      <c r="X353" s="150"/>
      <c r="Y353" s="150"/>
      <c r="Z353" s="150"/>
      <c r="AA353" s="150"/>
      <c r="AB353" s="150"/>
      <c r="AC353" s="149"/>
      <c r="AD353" s="149"/>
      <c r="AE353" s="149"/>
      <c r="AF353" s="150"/>
      <c r="AG353" s="150"/>
      <c r="AH353" s="149"/>
      <c r="AI353" s="149"/>
      <c r="AJ353" s="149"/>
      <c r="AK353" s="150"/>
      <c r="AL353" s="150"/>
      <c r="AM353" s="149"/>
      <c r="AN353" s="149"/>
      <c r="AO353" s="149"/>
      <c r="AP353" s="150"/>
      <c r="AQ353" s="150"/>
      <c r="AR353" s="150"/>
      <c r="AS353" s="150"/>
      <c r="AT353" s="150"/>
      <c r="AU353" s="150"/>
      <c r="AV353" s="150"/>
      <c r="AW353" s="150"/>
      <c r="AX353" s="150"/>
      <c r="AY353" s="151"/>
      <c r="AZ353" s="151"/>
      <c r="BA353" s="151"/>
      <c r="BB353" s="151"/>
      <c r="BC353" s="151"/>
      <c r="BD353" s="151"/>
      <c r="BE353" s="151"/>
      <c r="BF353" s="151"/>
      <c r="BG353" s="151"/>
      <c r="BH353" s="151"/>
      <c r="BI353" s="151"/>
    </row>
    <row r="354" spans="1:61" x14ac:dyDescent="0.25">
      <c r="A354" s="149"/>
      <c r="B354" s="149"/>
      <c r="C354" s="149"/>
      <c r="D354" s="149"/>
      <c r="E354" s="150"/>
      <c r="F354" s="150"/>
      <c r="G354" s="149"/>
      <c r="H354" s="149"/>
      <c r="I354" s="149"/>
      <c r="J354" s="150"/>
      <c r="K354" s="150"/>
      <c r="L354" s="149"/>
      <c r="M354" s="149"/>
      <c r="N354" s="149"/>
      <c r="O354" s="150"/>
      <c r="P354" s="150"/>
      <c r="Q354" s="149"/>
      <c r="R354" s="149"/>
      <c r="S354" s="149"/>
      <c r="T354" s="150"/>
      <c r="U354" s="150"/>
      <c r="V354" s="150"/>
      <c r="W354" s="150"/>
      <c r="X354" s="150"/>
      <c r="Y354" s="150"/>
      <c r="Z354" s="150"/>
      <c r="AA354" s="150"/>
      <c r="AB354" s="150"/>
      <c r="AC354" s="149"/>
      <c r="AD354" s="149"/>
      <c r="AE354" s="149"/>
      <c r="AF354" s="150"/>
      <c r="AG354" s="150"/>
      <c r="AH354" s="149"/>
      <c r="AI354" s="149"/>
      <c r="AJ354" s="149"/>
      <c r="AK354" s="150"/>
      <c r="AL354" s="150"/>
      <c r="AM354" s="149"/>
      <c r="AN354" s="149"/>
      <c r="AO354" s="149"/>
      <c r="AP354" s="150"/>
      <c r="AQ354" s="150"/>
      <c r="AR354" s="150"/>
      <c r="AS354" s="150"/>
      <c r="AT354" s="150"/>
      <c r="AU354" s="150"/>
      <c r="AV354" s="150"/>
      <c r="AW354" s="150"/>
      <c r="AX354" s="150"/>
      <c r="AY354" s="151"/>
      <c r="AZ354" s="151"/>
      <c r="BA354" s="151"/>
      <c r="BB354" s="151"/>
      <c r="BC354" s="151"/>
      <c r="BD354" s="151"/>
      <c r="BE354" s="151"/>
      <c r="BF354" s="151"/>
      <c r="BG354" s="151"/>
      <c r="BH354" s="151"/>
      <c r="BI354" s="151"/>
    </row>
    <row r="355" spans="1:61" x14ac:dyDescent="0.25">
      <c r="A355" s="149"/>
      <c r="B355" s="149"/>
      <c r="C355" s="149"/>
      <c r="D355" s="149"/>
      <c r="E355" s="150"/>
      <c r="F355" s="150"/>
      <c r="G355" s="149"/>
      <c r="H355" s="149"/>
      <c r="I355" s="149"/>
      <c r="J355" s="150"/>
      <c r="K355" s="150"/>
      <c r="L355" s="149"/>
      <c r="M355" s="149"/>
      <c r="N355" s="149"/>
      <c r="O355" s="150"/>
      <c r="P355" s="150"/>
      <c r="Q355" s="149"/>
      <c r="R355" s="149"/>
      <c r="S355" s="149"/>
      <c r="T355" s="150"/>
      <c r="U355" s="150"/>
      <c r="V355" s="150"/>
      <c r="W355" s="150"/>
      <c r="X355" s="150"/>
      <c r="Y355" s="150"/>
      <c r="Z355" s="150"/>
      <c r="AA355" s="150"/>
      <c r="AB355" s="150"/>
      <c r="AC355" s="149"/>
      <c r="AD355" s="149"/>
      <c r="AE355" s="149"/>
      <c r="AF355" s="150"/>
      <c r="AG355" s="150"/>
      <c r="AH355" s="149"/>
      <c r="AI355" s="149"/>
      <c r="AJ355" s="149"/>
      <c r="AK355" s="150"/>
      <c r="AL355" s="150"/>
      <c r="AM355" s="149"/>
      <c r="AN355" s="149"/>
      <c r="AO355" s="149"/>
      <c r="AP355" s="150"/>
      <c r="AQ355" s="150"/>
      <c r="AR355" s="150"/>
      <c r="AS355" s="150"/>
      <c r="AT355" s="150"/>
      <c r="AU355" s="150"/>
      <c r="AV355" s="150"/>
      <c r="AW355" s="150"/>
      <c r="AX355" s="150"/>
      <c r="AY355" s="151"/>
      <c r="AZ355" s="151"/>
      <c r="BA355" s="151"/>
      <c r="BB355" s="151"/>
      <c r="BC355" s="151"/>
      <c r="BD355" s="151"/>
      <c r="BE355" s="151"/>
      <c r="BF355" s="151"/>
      <c r="BG355" s="151"/>
      <c r="BH355" s="151"/>
      <c r="BI355" s="151"/>
    </row>
    <row r="356" spans="1:61" x14ac:dyDescent="0.25">
      <c r="A356" s="149"/>
      <c r="B356" s="149"/>
      <c r="C356" s="149"/>
      <c r="D356" s="149"/>
      <c r="E356" s="150"/>
      <c r="F356" s="150"/>
      <c r="G356" s="149"/>
      <c r="H356" s="149"/>
      <c r="I356" s="149"/>
      <c r="J356" s="150"/>
      <c r="K356" s="150"/>
      <c r="L356" s="149"/>
      <c r="M356" s="149"/>
      <c r="N356" s="149"/>
      <c r="O356" s="150"/>
      <c r="P356" s="150"/>
      <c r="Q356" s="149"/>
      <c r="R356" s="149"/>
      <c r="S356" s="149"/>
      <c r="T356" s="150"/>
      <c r="U356" s="150"/>
      <c r="V356" s="150"/>
      <c r="W356" s="150"/>
      <c r="X356" s="150"/>
      <c r="Y356" s="150"/>
      <c r="Z356" s="150"/>
      <c r="AA356" s="150"/>
      <c r="AB356" s="150"/>
      <c r="AC356" s="149"/>
      <c r="AD356" s="149"/>
      <c r="AE356" s="149"/>
      <c r="AF356" s="150"/>
      <c r="AG356" s="150"/>
      <c r="AH356" s="149"/>
      <c r="AI356" s="149"/>
      <c r="AJ356" s="149"/>
      <c r="AK356" s="150"/>
      <c r="AL356" s="150"/>
      <c r="AM356" s="149"/>
      <c r="AN356" s="149"/>
      <c r="AO356" s="149"/>
      <c r="AP356" s="150"/>
      <c r="AQ356" s="150"/>
      <c r="AR356" s="150"/>
      <c r="AS356" s="150"/>
      <c r="AT356" s="150"/>
      <c r="AU356" s="150"/>
      <c r="AV356" s="150"/>
      <c r="AW356" s="150"/>
      <c r="AX356" s="150"/>
      <c r="AY356" s="151"/>
      <c r="AZ356" s="151"/>
      <c r="BA356" s="151"/>
      <c r="BB356" s="151"/>
      <c r="BC356" s="151"/>
      <c r="BD356" s="151"/>
      <c r="BE356" s="151"/>
      <c r="BF356" s="151"/>
      <c r="BG356" s="151"/>
      <c r="BH356" s="151"/>
      <c r="BI356" s="151"/>
    </row>
    <row r="357" spans="1:61" x14ac:dyDescent="0.25">
      <c r="A357" s="149"/>
      <c r="B357" s="149"/>
      <c r="C357" s="149"/>
      <c r="D357" s="149"/>
      <c r="E357" s="150"/>
      <c r="F357" s="150"/>
      <c r="G357" s="149"/>
      <c r="H357" s="149"/>
      <c r="I357" s="149"/>
      <c r="J357" s="150"/>
      <c r="K357" s="150"/>
      <c r="L357" s="149"/>
      <c r="M357" s="149"/>
      <c r="N357" s="149"/>
      <c r="O357" s="150"/>
      <c r="P357" s="150"/>
      <c r="Q357" s="149"/>
      <c r="R357" s="149"/>
      <c r="S357" s="149"/>
      <c r="T357" s="150"/>
      <c r="U357" s="150"/>
      <c r="V357" s="150"/>
      <c r="W357" s="150"/>
      <c r="X357" s="150"/>
      <c r="Y357" s="150"/>
      <c r="Z357" s="150"/>
      <c r="AA357" s="150"/>
      <c r="AB357" s="150"/>
      <c r="AC357" s="149"/>
      <c r="AD357" s="149"/>
      <c r="AE357" s="149"/>
      <c r="AF357" s="150"/>
      <c r="AG357" s="150"/>
      <c r="AH357" s="149"/>
      <c r="AI357" s="149"/>
      <c r="AJ357" s="149"/>
      <c r="AK357" s="150"/>
      <c r="AL357" s="150"/>
      <c r="AM357" s="149"/>
      <c r="AN357" s="149"/>
      <c r="AO357" s="149"/>
      <c r="AP357" s="150"/>
      <c r="AQ357" s="150"/>
      <c r="AR357" s="150"/>
      <c r="AS357" s="150"/>
      <c r="AT357" s="150"/>
      <c r="AU357" s="150"/>
      <c r="AV357" s="150"/>
      <c r="AW357" s="150"/>
      <c r="AX357" s="150"/>
      <c r="AY357" s="151"/>
      <c r="AZ357" s="151"/>
      <c r="BA357" s="151"/>
      <c r="BB357" s="151"/>
      <c r="BC357" s="151"/>
      <c r="BD357" s="151"/>
      <c r="BE357" s="151"/>
      <c r="BF357" s="151"/>
      <c r="BG357" s="151"/>
      <c r="BH357" s="151"/>
      <c r="BI357" s="151"/>
    </row>
    <row r="358" spans="1:61" x14ac:dyDescent="0.25">
      <c r="A358" s="149"/>
      <c r="B358" s="149"/>
      <c r="C358" s="149"/>
      <c r="D358" s="149"/>
      <c r="E358" s="150"/>
      <c r="F358" s="150"/>
      <c r="G358" s="149"/>
      <c r="H358" s="149"/>
      <c r="I358" s="149"/>
      <c r="J358" s="150"/>
      <c r="K358" s="150"/>
      <c r="L358" s="149"/>
      <c r="M358" s="149"/>
      <c r="N358" s="149"/>
      <c r="O358" s="150"/>
      <c r="P358" s="150"/>
      <c r="Q358" s="149"/>
      <c r="R358" s="149"/>
      <c r="S358" s="149"/>
      <c r="T358" s="150"/>
      <c r="U358" s="150"/>
      <c r="V358" s="150"/>
      <c r="W358" s="150"/>
      <c r="X358" s="150"/>
      <c r="Y358" s="150"/>
      <c r="Z358" s="150"/>
      <c r="AA358" s="150"/>
      <c r="AB358" s="150"/>
      <c r="AC358" s="149"/>
      <c r="AD358" s="149"/>
      <c r="AE358" s="149"/>
      <c r="AF358" s="150"/>
      <c r="AG358" s="150"/>
      <c r="AH358" s="149"/>
      <c r="AI358" s="149"/>
      <c r="AJ358" s="149"/>
      <c r="AK358" s="150"/>
      <c r="AL358" s="150"/>
      <c r="AM358" s="149"/>
      <c r="AN358" s="149"/>
      <c r="AO358" s="149"/>
      <c r="AP358" s="150"/>
      <c r="AQ358" s="150"/>
      <c r="AR358" s="150"/>
      <c r="AS358" s="150"/>
      <c r="AT358" s="150"/>
      <c r="AU358" s="150"/>
      <c r="AV358" s="150"/>
      <c r="AW358" s="150"/>
      <c r="AX358" s="150"/>
      <c r="AY358" s="151"/>
      <c r="AZ358" s="151"/>
      <c r="BA358" s="151"/>
      <c r="BB358" s="151"/>
      <c r="BC358" s="151"/>
      <c r="BD358" s="151"/>
      <c r="BE358" s="151"/>
      <c r="BF358" s="151"/>
      <c r="BG358" s="151"/>
      <c r="BH358" s="151"/>
      <c r="BI358" s="151"/>
    </row>
    <row r="359" spans="1:61" x14ac:dyDescent="0.25">
      <c r="A359" s="149"/>
      <c r="B359" s="149"/>
      <c r="C359" s="149"/>
      <c r="D359" s="149"/>
      <c r="E359" s="150"/>
      <c r="F359" s="150"/>
      <c r="G359" s="149"/>
      <c r="H359" s="149"/>
      <c r="I359" s="149"/>
      <c r="J359" s="150"/>
      <c r="K359" s="150"/>
      <c r="L359" s="149"/>
      <c r="M359" s="149"/>
      <c r="N359" s="149"/>
      <c r="O359" s="150"/>
      <c r="P359" s="150"/>
      <c r="Q359" s="149"/>
      <c r="R359" s="149"/>
      <c r="S359" s="149"/>
      <c r="T359" s="150"/>
      <c r="U359" s="150"/>
      <c r="V359" s="150"/>
      <c r="W359" s="150"/>
      <c r="X359" s="150"/>
      <c r="Y359" s="150"/>
      <c r="Z359" s="150"/>
      <c r="AA359" s="150"/>
      <c r="AB359" s="150"/>
      <c r="AC359" s="149"/>
      <c r="AD359" s="149"/>
      <c r="AE359" s="149"/>
      <c r="AF359" s="150"/>
      <c r="AG359" s="150"/>
      <c r="AH359" s="149"/>
      <c r="AI359" s="149"/>
      <c r="AJ359" s="149"/>
      <c r="AK359" s="150"/>
      <c r="AL359" s="150"/>
      <c r="AM359" s="149"/>
      <c r="AN359" s="149"/>
      <c r="AO359" s="149"/>
      <c r="AP359" s="150"/>
      <c r="AQ359" s="150"/>
      <c r="AR359" s="150"/>
      <c r="AS359" s="150"/>
      <c r="AT359" s="150"/>
      <c r="AU359" s="150"/>
      <c r="AV359" s="150"/>
      <c r="AW359" s="150"/>
      <c r="AX359" s="150"/>
      <c r="AY359" s="151"/>
      <c r="AZ359" s="151"/>
      <c r="BA359" s="151"/>
      <c r="BB359" s="151"/>
      <c r="BC359" s="151"/>
      <c r="BD359" s="151"/>
      <c r="BE359" s="151"/>
      <c r="BF359" s="151"/>
      <c r="BG359" s="151"/>
      <c r="BH359" s="151"/>
      <c r="BI359" s="151"/>
    </row>
    <row r="360" spans="1:61" x14ac:dyDescent="0.25">
      <c r="A360" s="149"/>
      <c r="B360" s="149"/>
      <c r="C360" s="149"/>
      <c r="D360" s="149"/>
      <c r="E360" s="150"/>
      <c r="F360" s="150"/>
      <c r="G360" s="149"/>
      <c r="H360" s="149"/>
      <c r="I360" s="149"/>
      <c r="J360" s="150"/>
      <c r="K360" s="150"/>
      <c r="L360" s="149"/>
      <c r="M360" s="149"/>
      <c r="N360" s="149"/>
      <c r="O360" s="150"/>
      <c r="P360" s="150"/>
      <c r="Q360" s="149"/>
      <c r="R360" s="149"/>
      <c r="S360" s="149"/>
      <c r="T360" s="150"/>
      <c r="U360" s="150"/>
      <c r="V360" s="150"/>
      <c r="W360" s="150"/>
      <c r="X360" s="150"/>
      <c r="Y360" s="150"/>
      <c r="Z360" s="150"/>
      <c r="AA360" s="150"/>
      <c r="AB360" s="150"/>
      <c r="AC360" s="149"/>
      <c r="AD360" s="149"/>
      <c r="AE360" s="149"/>
      <c r="AF360" s="150"/>
      <c r="AG360" s="150"/>
      <c r="AH360" s="149"/>
      <c r="AI360" s="149"/>
      <c r="AJ360" s="149"/>
      <c r="AK360" s="150"/>
      <c r="AL360" s="150"/>
      <c r="AM360" s="149"/>
      <c r="AN360" s="149"/>
      <c r="AO360" s="149"/>
      <c r="AP360" s="150"/>
      <c r="AQ360" s="150"/>
      <c r="AR360" s="150"/>
      <c r="AS360" s="150"/>
      <c r="AT360" s="150"/>
      <c r="AU360" s="150"/>
      <c r="AV360" s="150"/>
      <c r="AW360" s="150"/>
      <c r="AX360" s="150"/>
      <c r="AY360" s="151"/>
      <c r="AZ360" s="151"/>
      <c r="BA360" s="151"/>
      <c r="BB360" s="151"/>
      <c r="BC360" s="151"/>
      <c r="BD360" s="151"/>
      <c r="BE360" s="151"/>
      <c r="BF360" s="151"/>
      <c r="BG360" s="151"/>
      <c r="BH360" s="151"/>
      <c r="BI360" s="151"/>
    </row>
    <row r="361" spans="1:61" x14ac:dyDescent="0.25">
      <c r="A361" s="149"/>
      <c r="B361" s="149"/>
      <c r="C361" s="149"/>
      <c r="D361" s="149"/>
      <c r="E361" s="150"/>
      <c r="F361" s="150"/>
      <c r="G361" s="149"/>
      <c r="H361" s="149"/>
      <c r="I361" s="149"/>
      <c r="J361" s="150"/>
      <c r="K361" s="150"/>
      <c r="L361" s="149"/>
      <c r="M361" s="149"/>
      <c r="N361" s="149"/>
      <c r="O361" s="150"/>
      <c r="P361" s="150"/>
      <c r="Q361" s="149"/>
      <c r="R361" s="149"/>
      <c r="S361" s="149"/>
      <c r="T361" s="150"/>
      <c r="U361" s="150"/>
      <c r="V361" s="150"/>
      <c r="W361" s="150"/>
      <c r="X361" s="150"/>
      <c r="Y361" s="150"/>
      <c r="Z361" s="150"/>
      <c r="AA361" s="150"/>
      <c r="AB361" s="150"/>
      <c r="AC361" s="149"/>
      <c r="AD361" s="149"/>
      <c r="AE361" s="149"/>
      <c r="AF361" s="150"/>
      <c r="AG361" s="150"/>
      <c r="AH361" s="149"/>
      <c r="AI361" s="149"/>
      <c r="AJ361" s="149"/>
      <c r="AK361" s="150"/>
      <c r="AL361" s="150"/>
      <c r="AM361" s="149"/>
      <c r="AN361" s="149"/>
      <c r="AO361" s="149"/>
      <c r="AP361" s="150"/>
      <c r="AQ361" s="150"/>
      <c r="AR361" s="150"/>
      <c r="AS361" s="150"/>
      <c r="AT361" s="150"/>
      <c r="AU361" s="150"/>
      <c r="AV361" s="150"/>
      <c r="AW361" s="150"/>
      <c r="AX361" s="150"/>
      <c r="AY361" s="151"/>
      <c r="AZ361" s="151"/>
      <c r="BA361" s="151"/>
      <c r="BB361" s="151"/>
      <c r="BC361" s="151"/>
      <c r="BD361" s="151"/>
      <c r="BE361" s="151"/>
      <c r="BF361" s="151"/>
      <c r="BG361" s="151"/>
      <c r="BH361" s="151"/>
      <c r="BI361" s="151"/>
    </row>
    <row r="362" spans="1:61" x14ac:dyDescent="0.25">
      <c r="A362" s="149"/>
      <c r="B362" s="149"/>
      <c r="C362" s="149"/>
      <c r="D362" s="149"/>
      <c r="E362" s="150"/>
      <c r="F362" s="150"/>
      <c r="G362" s="149"/>
      <c r="H362" s="149"/>
      <c r="I362" s="149"/>
      <c r="J362" s="150"/>
      <c r="K362" s="150"/>
      <c r="L362" s="149"/>
      <c r="M362" s="149"/>
      <c r="N362" s="149"/>
      <c r="O362" s="150"/>
      <c r="P362" s="150"/>
      <c r="Q362" s="149"/>
      <c r="R362" s="149"/>
      <c r="S362" s="149"/>
      <c r="T362" s="150"/>
      <c r="U362" s="150"/>
      <c r="V362" s="150"/>
      <c r="W362" s="150"/>
      <c r="X362" s="150"/>
      <c r="Y362" s="150"/>
      <c r="Z362" s="150"/>
      <c r="AA362" s="150"/>
      <c r="AB362" s="150"/>
      <c r="AC362" s="149"/>
      <c r="AD362" s="149"/>
      <c r="AE362" s="149"/>
      <c r="AF362" s="150"/>
      <c r="AG362" s="150"/>
      <c r="AH362" s="149"/>
      <c r="AI362" s="149"/>
      <c r="AJ362" s="149"/>
      <c r="AK362" s="150"/>
      <c r="AL362" s="150"/>
      <c r="AM362" s="149"/>
      <c r="AN362" s="149"/>
      <c r="AO362" s="149"/>
      <c r="AP362" s="150"/>
      <c r="AQ362" s="150"/>
      <c r="AR362" s="150"/>
      <c r="AS362" s="150"/>
      <c r="AT362" s="150"/>
      <c r="AU362" s="150"/>
      <c r="AV362" s="150"/>
      <c r="AW362" s="150"/>
      <c r="AX362" s="150"/>
      <c r="AY362" s="151"/>
      <c r="AZ362" s="151"/>
      <c r="BA362" s="151"/>
      <c r="BB362" s="151"/>
      <c r="BC362" s="151"/>
      <c r="BD362" s="151"/>
      <c r="BE362" s="151"/>
      <c r="BF362" s="151"/>
      <c r="BG362" s="151"/>
      <c r="BH362" s="151"/>
      <c r="BI362" s="151"/>
    </row>
    <row r="363" spans="1:61" x14ac:dyDescent="0.25">
      <c r="A363" s="149"/>
      <c r="B363" s="149"/>
      <c r="C363" s="149"/>
      <c r="D363" s="149"/>
      <c r="E363" s="150"/>
      <c r="F363" s="150"/>
      <c r="G363" s="149"/>
      <c r="H363" s="149"/>
      <c r="I363" s="149"/>
      <c r="J363" s="150"/>
      <c r="K363" s="150"/>
      <c r="L363" s="149"/>
      <c r="M363" s="149"/>
      <c r="N363" s="149"/>
      <c r="O363" s="150"/>
      <c r="P363" s="150"/>
      <c r="Q363" s="149"/>
      <c r="R363" s="149"/>
      <c r="S363" s="149"/>
      <c r="T363" s="150"/>
      <c r="U363" s="150"/>
      <c r="V363" s="150"/>
      <c r="W363" s="150"/>
      <c r="X363" s="150"/>
      <c r="Y363" s="150"/>
      <c r="Z363" s="150"/>
      <c r="AA363" s="150"/>
      <c r="AB363" s="150"/>
      <c r="AC363" s="149"/>
      <c r="AD363" s="149"/>
      <c r="AE363" s="149"/>
      <c r="AF363" s="150"/>
      <c r="AG363" s="150"/>
      <c r="AH363" s="149"/>
      <c r="AI363" s="149"/>
      <c r="AJ363" s="149"/>
      <c r="AK363" s="150"/>
      <c r="AL363" s="150"/>
      <c r="AM363" s="149"/>
      <c r="AN363" s="149"/>
      <c r="AO363" s="149"/>
      <c r="AP363" s="150"/>
      <c r="AQ363" s="150"/>
      <c r="AR363" s="150"/>
      <c r="AS363" s="150"/>
      <c r="AT363" s="150"/>
      <c r="AU363" s="150"/>
      <c r="AV363" s="150"/>
      <c r="AW363" s="150"/>
      <c r="AX363" s="150"/>
      <c r="AY363" s="151"/>
      <c r="AZ363" s="151"/>
      <c r="BA363" s="151"/>
      <c r="BB363" s="151"/>
      <c r="BC363" s="151"/>
      <c r="BD363" s="151"/>
      <c r="BE363" s="151"/>
      <c r="BF363" s="151"/>
      <c r="BG363" s="151"/>
      <c r="BH363" s="151"/>
      <c r="BI363" s="151"/>
    </row>
    <row r="364" spans="1:61" x14ac:dyDescent="0.25">
      <c r="A364" s="149"/>
      <c r="B364" s="149"/>
      <c r="C364" s="149"/>
      <c r="D364" s="149"/>
      <c r="E364" s="150"/>
      <c r="F364" s="150"/>
      <c r="G364" s="149"/>
      <c r="H364" s="149"/>
      <c r="I364" s="149"/>
      <c r="J364" s="150"/>
      <c r="K364" s="150"/>
      <c r="L364" s="149"/>
      <c r="M364" s="149"/>
      <c r="N364" s="149"/>
      <c r="O364" s="150"/>
      <c r="P364" s="150"/>
      <c r="Q364" s="149"/>
      <c r="R364" s="149"/>
      <c r="S364" s="149"/>
      <c r="T364" s="150"/>
      <c r="U364" s="150"/>
      <c r="V364" s="150"/>
      <c r="W364" s="150"/>
      <c r="X364" s="150"/>
      <c r="Y364" s="150"/>
      <c r="Z364" s="150"/>
      <c r="AA364" s="150"/>
      <c r="AB364" s="150"/>
      <c r="AC364" s="149"/>
      <c r="AD364" s="149"/>
      <c r="AE364" s="149"/>
      <c r="AF364" s="150"/>
      <c r="AG364" s="150"/>
      <c r="AH364" s="149"/>
      <c r="AI364" s="149"/>
      <c r="AJ364" s="149"/>
      <c r="AK364" s="150"/>
      <c r="AL364" s="150"/>
      <c r="AM364" s="149"/>
      <c r="AN364" s="149"/>
      <c r="AO364" s="149"/>
      <c r="AP364" s="150"/>
      <c r="AQ364" s="150"/>
      <c r="AR364" s="150"/>
      <c r="AS364" s="150"/>
      <c r="AT364" s="150"/>
      <c r="AU364" s="150"/>
      <c r="AV364" s="150"/>
      <c r="AW364" s="150"/>
      <c r="AX364" s="150"/>
      <c r="AY364" s="151"/>
      <c r="AZ364" s="151"/>
      <c r="BA364" s="151"/>
      <c r="BB364" s="151"/>
      <c r="BC364" s="151"/>
      <c r="BD364" s="151"/>
      <c r="BE364" s="151"/>
      <c r="BF364" s="151"/>
      <c r="BG364" s="151"/>
      <c r="BH364" s="151"/>
      <c r="BI364" s="151"/>
    </row>
    <row r="365" spans="1:61" x14ac:dyDescent="0.25">
      <c r="A365" s="149"/>
      <c r="B365" s="149"/>
      <c r="C365" s="149"/>
      <c r="D365" s="149"/>
      <c r="E365" s="150"/>
      <c r="F365" s="150"/>
      <c r="G365" s="149"/>
      <c r="H365" s="149"/>
      <c r="I365" s="149"/>
      <c r="J365" s="150"/>
      <c r="K365" s="150"/>
      <c r="L365" s="149"/>
      <c r="M365" s="149"/>
      <c r="N365" s="149"/>
      <c r="O365" s="150"/>
      <c r="P365" s="150"/>
      <c r="Q365" s="149"/>
      <c r="R365" s="149"/>
      <c r="S365" s="149"/>
      <c r="T365" s="150"/>
      <c r="U365" s="150"/>
      <c r="V365" s="150"/>
      <c r="W365" s="150"/>
      <c r="X365" s="150"/>
      <c r="Y365" s="150"/>
      <c r="Z365" s="150"/>
      <c r="AA365" s="150"/>
      <c r="AB365" s="150"/>
      <c r="AC365" s="149"/>
      <c r="AD365" s="149"/>
      <c r="AE365" s="149"/>
      <c r="AF365" s="150"/>
      <c r="AG365" s="150"/>
      <c r="AH365" s="149"/>
      <c r="AI365" s="149"/>
      <c r="AJ365" s="149"/>
      <c r="AK365" s="150"/>
      <c r="AL365" s="150"/>
      <c r="AM365" s="149"/>
      <c r="AN365" s="149"/>
      <c r="AO365" s="149"/>
      <c r="AP365" s="150"/>
      <c r="AQ365" s="150"/>
      <c r="AR365" s="150"/>
      <c r="AS365" s="150"/>
      <c r="AT365" s="150"/>
      <c r="AU365" s="150"/>
      <c r="AV365" s="150"/>
      <c r="AW365" s="150"/>
      <c r="AX365" s="150"/>
      <c r="AY365" s="151"/>
      <c r="AZ365" s="151"/>
      <c r="BA365" s="151"/>
      <c r="BB365" s="151"/>
      <c r="BC365" s="151"/>
      <c r="BD365" s="151"/>
      <c r="BE365" s="151"/>
      <c r="BF365" s="151"/>
      <c r="BG365" s="151"/>
      <c r="BH365" s="151"/>
      <c r="BI365" s="151"/>
    </row>
    <row r="366" spans="1:61" x14ac:dyDescent="0.25">
      <c r="A366" s="149"/>
      <c r="B366" s="149"/>
      <c r="C366" s="149"/>
      <c r="D366" s="149"/>
      <c r="E366" s="150"/>
      <c r="F366" s="150"/>
      <c r="G366" s="149"/>
      <c r="H366" s="149"/>
      <c r="I366" s="149"/>
      <c r="J366" s="150"/>
      <c r="K366" s="150"/>
      <c r="L366" s="149"/>
      <c r="M366" s="149"/>
      <c r="N366" s="149"/>
      <c r="O366" s="150"/>
      <c r="P366" s="150"/>
      <c r="Q366" s="149"/>
      <c r="R366" s="149"/>
      <c r="S366" s="149"/>
      <c r="T366" s="150"/>
      <c r="U366" s="150"/>
      <c r="V366" s="150"/>
      <c r="W366" s="150"/>
      <c r="X366" s="150"/>
      <c r="Y366" s="150"/>
      <c r="Z366" s="150"/>
      <c r="AA366" s="150"/>
      <c r="AB366" s="150"/>
      <c r="AC366" s="149"/>
      <c r="AD366" s="149"/>
      <c r="AE366" s="149"/>
      <c r="AF366" s="150"/>
      <c r="AG366" s="150"/>
      <c r="AH366" s="149"/>
      <c r="AI366" s="149"/>
      <c r="AJ366" s="149"/>
      <c r="AK366" s="150"/>
      <c r="AL366" s="150"/>
      <c r="AM366" s="149"/>
      <c r="AN366" s="149"/>
      <c r="AO366" s="149"/>
      <c r="AP366" s="150"/>
      <c r="AQ366" s="150"/>
      <c r="AR366" s="150"/>
      <c r="AS366" s="150"/>
      <c r="AT366" s="150"/>
      <c r="AU366" s="150"/>
      <c r="AV366" s="150"/>
      <c r="AW366" s="150"/>
      <c r="AX366" s="150"/>
      <c r="AY366" s="151"/>
      <c r="AZ366" s="151"/>
      <c r="BA366" s="151"/>
      <c r="BB366" s="151"/>
      <c r="BC366" s="151"/>
      <c r="BD366" s="151"/>
      <c r="BE366" s="151"/>
      <c r="BF366" s="151"/>
      <c r="BG366" s="151"/>
      <c r="BH366" s="151"/>
      <c r="BI366" s="151"/>
    </row>
    <row r="367" spans="1:61" x14ac:dyDescent="0.25">
      <c r="A367" s="149"/>
      <c r="B367" s="149"/>
      <c r="C367" s="149"/>
      <c r="D367" s="149"/>
      <c r="E367" s="150"/>
      <c r="F367" s="150"/>
      <c r="G367" s="149"/>
      <c r="H367" s="149"/>
      <c r="I367" s="149"/>
      <c r="J367" s="150"/>
      <c r="K367" s="150"/>
      <c r="L367" s="149"/>
      <c r="M367" s="149"/>
      <c r="N367" s="149"/>
      <c r="O367" s="150"/>
      <c r="P367" s="150"/>
      <c r="Q367" s="149"/>
      <c r="R367" s="149"/>
      <c r="S367" s="149"/>
      <c r="T367" s="150"/>
      <c r="U367" s="150"/>
      <c r="V367" s="150"/>
      <c r="W367" s="150"/>
      <c r="X367" s="150"/>
      <c r="Y367" s="150"/>
      <c r="Z367" s="150"/>
      <c r="AA367" s="150"/>
      <c r="AB367" s="150"/>
      <c r="AC367" s="149"/>
      <c r="AD367" s="149"/>
      <c r="AE367" s="149"/>
      <c r="AF367" s="150"/>
      <c r="AG367" s="150"/>
      <c r="AH367" s="149"/>
      <c r="AI367" s="149"/>
      <c r="AJ367" s="149"/>
      <c r="AK367" s="150"/>
      <c r="AL367" s="150"/>
      <c r="AM367" s="149"/>
      <c r="AN367" s="149"/>
      <c r="AO367" s="149"/>
      <c r="AP367" s="150"/>
      <c r="AQ367" s="150"/>
      <c r="AR367" s="150"/>
      <c r="AS367" s="150"/>
      <c r="AT367" s="150"/>
      <c r="AU367" s="150"/>
      <c r="AV367" s="150"/>
      <c r="AW367" s="150"/>
      <c r="AX367" s="150"/>
      <c r="AY367" s="151"/>
      <c r="AZ367" s="151"/>
      <c r="BA367" s="151"/>
      <c r="BB367" s="151"/>
      <c r="BC367" s="151"/>
      <c r="BD367" s="151"/>
      <c r="BE367" s="151"/>
      <c r="BF367" s="151"/>
      <c r="BG367" s="151"/>
      <c r="BH367" s="151"/>
      <c r="BI367" s="151"/>
    </row>
    <row r="368" spans="1:61" x14ac:dyDescent="0.25">
      <c r="A368" s="149"/>
      <c r="B368" s="149"/>
      <c r="C368" s="149"/>
      <c r="D368" s="149"/>
      <c r="E368" s="150"/>
      <c r="F368" s="150"/>
      <c r="G368" s="149"/>
      <c r="H368" s="149"/>
      <c r="I368" s="149"/>
      <c r="J368" s="150"/>
      <c r="K368" s="150"/>
      <c r="L368" s="149"/>
      <c r="M368" s="149"/>
      <c r="N368" s="149"/>
      <c r="O368" s="150"/>
      <c r="P368" s="150"/>
      <c r="Q368" s="149"/>
      <c r="R368" s="149"/>
      <c r="S368" s="149"/>
      <c r="T368" s="150"/>
      <c r="U368" s="150"/>
      <c r="V368" s="150"/>
      <c r="W368" s="150"/>
      <c r="X368" s="150"/>
      <c r="Y368" s="150"/>
      <c r="Z368" s="150"/>
      <c r="AA368" s="150"/>
      <c r="AB368" s="150"/>
      <c r="AC368" s="149"/>
      <c r="AD368" s="149"/>
      <c r="AE368" s="149"/>
      <c r="AF368" s="150"/>
      <c r="AG368" s="150"/>
      <c r="AH368" s="149"/>
      <c r="AI368" s="149"/>
      <c r="AJ368" s="149"/>
      <c r="AK368" s="150"/>
      <c r="AL368" s="150"/>
      <c r="AM368" s="149"/>
      <c r="AN368" s="149"/>
      <c r="AO368" s="149"/>
      <c r="AP368" s="150"/>
      <c r="AQ368" s="150"/>
      <c r="AR368" s="150"/>
      <c r="AS368" s="150"/>
      <c r="AT368" s="150"/>
      <c r="AU368" s="150"/>
      <c r="AV368" s="150"/>
      <c r="AW368" s="150"/>
      <c r="AX368" s="150"/>
      <c r="AY368" s="151"/>
      <c r="AZ368" s="151"/>
      <c r="BA368" s="151"/>
      <c r="BB368" s="151"/>
      <c r="BC368" s="151"/>
      <c r="BD368" s="151"/>
      <c r="BE368" s="151"/>
      <c r="BF368" s="151"/>
      <c r="BG368" s="151"/>
      <c r="BH368" s="151"/>
      <c r="BI368" s="151"/>
    </row>
    <row r="369" spans="1:61" x14ac:dyDescent="0.25">
      <c r="A369" s="149"/>
      <c r="B369" s="149"/>
      <c r="C369" s="149"/>
      <c r="D369" s="149"/>
      <c r="E369" s="150"/>
      <c r="F369" s="150"/>
      <c r="G369" s="149"/>
      <c r="H369" s="149"/>
      <c r="I369" s="149"/>
      <c r="J369" s="150"/>
      <c r="K369" s="150"/>
      <c r="L369" s="149"/>
      <c r="M369" s="149"/>
      <c r="N369" s="149"/>
      <c r="O369" s="150"/>
      <c r="P369" s="150"/>
      <c r="Q369" s="149"/>
      <c r="R369" s="149"/>
      <c r="S369" s="149"/>
      <c r="T369" s="150"/>
      <c r="U369" s="150"/>
      <c r="V369" s="150"/>
      <c r="W369" s="150"/>
      <c r="X369" s="150"/>
      <c r="Y369" s="150"/>
      <c r="Z369" s="150"/>
      <c r="AA369" s="150"/>
      <c r="AB369" s="150"/>
      <c r="AC369" s="149"/>
      <c r="AD369" s="149"/>
      <c r="AE369" s="149"/>
      <c r="AF369" s="150"/>
      <c r="AG369" s="150"/>
      <c r="AH369" s="149"/>
      <c r="AI369" s="149"/>
      <c r="AJ369" s="149"/>
      <c r="AK369" s="150"/>
      <c r="AL369" s="150"/>
      <c r="AM369" s="149"/>
      <c r="AN369" s="149"/>
      <c r="AO369" s="149"/>
      <c r="AP369" s="150"/>
      <c r="AQ369" s="150"/>
      <c r="AR369" s="150"/>
      <c r="AS369" s="150"/>
      <c r="AT369" s="150"/>
      <c r="AU369" s="150"/>
      <c r="AV369" s="150"/>
      <c r="AW369" s="150"/>
      <c r="AX369" s="150"/>
      <c r="AY369" s="151"/>
      <c r="AZ369" s="151"/>
      <c r="BA369" s="151"/>
      <c r="BB369" s="151"/>
      <c r="BC369" s="151"/>
      <c r="BD369" s="151"/>
      <c r="BE369" s="151"/>
      <c r="BF369" s="151"/>
      <c r="BG369" s="151"/>
      <c r="BH369" s="151"/>
      <c r="BI369" s="151"/>
    </row>
    <row r="370" spans="1:61" x14ac:dyDescent="0.25">
      <c r="A370" s="149"/>
      <c r="B370" s="149"/>
      <c r="C370" s="149"/>
      <c r="D370" s="149"/>
      <c r="E370" s="150"/>
      <c r="F370" s="150"/>
      <c r="G370" s="149"/>
      <c r="H370" s="149"/>
      <c r="I370" s="149"/>
      <c r="J370" s="150"/>
      <c r="K370" s="150"/>
      <c r="L370" s="149"/>
      <c r="M370" s="149"/>
      <c r="N370" s="149"/>
      <c r="O370" s="150"/>
      <c r="P370" s="150"/>
      <c r="Q370" s="149"/>
      <c r="R370" s="149"/>
      <c r="S370" s="149"/>
      <c r="T370" s="150"/>
      <c r="U370" s="150"/>
      <c r="V370" s="150"/>
      <c r="W370" s="150"/>
      <c r="X370" s="150"/>
      <c r="Y370" s="150"/>
      <c r="Z370" s="150"/>
      <c r="AA370" s="150"/>
      <c r="AB370" s="150"/>
      <c r="AC370" s="149"/>
      <c r="AD370" s="149"/>
      <c r="AE370" s="149"/>
      <c r="AF370" s="150"/>
      <c r="AG370" s="150"/>
      <c r="AH370" s="149"/>
      <c r="AI370" s="149"/>
      <c r="AJ370" s="149"/>
      <c r="AK370" s="150"/>
      <c r="AL370" s="150"/>
      <c r="AM370" s="149"/>
      <c r="AN370" s="149"/>
      <c r="AO370" s="149"/>
      <c r="AP370" s="150"/>
      <c r="AQ370" s="150"/>
      <c r="AR370" s="150"/>
      <c r="AS370" s="150"/>
      <c r="AT370" s="150"/>
      <c r="AU370" s="150"/>
      <c r="AV370" s="150"/>
      <c r="AW370" s="150"/>
      <c r="AX370" s="150"/>
      <c r="AY370" s="151"/>
      <c r="AZ370" s="151"/>
      <c r="BA370" s="151"/>
      <c r="BB370" s="151"/>
      <c r="BC370" s="151"/>
      <c r="BD370" s="151"/>
      <c r="BE370" s="151"/>
      <c r="BF370" s="151"/>
      <c r="BG370" s="151"/>
      <c r="BH370" s="151"/>
      <c r="BI370" s="151"/>
    </row>
    <row r="371" spans="1:61" x14ac:dyDescent="0.25">
      <c r="A371" s="149"/>
      <c r="B371" s="149"/>
      <c r="C371" s="149"/>
      <c r="D371" s="149"/>
      <c r="E371" s="150"/>
      <c r="F371" s="150"/>
      <c r="G371" s="149"/>
      <c r="H371" s="149"/>
      <c r="I371" s="149"/>
      <c r="J371" s="150"/>
      <c r="K371" s="150"/>
      <c r="L371" s="149"/>
      <c r="M371" s="149"/>
      <c r="N371" s="149"/>
      <c r="O371" s="150"/>
      <c r="P371" s="150"/>
      <c r="Q371" s="149"/>
      <c r="R371" s="149"/>
      <c r="S371" s="149"/>
      <c r="T371" s="150"/>
      <c r="U371" s="150"/>
      <c r="V371" s="150"/>
      <c r="W371" s="150"/>
      <c r="X371" s="150"/>
      <c r="Y371" s="150"/>
      <c r="Z371" s="150"/>
      <c r="AA371" s="150"/>
      <c r="AB371" s="150"/>
      <c r="AC371" s="149"/>
      <c r="AD371" s="149"/>
      <c r="AE371" s="149"/>
      <c r="AF371" s="150"/>
      <c r="AG371" s="150"/>
      <c r="AH371" s="149"/>
      <c r="AI371" s="149"/>
      <c r="AJ371" s="149"/>
      <c r="AK371" s="150"/>
      <c r="AL371" s="150"/>
      <c r="AM371" s="149"/>
      <c r="AN371" s="149"/>
      <c r="AO371" s="149"/>
      <c r="AP371" s="150"/>
      <c r="AQ371" s="150"/>
      <c r="AR371" s="150"/>
      <c r="AS371" s="150"/>
      <c r="AT371" s="150"/>
      <c r="AU371" s="150"/>
      <c r="AV371" s="150"/>
      <c r="AW371" s="150"/>
      <c r="AX371" s="150"/>
      <c r="AY371" s="151"/>
      <c r="AZ371" s="151"/>
      <c r="BA371" s="151"/>
      <c r="BB371" s="151"/>
      <c r="BC371" s="151"/>
      <c r="BD371" s="151"/>
      <c r="BE371" s="151"/>
      <c r="BF371" s="151"/>
      <c r="BG371" s="151"/>
      <c r="BH371" s="151"/>
      <c r="BI371" s="151"/>
    </row>
    <row r="372" spans="1:61" x14ac:dyDescent="0.25">
      <c r="A372" s="149"/>
      <c r="B372" s="149"/>
      <c r="C372" s="149"/>
      <c r="D372" s="149"/>
      <c r="E372" s="150"/>
      <c r="F372" s="150"/>
      <c r="G372" s="149"/>
      <c r="H372" s="149"/>
      <c r="I372" s="149"/>
      <c r="J372" s="150"/>
      <c r="K372" s="150"/>
      <c r="L372" s="149"/>
      <c r="M372" s="149"/>
      <c r="N372" s="149"/>
      <c r="O372" s="150"/>
      <c r="P372" s="150"/>
      <c r="Q372" s="149"/>
      <c r="R372" s="149"/>
      <c r="S372" s="149"/>
      <c r="T372" s="150"/>
      <c r="U372" s="150"/>
      <c r="V372" s="150"/>
      <c r="W372" s="150"/>
      <c r="X372" s="150"/>
      <c r="Y372" s="150"/>
      <c r="Z372" s="150"/>
      <c r="AA372" s="150"/>
      <c r="AB372" s="150"/>
      <c r="AC372" s="149"/>
      <c r="AD372" s="149"/>
      <c r="AE372" s="149"/>
      <c r="AF372" s="150"/>
      <c r="AG372" s="150"/>
      <c r="AH372" s="149"/>
      <c r="AI372" s="149"/>
      <c r="AJ372" s="149"/>
      <c r="AK372" s="150"/>
      <c r="AL372" s="150"/>
      <c r="AM372" s="149"/>
      <c r="AN372" s="149"/>
      <c r="AO372" s="149"/>
      <c r="AP372" s="150"/>
      <c r="AQ372" s="150"/>
      <c r="AR372" s="150"/>
      <c r="AS372" s="150"/>
      <c r="AT372" s="150"/>
      <c r="AU372" s="150"/>
      <c r="AV372" s="150"/>
      <c r="AW372" s="150"/>
      <c r="AX372" s="150"/>
      <c r="AY372" s="151"/>
      <c r="AZ372" s="151"/>
      <c r="BA372" s="151"/>
      <c r="BB372" s="151"/>
      <c r="BC372" s="151"/>
      <c r="BD372" s="151"/>
      <c r="BE372" s="151"/>
      <c r="BF372" s="151"/>
      <c r="BG372" s="151"/>
      <c r="BH372" s="151"/>
      <c r="BI372" s="151"/>
    </row>
    <row r="373" spans="1:61" x14ac:dyDescent="0.25">
      <c r="A373" s="149"/>
      <c r="B373" s="149"/>
      <c r="C373" s="149"/>
      <c r="D373" s="149"/>
      <c r="E373" s="150"/>
      <c r="F373" s="150"/>
      <c r="G373" s="149"/>
      <c r="H373" s="149"/>
      <c r="I373" s="149"/>
      <c r="J373" s="150"/>
      <c r="K373" s="150"/>
      <c r="L373" s="149"/>
      <c r="M373" s="149"/>
      <c r="N373" s="149"/>
      <c r="O373" s="150"/>
      <c r="P373" s="150"/>
      <c r="Q373" s="149"/>
      <c r="R373" s="149"/>
      <c r="S373" s="149"/>
      <c r="T373" s="150"/>
      <c r="U373" s="150"/>
      <c r="V373" s="150"/>
      <c r="W373" s="150"/>
      <c r="X373" s="150"/>
      <c r="Y373" s="150"/>
      <c r="Z373" s="150"/>
      <c r="AA373" s="150"/>
      <c r="AB373" s="150"/>
      <c r="AC373" s="149"/>
      <c r="AD373" s="149"/>
      <c r="AE373" s="149"/>
      <c r="AF373" s="150"/>
      <c r="AG373" s="150"/>
      <c r="AH373" s="149"/>
      <c r="AI373" s="149"/>
      <c r="AJ373" s="149"/>
      <c r="AK373" s="150"/>
      <c r="AL373" s="150"/>
      <c r="AM373" s="149"/>
      <c r="AN373" s="149"/>
      <c r="AO373" s="149"/>
      <c r="AP373" s="150"/>
      <c r="AQ373" s="150"/>
      <c r="AR373" s="150"/>
      <c r="AS373" s="150"/>
      <c r="AT373" s="150"/>
      <c r="AU373" s="150"/>
      <c r="AV373" s="150"/>
      <c r="AW373" s="150"/>
      <c r="AX373" s="150"/>
      <c r="AY373" s="151"/>
      <c r="AZ373" s="151"/>
      <c r="BA373" s="151"/>
      <c r="BB373" s="151"/>
      <c r="BC373" s="151"/>
      <c r="BD373" s="151"/>
      <c r="BE373" s="151"/>
      <c r="BF373" s="151"/>
      <c r="BG373" s="151"/>
      <c r="BH373" s="151"/>
      <c r="BI373" s="151"/>
    </row>
    <row r="374" spans="1:61" x14ac:dyDescent="0.25">
      <c r="A374" s="149"/>
      <c r="B374" s="149"/>
      <c r="C374" s="149"/>
      <c r="D374" s="149"/>
      <c r="E374" s="150"/>
      <c r="F374" s="150"/>
      <c r="G374" s="149"/>
      <c r="H374" s="149"/>
      <c r="I374" s="149"/>
      <c r="J374" s="150"/>
      <c r="K374" s="150"/>
      <c r="L374" s="149"/>
      <c r="M374" s="149"/>
      <c r="N374" s="149"/>
      <c r="O374" s="150"/>
      <c r="P374" s="150"/>
      <c r="Q374" s="149"/>
      <c r="R374" s="149"/>
      <c r="S374" s="149"/>
      <c r="T374" s="150"/>
      <c r="U374" s="150"/>
      <c r="V374" s="150"/>
      <c r="W374" s="150"/>
      <c r="X374" s="150"/>
      <c r="Y374" s="150"/>
      <c r="Z374" s="150"/>
      <c r="AA374" s="150"/>
      <c r="AB374" s="150"/>
      <c r="AC374" s="149"/>
      <c r="AD374" s="149"/>
      <c r="AE374" s="149"/>
      <c r="AF374" s="150"/>
      <c r="AG374" s="150"/>
      <c r="AH374" s="149"/>
      <c r="AI374" s="149"/>
      <c r="AJ374" s="149"/>
      <c r="AK374" s="150"/>
      <c r="AL374" s="150"/>
      <c r="AM374" s="149"/>
      <c r="AN374" s="149"/>
      <c r="AO374" s="149"/>
      <c r="AP374" s="150"/>
      <c r="AQ374" s="150"/>
      <c r="AR374" s="150"/>
      <c r="AS374" s="150"/>
      <c r="AT374" s="150"/>
      <c r="AU374" s="150"/>
      <c r="AV374" s="150"/>
      <c r="AW374" s="150"/>
      <c r="AX374" s="150"/>
      <c r="AY374" s="151"/>
      <c r="AZ374" s="151"/>
      <c r="BA374" s="151"/>
      <c r="BB374" s="151"/>
      <c r="BC374" s="151"/>
      <c r="BD374" s="151"/>
      <c r="BE374" s="151"/>
      <c r="BF374" s="151"/>
      <c r="BG374" s="151"/>
      <c r="BH374" s="151"/>
      <c r="BI374" s="151"/>
    </row>
    <row r="375" spans="1:61" x14ac:dyDescent="0.25">
      <c r="A375" s="149"/>
      <c r="B375" s="149"/>
      <c r="C375" s="149"/>
      <c r="D375" s="149"/>
      <c r="E375" s="150"/>
      <c r="F375" s="150"/>
      <c r="G375" s="149"/>
      <c r="H375" s="149"/>
      <c r="I375" s="149"/>
      <c r="J375" s="150"/>
      <c r="K375" s="150"/>
      <c r="L375" s="149"/>
      <c r="M375" s="149"/>
      <c r="N375" s="149"/>
      <c r="O375" s="150"/>
      <c r="P375" s="150"/>
      <c r="Q375" s="149"/>
      <c r="R375" s="149"/>
      <c r="S375" s="149"/>
      <c r="T375" s="150"/>
      <c r="U375" s="150"/>
      <c r="V375" s="150"/>
      <c r="W375" s="150"/>
      <c r="X375" s="150"/>
      <c r="Y375" s="150"/>
      <c r="Z375" s="150"/>
      <c r="AA375" s="150"/>
      <c r="AB375" s="150"/>
      <c r="AC375" s="149"/>
      <c r="AD375" s="149"/>
      <c r="AE375" s="149"/>
      <c r="AF375" s="150"/>
      <c r="AG375" s="150"/>
      <c r="AH375" s="149"/>
      <c r="AI375" s="149"/>
      <c r="AJ375" s="149"/>
      <c r="AK375" s="150"/>
      <c r="AL375" s="150"/>
      <c r="AM375" s="149"/>
      <c r="AN375" s="149"/>
      <c r="AO375" s="149"/>
      <c r="AP375" s="150"/>
      <c r="AQ375" s="150"/>
      <c r="AR375" s="150"/>
      <c r="AS375" s="150"/>
      <c r="AT375" s="150"/>
      <c r="AU375" s="150"/>
      <c r="AV375" s="150"/>
      <c r="AW375" s="150"/>
      <c r="AX375" s="150"/>
      <c r="AY375" s="151"/>
      <c r="AZ375" s="151"/>
      <c r="BA375" s="151"/>
      <c r="BB375" s="151"/>
      <c r="BC375" s="151"/>
      <c r="BD375" s="151"/>
      <c r="BE375" s="151"/>
      <c r="BF375" s="151"/>
      <c r="BG375" s="151"/>
      <c r="BH375" s="151"/>
      <c r="BI375" s="151"/>
    </row>
    <row r="376" spans="1:61" x14ac:dyDescent="0.25">
      <c r="A376" s="149"/>
      <c r="B376" s="149"/>
      <c r="C376" s="149"/>
      <c r="D376" s="149"/>
      <c r="E376" s="150"/>
      <c r="F376" s="150"/>
      <c r="G376" s="149"/>
      <c r="H376" s="149"/>
      <c r="I376" s="149"/>
      <c r="J376" s="150"/>
      <c r="K376" s="150"/>
      <c r="L376" s="149"/>
      <c r="M376" s="149"/>
      <c r="N376" s="149"/>
      <c r="O376" s="150"/>
      <c r="P376" s="150"/>
      <c r="Q376" s="149"/>
      <c r="R376" s="149"/>
      <c r="S376" s="149"/>
      <c r="T376" s="150"/>
      <c r="U376" s="150"/>
      <c r="V376" s="150"/>
      <c r="W376" s="150"/>
      <c r="X376" s="150"/>
      <c r="Y376" s="150"/>
      <c r="Z376" s="150"/>
      <c r="AA376" s="150"/>
      <c r="AB376" s="150"/>
      <c r="AC376" s="149"/>
      <c r="AD376" s="149"/>
      <c r="AE376" s="149"/>
      <c r="AF376" s="150"/>
      <c r="AG376" s="150"/>
      <c r="AH376" s="149"/>
      <c r="AI376" s="149"/>
      <c r="AJ376" s="149"/>
      <c r="AK376" s="150"/>
      <c r="AL376" s="150"/>
      <c r="AM376" s="149"/>
      <c r="AN376" s="149"/>
      <c r="AO376" s="149"/>
      <c r="AP376" s="150"/>
      <c r="AQ376" s="150"/>
      <c r="AR376" s="150"/>
      <c r="AS376" s="150"/>
      <c r="AT376" s="150"/>
      <c r="AU376" s="150"/>
      <c r="AV376" s="150"/>
      <c r="AW376" s="150"/>
      <c r="AX376" s="150"/>
      <c r="AY376" s="151"/>
      <c r="AZ376" s="151"/>
      <c r="BA376" s="151"/>
      <c r="BB376" s="151"/>
      <c r="BC376" s="151"/>
      <c r="BD376" s="151"/>
      <c r="BE376" s="151"/>
      <c r="BF376" s="151"/>
      <c r="BG376" s="151"/>
      <c r="BH376" s="151"/>
      <c r="BI376" s="151"/>
    </row>
    <row r="377" spans="1:61" x14ac:dyDescent="0.25">
      <c r="A377" s="149"/>
      <c r="B377" s="149"/>
      <c r="C377" s="149"/>
      <c r="D377" s="149"/>
      <c r="E377" s="150"/>
      <c r="F377" s="150"/>
      <c r="G377" s="149"/>
      <c r="H377" s="149"/>
      <c r="I377" s="149"/>
      <c r="J377" s="150"/>
      <c r="K377" s="150"/>
      <c r="L377" s="149"/>
      <c r="M377" s="149"/>
      <c r="N377" s="149"/>
      <c r="O377" s="150"/>
      <c r="P377" s="150"/>
      <c r="Q377" s="149"/>
      <c r="R377" s="149"/>
      <c r="S377" s="149"/>
      <c r="T377" s="150"/>
      <c r="U377" s="150"/>
      <c r="V377" s="150"/>
      <c r="W377" s="150"/>
      <c r="X377" s="150"/>
      <c r="Y377" s="150"/>
      <c r="Z377" s="150"/>
      <c r="AA377" s="150"/>
      <c r="AB377" s="150"/>
      <c r="AC377" s="149"/>
      <c r="AD377" s="149"/>
      <c r="AE377" s="149"/>
      <c r="AF377" s="150"/>
      <c r="AG377" s="150"/>
      <c r="AH377" s="149"/>
      <c r="AI377" s="149"/>
      <c r="AJ377" s="149"/>
      <c r="AK377" s="150"/>
      <c r="AL377" s="150"/>
      <c r="AM377" s="149"/>
      <c r="AN377" s="149"/>
      <c r="AO377" s="149"/>
      <c r="AP377" s="150"/>
      <c r="AQ377" s="150"/>
      <c r="AR377" s="150"/>
      <c r="AS377" s="150"/>
      <c r="AT377" s="150"/>
      <c r="AU377" s="150"/>
      <c r="AV377" s="150"/>
      <c r="AW377" s="150"/>
      <c r="AX377" s="150"/>
      <c r="AY377" s="151"/>
      <c r="AZ377" s="151"/>
      <c r="BA377" s="151"/>
      <c r="BB377" s="151"/>
      <c r="BC377" s="151"/>
      <c r="BD377" s="151"/>
      <c r="BE377" s="151"/>
      <c r="BF377" s="151"/>
      <c r="BG377" s="151"/>
      <c r="BH377" s="151"/>
      <c r="BI377" s="151"/>
    </row>
    <row r="378" spans="1:61" x14ac:dyDescent="0.25">
      <c r="A378" s="149"/>
      <c r="B378" s="149"/>
      <c r="C378" s="149"/>
      <c r="D378" s="149"/>
      <c r="E378" s="150"/>
      <c r="F378" s="150"/>
      <c r="G378" s="149"/>
      <c r="H378" s="149"/>
      <c r="I378" s="149"/>
      <c r="J378" s="150"/>
      <c r="K378" s="150"/>
      <c r="L378" s="149"/>
      <c r="M378" s="149"/>
      <c r="N378" s="149"/>
      <c r="O378" s="150"/>
      <c r="P378" s="150"/>
      <c r="Q378" s="149"/>
      <c r="R378" s="149"/>
      <c r="S378" s="149"/>
      <c r="T378" s="150"/>
      <c r="U378" s="150"/>
      <c r="V378" s="150"/>
      <c r="W378" s="150"/>
      <c r="X378" s="150"/>
      <c r="Y378" s="150"/>
      <c r="Z378" s="150"/>
      <c r="AA378" s="150"/>
      <c r="AB378" s="150"/>
      <c r="AC378" s="149"/>
      <c r="AD378" s="149"/>
      <c r="AE378" s="149"/>
      <c r="AF378" s="150"/>
      <c r="AG378" s="150"/>
      <c r="AH378" s="149"/>
      <c r="AI378" s="149"/>
      <c r="AJ378" s="149"/>
      <c r="AK378" s="150"/>
      <c r="AL378" s="150"/>
      <c r="AM378" s="149"/>
      <c r="AN378" s="149"/>
      <c r="AO378" s="149"/>
      <c r="AP378" s="150"/>
      <c r="AQ378" s="150"/>
      <c r="AR378" s="150"/>
      <c r="AS378" s="150"/>
      <c r="AT378" s="150"/>
      <c r="AU378" s="150"/>
      <c r="AV378" s="150"/>
      <c r="AW378" s="150"/>
      <c r="AX378" s="150"/>
      <c r="AY378" s="151"/>
      <c r="AZ378" s="151"/>
      <c r="BA378" s="151"/>
      <c r="BB378" s="151"/>
      <c r="BC378" s="151"/>
      <c r="BD378" s="151"/>
      <c r="BE378" s="151"/>
      <c r="BF378" s="151"/>
      <c r="BG378" s="151"/>
      <c r="BH378" s="151"/>
      <c r="BI378" s="151"/>
    </row>
    <row r="379" spans="1:61" x14ac:dyDescent="0.25">
      <c r="A379" s="149"/>
      <c r="B379" s="149"/>
      <c r="C379" s="149"/>
      <c r="D379" s="149"/>
      <c r="E379" s="150"/>
      <c r="F379" s="150"/>
      <c r="G379" s="149"/>
      <c r="H379" s="149"/>
      <c r="I379" s="149"/>
      <c r="J379" s="150"/>
      <c r="K379" s="150"/>
      <c r="L379" s="149"/>
      <c r="M379" s="149"/>
      <c r="N379" s="149"/>
      <c r="O379" s="150"/>
      <c r="P379" s="150"/>
      <c r="Q379" s="149"/>
      <c r="R379" s="149"/>
      <c r="S379" s="149"/>
      <c r="T379" s="150"/>
      <c r="U379" s="150"/>
      <c r="V379" s="150"/>
      <c r="W379" s="150"/>
      <c r="X379" s="150"/>
      <c r="Y379" s="150"/>
      <c r="Z379" s="150"/>
      <c r="AA379" s="150"/>
      <c r="AB379" s="150"/>
      <c r="AC379" s="149"/>
      <c r="AD379" s="149"/>
      <c r="AE379" s="149"/>
      <c r="AF379" s="150"/>
      <c r="AG379" s="150"/>
      <c r="AH379" s="149"/>
      <c r="AI379" s="149"/>
      <c r="AJ379" s="149"/>
      <c r="AK379" s="150"/>
      <c r="AL379" s="150"/>
      <c r="AM379" s="149"/>
      <c r="AN379" s="149"/>
      <c r="AO379" s="149"/>
      <c r="AP379" s="150"/>
      <c r="AQ379" s="150"/>
      <c r="AR379" s="150"/>
      <c r="AS379" s="150"/>
      <c r="AT379" s="150"/>
      <c r="AU379" s="150"/>
      <c r="AV379" s="150"/>
      <c r="AW379" s="150"/>
      <c r="AX379" s="150"/>
      <c r="AY379" s="151"/>
      <c r="AZ379" s="151"/>
      <c r="BA379" s="151"/>
      <c r="BB379" s="151"/>
      <c r="BC379" s="151"/>
      <c r="BD379" s="151"/>
      <c r="BE379" s="151"/>
      <c r="BF379" s="151"/>
      <c r="BG379" s="151"/>
      <c r="BH379" s="151"/>
      <c r="BI379" s="151"/>
    </row>
    <row r="380" spans="1:61" x14ac:dyDescent="0.25">
      <c r="A380" s="149"/>
      <c r="B380" s="149"/>
      <c r="C380" s="149"/>
      <c r="D380" s="149"/>
      <c r="E380" s="150"/>
      <c r="F380" s="150"/>
      <c r="G380" s="149"/>
      <c r="H380" s="149"/>
      <c r="I380" s="149"/>
      <c r="J380" s="150"/>
      <c r="K380" s="150"/>
      <c r="L380" s="149"/>
      <c r="M380" s="149"/>
      <c r="N380" s="149"/>
      <c r="O380" s="150"/>
      <c r="P380" s="150"/>
      <c r="Q380" s="149"/>
      <c r="R380" s="149"/>
      <c r="S380" s="149"/>
      <c r="T380" s="150"/>
      <c r="U380" s="150"/>
      <c r="V380" s="150"/>
      <c r="W380" s="150"/>
      <c r="X380" s="150"/>
      <c r="Y380" s="150"/>
      <c r="Z380" s="150"/>
      <c r="AA380" s="150"/>
      <c r="AB380" s="150"/>
      <c r="AC380" s="149"/>
      <c r="AD380" s="149"/>
      <c r="AE380" s="149"/>
      <c r="AF380" s="150"/>
      <c r="AG380" s="150"/>
      <c r="AH380" s="149"/>
      <c r="AI380" s="149"/>
      <c r="AJ380" s="149"/>
      <c r="AK380" s="150"/>
      <c r="AL380" s="150"/>
      <c r="AM380" s="149"/>
      <c r="AN380" s="149"/>
      <c r="AO380" s="149"/>
      <c r="AP380" s="150"/>
      <c r="AQ380" s="150"/>
      <c r="AR380" s="150"/>
      <c r="AS380" s="150"/>
      <c r="AT380" s="150"/>
      <c r="AU380" s="150"/>
      <c r="AV380" s="150"/>
      <c r="AW380" s="150"/>
      <c r="AX380" s="150"/>
      <c r="AY380" s="151"/>
      <c r="AZ380" s="151"/>
      <c r="BA380" s="151"/>
      <c r="BB380" s="151"/>
      <c r="BC380" s="151"/>
      <c r="BD380" s="151"/>
      <c r="BE380" s="151"/>
      <c r="BF380" s="151"/>
      <c r="BG380" s="151"/>
      <c r="BH380" s="151"/>
      <c r="BI380" s="151"/>
    </row>
    <row r="381" spans="1:61" x14ac:dyDescent="0.25">
      <c r="A381" s="149"/>
      <c r="B381" s="149"/>
      <c r="C381" s="149"/>
      <c r="D381" s="149"/>
      <c r="E381" s="150"/>
      <c r="F381" s="150"/>
      <c r="G381" s="149"/>
      <c r="H381" s="149"/>
      <c r="I381" s="149"/>
      <c r="J381" s="150"/>
      <c r="K381" s="150"/>
      <c r="L381" s="149"/>
      <c r="M381" s="149"/>
      <c r="N381" s="149"/>
      <c r="O381" s="150"/>
      <c r="P381" s="150"/>
      <c r="Q381" s="149"/>
      <c r="R381" s="149"/>
      <c r="S381" s="149"/>
      <c r="T381" s="150"/>
      <c r="U381" s="150"/>
      <c r="V381" s="150"/>
      <c r="W381" s="150"/>
      <c r="X381" s="150"/>
      <c r="Y381" s="150"/>
      <c r="Z381" s="150"/>
      <c r="AA381" s="150"/>
      <c r="AB381" s="150"/>
      <c r="AC381" s="149"/>
      <c r="AD381" s="149"/>
      <c r="AE381" s="149"/>
      <c r="AF381" s="150"/>
      <c r="AG381" s="150"/>
      <c r="AH381" s="149"/>
      <c r="AI381" s="149"/>
      <c r="AJ381" s="149"/>
      <c r="AK381" s="150"/>
      <c r="AL381" s="150"/>
      <c r="AM381" s="149"/>
      <c r="AN381" s="149"/>
      <c r="AO381" s="149"/>
      <c r="AP381" s="150"/>
      <c r="AQ381" s="150"/>
      <c r="AR381" s="150"/>
      <c r="AS381" s="150"/>
      <c r="AT381" s="150"/>
      <c r="AU381" s="150"/>
      <c r="AV381" s="150"/>
      <c r="AW381" s="150"/>
      <c r="AX381" s="150"/>
      <c r="AY381" s="151"/>
      <c r="AZ381" s="151"/>
      <c r="BA381" s="151"/>
      <c r="BB381" s="151"/>
      <c r="BC381" s="151"/>
      <c r="BD381" s="151"/>
      <c r="BE381" s="151"/>
      <c r="BF381" s="151"/>
      <c r="BG381" s="151"/>
      <c r="BH381" s="151"/>
      <c r="BI381" s="151"/>
    </row>
    <row r="382" spans="1:61" x14ac:dyDescent="0.25">
      <c r="A382" s="149"/>
      <c r="B382" s="149"/>
      <c r="C382" s="149"/>
      <c r="D382" s="149"/>
      <c r="E382" s="150"/>
      <c r="F382" s="150"/>
      <c r="G382" s="149"/>
      <c r="H382" s="149"/>
      <c r="I382" s="149"/>
      <c r="J382" s="150"/>
      <c r="K382" s="150"/>
      <c r="L382" s="149"/>
      <c r="M382" s="149"/>
      <c r="N382" s="149"/>
      <c r="O382" s="150"/>
      <c r="P382" s="150"/>
      <c r="Q382" s="149"/>
      <c r="R382" s="149"/>
      <c r="S382" s="149"/>
      <c r="T382" s="150"/>
      <c r="U382" s="150"/>
      <c r="V382" s="150"/>
      <c r="W382" s="150"/>
      <c r="X382" s="150"/>
      <c r="Y382" s="150"/>
      <c r="Z382" s="150"/>
      <c r="AA382" s="150"/>
      <c r="AB382" s="150"/>
      <c r="AC382" s="149"/>
      <c r="AD382" s="149"/>
      <c r="AE382" s="149"/>
      <c r="AF382" s="150"/>
      <c r="AG382" s="150"/>
      <c r="AH382" s="149"/>
      <c r="AI382" s="149"/>
      <c r="AJ382" s="149"/>
      <c r="AK382" s="150"/>
      <c r="AL382" s="150"/>
      <c r="AM382" s="149"/>
      <c r="AN382" s="149"/>
      <c r="AO382" s="149"/>
      <c r="AP382" s="150"/>
      <c r="AQ382" s="150"/>
      <c r="AR382" s="150"/>
      <c r="AS382" s="150"/>
      <c r="AT382" s="150"/>
      <c r="AU382" s="150"/>
      <c r="AV382" s="150"/>
      <c r="AW382" s="150"/>
      <c r="AX382" s="150"/>
      <c r="AY382" s="151"/>
      <c r="AZ382" s="151"/>
      <c r="BA382" s="151"/>
      <c r="BB382" s="151"/>
      <c r="BC382" s="151"/>
      <c r="BD382" s="151"/>
      <c r="BE382" s="151"/>
      <c r="BF382" s="151"/>
      <c r="BG382" s="151"/>
      <c r="BH382" s="151"/>
      <c r="BI382" s="151"/>
    </row>
    <row r="383" spans="1:61" x14ac:dyDescent="0.25">
      <c r="A383" s="149"/>
      <c r="B383" s="149"/>
      <c r="C383" s="149"/>
      <c r="D383" s="149"/>
      <c r="E383" s="150"/>
      <c r="F383" s="150"/>
      <c r="G383" s="149"/>
      <c r="H383" s="149"/>
      <c r="I383" s="149"/>
      <c r="J383" s="150"/>
      <c r="K383" s="150"/>
      <c r="L383" s="149"/>
      <c r="M383" s="149"/>
      <c r="N383" s="149"/>
      <c r="O383" s="150"/>
      <c r="P383" s="150"/>
      <c r="Q383" s="149"/>
      <c r="R383" s="149"/>
      <c r="S383" s="149"/>
      <c r="T383" s="150"/>
      <c r="U383" s="150"/>
      <c r="V383" s="150"/>
      <c r="W383" s="150"/>
      <c r="X383" s="150"/>
      <c r="Y383" s="150"/>
      <c r="Z383" s="150"/>
      <c r="AA383" s="150"/>
      <c r="AB383" s="150"/>
      <c r="AC383" s="149"/>
      <c r="AD383" s="149"/>
      <c r="AE383" s="149"/>
      <c r="AF383" s="150"/>
      <c r="AG383" s="150"/>
      <c r="AH383" s="149"/>
      <c r="AI383" s="149"/>
      <c r="AJ383" s="149"/>
      <c r="AK383" s="150"/>
      <c r="AL383" s="150"/>
      <c r="AM383" s="149"/>
      <c r="AN383" s="149"/>
      <c r="AO383" s="149"/>
      <c r="AP383" s="150"/>
      <c r="AQ383" s="150"/>
      <c r="AR383" s="150"/>
      <c r="AS383" s="150"/>
      <c r="AT383" s="150"/>
      <c r="AU383" s="150"/>
      <c r="AV383" s="150"/>
      <c r="AW383" s="150"/>
      <c r="AX383" s="150"/>
      <c r="AY383" s="151"/>
      <c r="AZ383" s="151"/>
      <c r="BA383" s="151"/>
      <c r="BB383" s="151"/>
      <c r="BC383" s="151"/>
      <c r="BD383" s="151"/>
      <c r="BE383" s="151"/>
      <c r="BF383" s="151"/>
      <c r="BG383" s="151"/>
      <c r="BH383" s="151"/>
      <c r="BI383" s="151"/>
    </row>
    <row r="384" spans="1:61" x14ac:dyDescent="0.25">
      <c r="A384" s="149"/>
      <c r="B384" s="149"/>
      <c r="C384" s="149"/>
      <c r="D384" s="149"/>
      <c r="E384" s="150"/>
      <c r="F384" s="150"/>
      <c r="G384" s="149"/>
      <c r="H384" s="149"/>
      <c r="I384" s="149"/>
      <c r="J384" s="150"/>
      <c r="K384" s="150"/>
      <c r="L384" s="149"/>
      <c r="M384" s="149"/>
      <c r="N384" s="149"/>
      <c r="O384" s="150"/>
      <c r="P384" s="150"/>
      <c r="Q384" s="149"/>
      <c r="R384" s="149"/>
      <c r="S384" s="149"/>
      <c r="T384" s="150"/>
      <c r="U384" s="150"/>
      <c r="V384" s="150"/>
      <c r="W384" s="150"/>
      <c r="X384" s="150"/>
      <c r="Y384" s="150"/>
      <c r="Z384" s="150"/>
      <c r="AA384" s="150"/>
      <c r="AB384" s="150"/>
      <c r="AC384" s="149"/>
      <c r="AD384" s="149"/>
      <c r="AE384" s="149"/>
      <c r="AF384" s="150"/>
      <c r="AG384" s="150"/>
      <c r="AH384" s="149"/>
      <c r="AI384" s="149"/>
      <c r="AJ384" s="149"/>
      <c r="AK384" s="150"/>
      <c r="AL384" s="150"/>
      <c r="AM384" s="149"/>
      <c r="AN384" s="149"/>
      <c r="AO384" s="149"/>
      <c r="AP384" s="150"/>
      <c r="AQ384" s="150"/>
      <c r="AR384" s="150"/>
      <c r="AS384" s="150"/>
      <c r="AT384" s="150"/>
      <c r="AU384" s="150"/>
      <c r="AV384" s="150"/>
      <c r="AW384" s="150"/>
      <c r="AX384" s="150"/>
      <c r="AY384" s="151"/>
      <c r="AZ384" s="151"/>
      <c r="BA384" s="151"/>
      <c r="BB384" s="151"/>
      <c r="BC384" s="151"/>
      <c r="BD384" s="151"/>
      <c r="BE384" s="151"/>
      <c r="BF384" s="151"/>
      <c r="BG384" s="151"/>
      <c r="BH384" s="151"/>
      <c r="BI384" s="151"/>
    </row>
    <row r="385" spans="1:61" x14ac:dyDescent="0.25">
      <c r="A385" s="149"/>
      <c r="B385" s="149"/>
      <c r="C385" s="149"/>
      <c r="D385" s="149"/>
      <c r="E385" s="150"/>
      <c r="F385" s="150"/>
      <c r="G385" s="149"/>
      <c r="H385" s="149"/>
      <c r="I385" s="149"/>
      <c r="J385" s="150"/>
      <c r="K385" s="150"/>
      <c r="L385" s="149"/>
      <c r="M385" s="149"/>
      <c r="N385" s="149"/>
      <c r="O385" s="150"/>
      <c r="P385" s="150"/>
      <c r="Q385" s="149"/>
      <c r="R385" s="149"/>
      <c r="S385" s="149"/>
      <c r="T385" s="150"/>
      <c r="U385" s="150"/>
      <c r="V385" s="150"/>
      <c r="W385" s="150"/>
      <c r="X385" s="150"/>
      <c r="Y385" s="150"/>
      <c r="Z385" s="150"/>
      <c r="AA385" s="150"/>
      <c r="AB385" s="150"/>
      <c r="AC385" s="149"/>
      <c r="AD385" s="149"/>
      <c r="AE385" s="149"/>
      <c r="AF385" s="150"/>
      <c r="AG385" s="150"/>
      <c r="AH385" s="149"/>
      <c r="AI385" s="149"/>
      <c r="AJ385" s="149"/>
      <c r="AK385" s="150"/>
      <c r="AL385" s="150"/>
      <c r="AM385" s="149"/>
      <c r="AN385" s="149"/>
      <c r="AO385" s="149"/>
      <c r="AP385" s="150"/>
      <c r="AQ385" s="150"/>
      <c r="AR385" s="150"/>
      <c r="AS385" s="150"/>
      <c r="AT385" s="150"/>
      <c r="AU385" s="150"/>
      <c r="AV385" s="150"/>
      <c r="AW385" s="150"/>
      <c r="AX385" s="150"/>
      <c r="AY385" s="151"/>
      <c r="AZ385" s="151"/>
      <c r="BA385" s="151"/>
      <c r="BB385" s="151"/>
      <c r="BC385" s="151"/>
      <c r="BD385" s="151"/>
      <c r="BE385" s="151"/>
      <c r="BF385" s="151"/>
      <c r="BG385" s="151"/>
      <c r="BH385" s="151"/>
      <c r="BI385" s="151"/>
    </row>
    <row r="386" spans="1:61" x14ac:dyDescent="0.25">
      <c r="A386" s="149"/>
      <c r="B386" s="149"/>
      <c r="C386" s="149"/>
      <c r="D386" s="149"/>
      <c r="E386" s="150"/>
      <c r="F386" s="150"/>
      <c r="G386" s="149"/>
      <c r="H386" s="149"/>
      <c r="I386" s="149"/>
      <c r="J386" s="150"/>
      <c r="K386" s="150"/>
      <c r="L386" s="149"/>
      <c r="M386" s="149"/>
      <c r="N386" s="149"/>
      <c r="O386" s="150"/>
      <c r="P386" s="150"/>
      <c r="Q386" s="149"/>
      <c r="R386" s="149"/>
      <c r="S386" s="149"/>
      <c r="T386" s="150"/>
      <c r="U386" s="150"/>
      <c r="V386" s="150"/>
      <c r="W386" s="150"/>
      <c r="X386" s="150"/>
      <c r="Y386" s="150"/>
      <c r="Z386" s="150"/>
      <c r="AA386" s="150"/>
      <c r="AB386" s="150"/>
      <c r="AC386" s="149"/>
      <c r="AD386" s="149"/>
      <c r="AE386" s="149"/>
      <c r="AF386" s="150"/>
      <c r="AG386" s="150"/>
      <c r="AH386" s="149"/>
      <c r="AI386" s="149"/>
      <c r="AJ386" s="149"/>
      <c r="AK386" s="150"/>
      <c r="AL386" s="150"/>
      <c r="AM386" s="149"/>
      <c r="AN386" s="149"/>
      <c r="AO386" s="149"/>
      <c r="AP386" s="150"/>
      <c r="AQ386" s="150"/>
      <c r="AR386" s="150"/>
      <c r="AS386" s="150"/>
      <c r="AT386" s="150"/>
      <c r="AU386" s="150"/>
      <c r="AV386" s="150"/>
      <c r="AW386" s="150"/>
      <c r="AX386" s="150"/>
      <c r="AY386" s="151"/>
      <c r="AZ386" s="151"/>
      <c r="BA386" s="151"/>
      <c r="BB386" s="151"/>
      <c r="BC386" s="151"/>
      <c r="BD386" s="151"/>
      <c r="BE386" s="151"/>
      <c r="BF386" s="151"/>
      <c r="BG386" s="151"/>
      <c r="BH386" s="151"/>
      <c r="BI386" s="151"/>
    </row>
    <row r="387" spans="1:61" x14ac:dyDescent="0.25">
      <c r="A387" s="149"/>
      <c r="B387" s="149"/>
      <c r="C387" s="149"/>
      <c r="D387" s="149"/>
      <c r="E387" s="150"/>
      <c r="F387" s="150"/>
      <c r="G387" s="149"/>
      <c r="H387" s="149"/>
      <c r="I387" s="149"/>
      <c r="J387" s="150"/>
      <c r="K387" s="150"/>
      <c r="L387" s="149"/>
      <c r="M387" s="149"/>
      <c r="N387" s="149"/>
      <c r="O387" s="150"/>
      <c r="P387" s="150"/>
      <c r="Q387" s="149"/>
      <c r="R387" s="149"/>
      <c r="S387" s="149"/>
      <c r="T387" s="150"/>
      <c r="U387" s="150"/>
      <c r="V387" s="150"/>
      <c r="W387" s="150"/>
      <c r="X387" s="150"/>
      <c r="Y387" s="150"/>
      <c r="Z387" s="150"/>
      <c r="AA387" s="150"/>
      <c r="AB387" s="150"/>
      <c r="AC387" s="149"/>
      <c r="AD387" s="149"/>
      <c r="AE387" s="149"/>
      <c r="AF387" s="150"/>
      <c r="AG387" s="150"/>
      <c r="AH387" s="149"/>
      <c r="AI387" s="149"/>
      <c r="AJ387" s="149"/>
      <c r="AK387" s="150"/>
      <c r="AL387" s="150"/>
      <c r="AM387" s="149"/>
      <c r="AN387" s="149"/>
      <c r="AO387" s="149"/>
      <c r="AP387" s="150"/>
      <c r="AQ387" s="150"/>
      <c r="AR387" s="150"/>
      <c r="AS387" s="150"/>
      <c r="AT387" s="150"/>
      <c r="AU387" s="150"/>
      <c r="AV387" s="150"/>
      <c r="AW387" s="150"/>
      <c r="AX387" s="150"/>
      <c r="AY387" s="151"/>
      <c r="AZ387" s="151"/>
      <c r="BA387" s="151"/>
      <c r="BB387" s="151"/>
      <c r="BC387" s="151"/>
      <c r="BD387" s="151"/>
      <c r="BE387" s="151"/>
      <c r="BF387" s="151"/>
      <c r="BG387" s="151"/>
      <c r="BH387" s="151"/>
      <c r="BI387" s="151"/>
    </row>
    <row r="388" spans="1:61" x14ac:dyDescent="0.25">
      <c r="A388" s="149"/>
      <c r="B388" s="149"/>
      <c r="C388" s="149"/>
      <c r="D388" s="149"/>
      <c r="E388" s="150"/>
      <c r="F388" s="150"/>
      <c r="G388" s="149"/>
      <c r="H388" s="149"/>
      <c r="I388" s="149"/>
      <c r="J388" s="150"/>
      <c r="K388" s="150"/>
      <c r="L388" s="149"/>
      <c r="M388" s="149"/>
      <c r="N388" s="149"/>
      <c r="O388" s="150"/>
      <c r="P388" s="150"/>
      <c r="Q388" s="149"/>
      <c r="R388" s="149"/>
      <c r="S388" s="149"/>
      <c r="T388" s="150"/>
      <c r="U388" s="150"/>
      <c r="V388" s="150"/>
      <c r="W388" s="150"/>
      <c r="X388" s="150"/>
      <c r="Y388" s="150"/>
      <c r="Z388" s="150"/>
      <c r="AA388" s="150"/>
      <c r="AB388" s="150"/>
      <c r="AC388" s="149"/>
      <c r="AD388" s="149"/>
      <c r="AE388" s="149"/>
      <c r="AF388" s="150"/>
      <c r="AG388" s="150"/>
      <c r="AH388" s="149"/>
      <c r="AI388" s="149"/>
      <c r="AJ388" s="149"/>
      <c r="AK388" s="150"/>
      <c r="AL388" s="150"/>
      <c r="AM388" s="149"/>
      <c r="AN388" s="149"/>
      <c r="AO388" s="149"/>
      <c r="AP388" s="150"/>
      <c r="AQ388" s="150"/>
      <c r="AR388" s="150"/>
      <c r="AS388" s="150"/>
      <c r="AT388" s="150"/>
      <c r="AU388" s="150"/>
      <c r="AV388" s="150"/>
      <c r="AW388" s="150"/>
      <c r="AX388" s="150"/>
      <c r="AY388" s="151"/>
      <c r="AZ388" s="151"/>
      <c r="BA388" s="151"/>
      <c r="BB388" s="151"/>
      <c r="BC388" s="151"/>
      <c r="BD388" s="151"/>
      <c r="BE388" s="151"/>
      <c r="BF388" s="151"/>
      <c r="BG388" s="151"/>
      <c r="BH388" s="151"/>
      <c r="BI388" s="151"/>
    </row>
    <row r="389" spans="1:61" x14ac:dyDescent="0.25">
      <c r="A389" s="149"/>
      <c r="B389" s="149"/>
      <c r="C389" s="149"/>
      <c r="D389" s="149"/>
      <c r="E389" s="150"/>
      <c r="F389" s="150"/>
      <c r="G389" s="149"/>
      <c r="H389" s="149"/>
      <c r="I389" s="149"/>
      <c r="J389" s="150"/>
      <c r="K389" s="150"/>
      <c r="L389" s="149"/>
      <c r="M389" s="149"/>
      <c r="N389" s="149"/>
      <c r="O389" s="150"/>
      <c r="P389" s="150"/>
      <c r="Q389" s="149"/>
      <c r="R389" s="149"/>
      <c r="S389" s="149"/>
      <c r="T389" s="150"/>
      <c r="U389" s="150"/>
      <c r="V389" s="150"/>
      <c r="W389" s="150"/>
      <c r="X389" s="150"/>
      <c r="Y389" s="150"/>
      <c r="Z389" s="150"/>
      <c r="AA389" s="150"/>
      <c r="AB389" s="150"/>
      <c r="AC389" s="149"/>
      <c r="AD389" s="149"/>
      <c r="AE389" s="149"/>
      <c r="AF389" s="150"/>
      <c r="AG389" s="150"/>
      <c r="AH389" s="149"/>
      <c r="AI389" s="149"/>
      <c r="AJ389" s="149"/>
      <c r="AK389" s="150"/>
      <c r="AL389" s="150"/>
      <c r="AM389" s="149"/>
      <c r="AN389" s="149"/>
      <c r="AO389" s="149"/>
      <c r="AP389" s="150"/>
      <c r="AQ389" s="150"/>
      <c r="AR389" s="150"/>
      <c r="AS389" s="150"/>
      <c r="AT389" s="150"/>
      <c r="AU389" s="150"/>
      <c r="AV389" s="150"/>
      <c r="AW389" s="150"/>
      <c r="AX389" s="150"/>
      <c r="AY389" s="151"/>
      <c r="AZ389" s="151"/>
      <c r="BA389" s="151"/>
      <c r="BB389" s="151"/>
      <c r="BC389" s="151"/>
      <c r="BD389" s="151"/>
      <c r="BE389" s="151"/>
      <c r="BF389" s="151"/>
      <c r="BG389" s="151"/>
      <c r="BH389" s="151"/>
      <c r="BI389" s="151"/>
    </row>
    <row r="390" spans="1:61" x14ac:dyDescent="0.25">
      <c r="A390" s="149"/>
      <c r="B390" s="149"/>
      <c r="C390" s="149"/>
      <c r="D390" s="149"/>
      <c r="E390" s="150"/>
      <c r="F390" s="150"/>
      <c r="G390" s="149"/>
      <c r="H390" s="149"/>
      <c r="I390" s="149"/>
      <c r="J390" s="150"/>
      <c r="K390" s="150"/>
      <c r="L390" s="149"/>
      <c r="M390" s="149"/>
      <c r="N390" s="149"/>
      <c r="O390" s="150"/>
      <c r="P390" s="150"/>
      <c r="Q390" s="149"/>
      <c r="R390" s="149"/>
      <c r="S390" s="149"/>
      <c r="T390" s="150"/>
      <c r="U390" s="150"/>
      <c r="V390" s="150"/>
      <c r="W390" s="150"/>
      <c r="X390" s="150"/>
      <c r="Y390" s="150"/>
      <c r="Z390" s="150"/>
      <c r="AA390" s="150"/>
      <c r="AB390" s="150"/>
      <c r="AC390" s="149"/>
      <c r="AD390" s="149"/>
      <c r="AE390" s="149"/>
      <c r="AF390" s="150"/>
      <c r="AG390" s="150"/>
      <c r="AH390" s="149"/>
      <c r="AI390" s="149"/>
      <c r="AJ390" s="149"/>
      <c r="AK390" s="150"/>
      <c r="AL390" s="150"/>
      <c r="AM390" s="149"/>
      <c r="AN390" s="149"/>
      <c r="AO390" s="149"/>
      <c r="AP390" s="150"/>
      <c r="AQ390" s="150"/>
      <c r="AR390" s="150"/>
      <c r="AS390" s="150"/>
      <c r="AT390" s="150"/>
      <c r="AU390" s="150"/>
      <c r="AV390" s="150"/>
      <c r="AW390" s="150"/>
      <c r="AX390" s="150"/>
      <c r="AY390" s="151"/>
      <c r="AZ390" s="151"/>
      <c r="BA390" s="151"/>
      <c r="BB390" s="151"/>
      <c r="BC390" s="151"/>
      <c r="BD390" s="151"/>
      <c r="BE390" s="151"/>
      <c r="BF390" s="151"/>
      <c r="BG390" s="151"/>
      <c r="BH390" s="151"/>
      <c r="BI390" s="151"/>
    </row>
    <row r="391" spans="1:61" x14ac:dyDescent="0.25">
      <c r="A391" s="149"/>
      <c r="B391" s="149"/>
      <c r="C391" s="149"/>
      <c r="D391" s="149"/>
      <c r="E391" s="150"/>
      <c r="F391" s="150"/>
      <c r="G391" s="149"/>
      <c r="H391" s="149"/>
      <c r="I391" s="149"/>
      <c r="J391" s="150"/>
      <c r="K391" s="150"/>
      <c r="L391" s="149"/>
      <c r="M391" s="149"/>
      <c r="N391" s="149"/>
      <c r="O391" s="150"/>
      <c r="P391" s="150"/>
      <c r="Q391" s="149"/>
      <c r="R391" s="149"/>
      <c r="S391" s="149"/>
      <c r="T391" s="150"/>
      <c r="U391" s="150"/>
      <c r="V391" s="150"/>
      <c r="W391" s="150"/>
      <c r="X391" s="150"/>
      <c r="Y391" s="150"/>
      <c r="Z391" s="150"/>
      <c r="AA391" s="150"/>
      <c r="AB391" s="150"/>
      <c r="AC391" s="149"/>
      <c r="AD391" s="149"/>
      <c r="AE391" s="149"/>
      <c r="AF391" s="150"/>
      <c r="AG391" s="150"/>
      <c r="AH391" s="149"/>
      <c r="AI391" s="149"/>
      <c r="AJ391" s="149"/>
      <c r="AK391" s="150"/>
      <c r="AL391" s="150"/>
      <c r="AM391" s="149"/>
      <c r="AN391" s="149"/>
      <c r="AO391" s="149"/>
      <c r="AP391" s="150"/>
      <c r="AQ391" s="150"/>
      <c r="AR391" s="150"/>
      <c r="AS391" s="150"/>
      <c r="AT391" s="150"/>
      <c r="AU391" s="150"/>
      <c r="AV391" s="150"/>
      <c r="AW391" s="150"/>
      <c r="AX391" s="150"/>
      <c r="AY391" s="151"/>
      <c r="AZ391" s="151"/>
      <c r="BA391" s="151"/>
      <c r="BB391" s="151"/>
      <c r="BC391" s="151"/>
      <c r="BD391" s="151"/>
      <c r="BE391" s="151"/>
      <c r="BF391" s="151"/>
      <c r="BG391" s="151"/>
      <c r="BH391" s="151"/>
      <c r="BI391" s="151"/>
    </row>
    <row r="392" spans="1:61" x14ac:dyDescent="0.25">
      <c r="A392" s="149"/>
      <c r="B392" s="149"/>
      <c r="C392" s="149"/>
      <c r="D392" s="149"/>
      <c r="E392" s="150"/>
      <c r="F392" s="150"/>
      <c r="G392" s="149"/>
      <c r="H392" s="149"/>
      <c r="I392" s="149"/>
      <c r="J392" s="150"/>
      <c r="K392" s="150"/>
      <c r="L392" s="149"/>
      <c r="M392" s="149"/>
      <c r="N392" s="149"/>
      <c r="O392" s="150"/>
      <c r="P392" s="150"/>
      <c r="Q392" s="149"/>
      <c r="R392" s="149"/>
      <c r="S392" s="149"/>
      <c r="T392" s="150"/>
      <c r="U392" s="150"/>
      <c r="V392" s="150"/>
      <c r="W392" s="150"/>
      <c r="X392" s="150"/>
      <c r="Y392" s="150"/>
      <c r="Z392" s="150"/>
      <c r="AA392" s="150"/>
      <c r="AB392" s="150"/>
      <c r="AC392" s="149"/>
      <c r="AD392" s="149"/>
      <c r="AE392" s="149"/>
      <c r="AF392" s="150"/>
      <c r="AG392" s="150"/>
      <c r="AH392" s="149"/>
      <c r="AI392" s="149"/>
      <c r="AJ392" s="149"/>
      <c r="AK392" s="150"/>
      <c r="AL392" s="150"/>
      <c r="AM392" s="149"/>
      <c r="AN392" s="149"/>
      <c r="AO392" s="149"/>
      <c r="AP392" s="150"/>
      <c r="AQ392" s="150"/>
      <c r="AR392" s="150"/>
      <c r="AS392" s="150"/>
      <c r="AT392" s="150"/>
      <c r="AU392" s="150"/>
      <c r="AV392" s="150"/>
      <c r="AW392" s="150"/>
      <c r="AX392" s="150"/>
      <c r="AY392" s="151"/>
      <c r="AZ392" s="151"/>
      <c r="BA392" s="151"/>
      <c r="BB392" s="151"/>
      <c r="BC392" s="151"/>
      <c r="BD392" s="151"/>
      <c r="BE392" s="151"/>
      <c r="BF392" s="151"/>
      <c r="BG392" s="151"/>
      <c r="BH392" s="151"/>
      <c r="BI392" s="151"/>
    </row>
    <row r="393" spans="1:61" x14ac:dyDescent="0.25">
      <c r="A393" s="149"/>
      <c r="B393" s="149"/>
      <c r="C393" s="149"/>
      <c r="D393" s="149"/>
      <c r="E393" s="150"/>
      <c r="F393" s="150"/>
      <c r="G393" s="149"/>
      <c r="H393" s="149"/>
      <c r="I393" s="149"/>
      <c r="J393" s="150"/>
      <c r="K393" s="150"/>
      <c r="L393" s="149"/>
      <c r="M393" s="149"/>
      <c r="N393" s="149"/>
      <c r="O393" s="150"/>
      <c r="P393" s="150"/>
      <c r="Q393" s="149"/>
      <c r="R393" s="149"/>
      <c r="S393" s="149"/>
      <c r="T393" s="150"/>
      <c r="U393" s="150"/>
      <c r="V393" s="150"/>
      <c r="W393" s="150"/>
      <c r="X393" s="150"/>
      <c r="Y393" s="150"/>
      <c r="Z393" s="150"/>
      <c r="AA393" s="150"/>
      <c r="AB393" s="150"/>
      <c r="AC393" s="149"/>
      <c r="AD393" s="149"/>
      <c r="AE393" s="149"/>
      <c r="AF393" s="150"/>
      <c r="AG393" s="150"/>
      <c r="AH393" s="149"/>
      <c r="AI393" s="149"/>
      <c r="AJ393" s="149"/>
      <c r="AK393" s="150"/>
      <c r="AL393" s="150"/>
      <c r="AM393" s="149"/>
      <c r="AN393" s="149"/>
      <c r="AO393" s="149"/>
      <c r="AP393" s="150"/>
      <c r="AQ393" s="150"/>
      <c r="AR393" s="150"/>
      <c r="AS393" s="150"/>
      <c r="AT393" s="150"/>
      <c r="AU393" s="150"/>
      <c r="AV393" s="150"/>
      <c r="AW393" s="150"/>
      <c r="AX393" s="150"/>
      <c r="AY393" s="151"/>
      <c r="AZ393" s="151"/>
      <c r="BA393" s="151"/>
      <c r="BB393" s="151"/>
      <c r="BC393" s="151"/>
      <c r="BD393" s="151"/>
      <c r="BE393" s="151"/>
      <c r="BF393" s="151"/>
      <c r="BG393" s="151"/>
      <c r="BH393" s="151"/>
      <c r="BI393" s="151"/>
    </row>
    <row r="394" spans="1:61" x14ac:dyDescent="0.25">
      <c r="A394" s="149"/>
      <c r="B394" s="149"/>
      <c r="C394" s="149"/>
      <c r="D394" s="149"/>
      <c r="E394" s="150"/>
      <c r="F394" s="150"/>
      <c r="G394" s="149"/>
      <c r="H394" s="149"/>
      <c r="I394" s="149"/>
      <c r="J394" s="150"/>
      <c r="K394" s="150"/>
      <c r="L394" s="149"/>
      <c r="M394" s="149"/>
      <c r="N394" s="149"/>
      <c r="O394" s="150"/>
      <c r="P394" s="150"/>
      <c r="Q394" s="149"/>
      <c r="R394" s="149"/>
      <c r="S394" s="149"/>
      <c r="T394" s="150"/>
      <c r="U394" s="150"/>
      <c r="V394" s="150"/>
      <c r="W394" s="150"/>
      <c r="X394" s="150"/>
      <c r="Y394" s="150"/>
      <c r="Z394" s="150"/>
      <c r="AA394" s="150"/>
      <c r="AB394" s="150"/>
      <c r="AC394" s="149"/>
      <c r="AD394" s="149"/>
      <c r="AE394" s="149"/>
      <c r="AF394" s="150"/>
      <c r="AG394" s="150"/>
      <c r="AH394" s="149"/>
      <c r="AI394" s="149"/>
      <c r="AJ394" s="149"/>
      <c r="AK394" s="150"/>
      <c r="AL394" s="150"/>
      <c r="AM394" s="149"/>
      <c r="AN394" s="149"/>
      <c r="AO394" s="149"/>
      <c r="AP394" s="150"/>
      <c r="AQ394" s="150"/>
      <c r="AR394" s="150"/>
      <c r="AS394" s="150"/>
      <c r="AT394" s="150"/>
      <c r="AU394" s="150"/>
      <c r="AV394" s="150"/>
      <c r="AW394" s="150"/>
      <c r="AX394" s="150"/>
      <c r="AY394" s="151"/>
      <c r="AZ394" s="151"/>
      <c r="BA394" s="151"/>
      <c r="BB394" s="151"/>
      <c r="BC394" s="151"/>
      <c r="BD394" s="151"/>
      <c r="BE394" s="151"/>
      <c r="BF394" s="151"/>
      <c r="BG394" s="151"/>
      <c r="BH394" s="151"/>
      <c r="BI394" s="151"/>
    </row>
    <row r="395" spans="1:61" x14ac:dyDescent="0.25">
      <c r="A395" s="149"/>
      <c r="B395" s="149"/>
      <c r="C395" s="149"/>
      <c r="D395" s="149"/>
      <c r="E395" s="150"/>
      <c r="F395" s="150"/>
      <c r="G395" s="149"/>
      <c r="H395" s="149"/>
      <c r="I395" s="149"/>
      <c r="J395" s="150"/>
      <c r="K395" s="150"/>
      <c r="L395" s="149"/>
      <c r="M395" s="149"/>
      <c r="N395" s="149"/>
      <c r="O395" s="150"/>
      <c r="P395" s="150"/>
      <c r="Q395" s="149"/>
      <c r="R395" s="149"/>
      <c r="S395" s="149"/>
      <c r="T395" s="150"/>
      <c r="U395" s="150"/>
      <c r="V395" s="150"/>
      <c r="W395" s="150"/>
      <c r="X395" s="150"/>
      <c r="Y395" s="150"/>
      <c r="Z395" s="150"/>
      <c r="AA395" s="150"/>
      <c r="AB395" s="150"/>
      <c r="AC395" s="149"/>
      <c r="AD395" s="149"/>
      <c r="AE395" s="149"/>
      <c r="AF395" s="150"/>
      <c r="AG395" s="150"/>
      <c r="AH395" s="149"/>
      <c r="AI395" s="149"/>
      <c r="AJ395" s="149"/>
      <c r="AK395" s="150"/>
      <c r="AL395" s="150"/>
      <c r="AM395" s="149"/>
      <c r="AN395" s="149"/>
      <c r="AO395" s="149"/>
      <c r="AP395" s="150"/>
      <c r="AQ395" s="150"/>
      <c r="AR395" s="150"/>
      <c r="AS395" s="150"/>
      <c r="AT395" s="150"/>
      <c r="AU395" s="150"/>
      <c r="AV395" s="150"/>
      <c r="AW395" s="150"/>
      <c r="AX395" s="150"/>
      <c r="AY395" s="151"/>
      <c r="AZ395" s="151"/>
      <c r="BA395" s="151"/>
      <c r="BB395" s="151"/>
      <c r="BC395" s="151"/>
      <c r="BD395" s="151"/>
      <c r="BE395" s="151"/>
      <c r="BF395" s="151"/>
      <c r="BG395" s="151"/>
      <c r="BH395" s="151"/>
      <c r="BI395" s="151"/>
    </row>
    <row r="396" spans="1:61" x14ac:dyDescent="0.25">
      <c r="A396" s="149"/>
      <c r="B396" s="149"/>
      <c r="C396" s="149"/>
      <c r="D396" s="149"/>
      <c r="E396" s="150"/>
      <c r="F396" s="150"/>
      <c r="G396" s="149"/>
      <c r="H396" s="149"/>
      <c r="I396" s="149"/>
      <c r="J396" s="150"/>
      <c r="K396" s="150"/>
      <c r="L396" s="149"/>
      <c r="M396" s="149"/>
      <c r="N396" s="149"/>
      <c r="O396" s="150"/>
      <c r="P396" s="150"/>
      <c r="Q396" s="149"/>
      <c r="R396" s="149"/>
      <c r="S396" s="149"/>
      <c r="T396" s="150"/>
      <c r="U396" s="150"/>
      <c r="V396" s="150"/>
      <c r="W396" s="150"/>
      <c r="X396" s="150"/>
      <c r="Y396" s="150"/>
      <c r="Z396" s="150"/>
      <c r="AA396" s="150"/>
      <c r="AB396" s="150"/>
      <c r="AC396" s="149"/>
      <c r="AD396" s="149"/>
      <c r="AE396" s="149"/>
      <c r="AF396" s="150"/>
      <c r="AG396" s="150"/>
      <c r="AH396" s="149"/>
      <c r="AI396" s="149"/>
      <c r="AJ396" s="149"/>
      <c r="AK396" s="150"/>
      <c r="AL396" s="150"/>
      <c r="AM396" s="149"/>
      <c r="AN396" s="149"/>
      <c r="AO396" s="149"/>
      <c r="AP396" s="150"/>
      <c r="AQ396" s="150"/>
      <c r="AR396" s="150"/>
      <c r="AS396" s="150"/>
      <c r="AT396" s="150"/>
      <c r="AU396" s="150"/>
      <c r="AV396" s="150"/>
      <c r="AW396" s="150"/>
      <c r="AX396" s="150"/>
      <c r="AY396" s="151"/>
      <c r="AZ396" s="151"/>
      <c r="BA396" s="151"/>
      <c r="BB396" s="151"/>
      <c r="BC396" s="151"/>
      <c r="BD396" s="151"/>
      <c r="BE396" s="151"/>
      <c r="BF396" s="151"/>
      <c r="BG396" s="151"/>
      <c r="BH396" s="151"/>
      <c r="BI396" s="151"/>
    </row>
    <row r="397" spans="1:61" x14ac:dyDescent="0.25">
      <c r="A397" s="149"/>
      <c r="B397" s="149"/>
      <c r="C397" s="149"/>
      <c r="D397" s="149"/>
      <c r="E397" s="150"/>
      <c r="F397" s="150"/>
      <c r="G397" s="149"/>
      <c r="H397" s="149"/>
      <c r="I397" s="149"/>
      <c r="J397" s="150"/>
      <c r="K397" s="150"/>
      <c r="L397" s="149"/>
      <c r="M397" s="149"/>
      <c r="N397" s="149"/>
      <c r="O397" s="150"/>
      <c r="P397" s="150"/>
      <c r="Q397" s="149"/>
      <c r="R397" s="149"/>
      <c r="S397" s="149"/>
      <c r="T397" s="150"/>
      <c r="U397" s="150"/>
      <c r="V397" s="150"/>
      <c r="W397" s="150"/>
      <c r="X397" s="150"/>
      <c r="Y397" s="150"/>
      <c r="Z397" s="150"/>
      <c r="AA397" s="150"/>
      <c r="AB397" s="150"/>
      <c r="AC397" s="149"/>
      <c r="AD397" s="149"/>
      <c r="AE397" s="149"/>
      <c r="AF397" s="150"/>
      <c r="AG397" s="150"/>
      <c r="AH397" s="149"/>
      <c r="AI397" s="149"/>
      <c r="AJ397" s="149"/>
      <c r="AK397" s="150"/>
      <c r="AL397" s="150"/>
      <c r="AM397" s="149"/>
      <c r="AN397" s="149"/>
      <c r="AO397" s="149"/>
      <c r="AP397" s="150"/>
      <c r="AQ397" s="150"/>
      <c r="AR397" s="150"/>
      <c r="AS397" s="150"/>
      <c r="AT397" s="150"/>
      <c r="AU397" s="150"/>
      <c r="AV397" s="150"/>
      <c r="AW397" s="150"/>
      <c r="AX397" s="150"/>
      <c r="AY397" s="151"/>
      <c r="AZ397" s="151"/>
      <c r="BA397" s="151"/>
      <c r="BB397" s="151"/>
      <c r="BC397" s="151"/>
      <c r="BD397" s="151"/>
      <c r="BE397" s="151"/>
      <c r="BF397" s="151"/>
      <c r="BG397" s="151"/>
      <c r="BH397" s="151"/>
      <c r="BI397" s="151"/>
    </row>
    <row r="398" spans="1:61" x14ac:dyDescent="0.25">
      <c r="A398" s="149"/>
      <c r="B398" s="149"/>
      <c r="C398" s="149"/>
      <c r="D398" s="149"/>
      <c r="E398" s="150"/>
      <c r="F398" s="150"/>
      <c r="G398" s="149"/>
      <c r="H398" s="149"/>
      <c r="I398" s="149"/>
      <c r="J398" s="150"/>
      <c r="K398" s="150"/>
      <c r="L398" s="149"/>
      <c r="M398" s="149"/>
      <c r="N398" s="149"/>
      <c r="O398" s="150"/>
      <c r="P398" s="150"/>
      <c r="Q398" s="149"/>
      <c r="R398" s="149"/>
      <c r="S398" s="149"/>
      <c r="T398" s="150"/>
      <c r="U398" s="150"/>
      <c r="V398" s="150"/>
      <c r="W398" s="150"/>
      <c r="X398" s="150"/>
      <c r="Y398" s="150"/>
      <c r="Z398" s="150"/>
      <c r="AA398" s="150"/>
      <c r="AB398" s="150"/>
      <c r="AC398" s="149"/>
      <c r="AD398" s="149"/>
      <c r="AE398" s="149"/>
      <c r="AF398" s="150"/>
      <c r="AG398" s="150"/>
      <c r="AH398" s="149"/>
      <c r="AI398" s="149"/>
      <c r="AJ398" s="149"/>
      <c r="AK398" s="150"/>
      <c r="AL398" s="150"/>
      <c r="AM398" s="149"/>
      <c r="AN398" s="149"/>
      <c r="AO398" s="149"/>
      <c r="AP398" s="150"/>
      <c r="AQ398" s="150"/>
      <c r="AR398" s="150"/>
      <c r="AS398" s="150"/>
      <c r="AT398" s="150"/>
      <c r="AU398" s="150"/>
      <c r="AV398" s="150"/>
      <c r="AW398" s="150"/>
      <c r="AX398" s="150"/>
      <c r="AY398" s="151"/>
      <c r="AZ398" s="151"/>
      <c r="BA398" s="151"/>
      <c r="BB398" s="151"/>
      <c r="BC398" s="151"/>
      <c r="BD398" s="151"/>
      <c r="BE398" s="151"/>
      <c r="BF398" s="151"/>
      <c r="BG398" s="151"/>
      <c r="BH398" s="151"/>
      <c r="BI398" s="151"/>
    </row>
    <row r="399" spans="1:61" x14ac:dyDescent="0.25">
      <c r="A399" s="149"/>
      <c r="B399" s="149"/>
      <c r="C399" s="149"/>
      <c r="D399" s="149"/>
      <c r="E399" s="150"/>
      <c r="F399" s="150"/>
      <c r="G399" s="149"/>
      <c r="H399" s="149"/>
      <c r="I399" s="149"/>
      <c r="J399" s="150"/>
      <c r="K399" s="150"/>
      <c r="L399" s="149"/>
      <c r="M399" s="149"/>
      <c r="N399" s="149"/>
      <c r="O399" s="150"/>
      <c r="P399" s="150"/>
      <c r="Q399" s="149"/>
      <c r="R399" s="149"/>
      <c r="S399" s="149"/>
      <c r="T399" s="150"/>
      <c r="U399" s="150"/>
      <c r="V399" s="150"/>
      <c r="W399" s="150"/>
      <c r="X399" s="150"/>
      <c r="Y399" s="150"/>
      <c r="Z399" s="150"/>
      <c r="AA399" s="150"/>
      <c r="AB399" s="150"/>
      <c r="AC399" s="149"/>
      <c r="AD399" s="149"/>
      <c r="AE399" s="149"/>
      <c r="AF399" s="150"/>
      <c r="AG399" s="150"/>
      <c r="AH399" s="149"/>
      <c r="AI399" s="149"/>
      <c r="AJ399" s="149"/>
      <c r="AK399" s="150"/>
      <c r="AL399" s="150"/>
      <c r="AM399" s="149"/>
      <c r="AN399" s="149"/>
      <c r="AO399" s="149"/>
      <c r="AP399" s="150"/>
      <c r="AQ399" s="150"/>
      <c r="AR399" s="150"/>
      <c r="AS399" s="150"/>
      <c r="AT399" s="150"/>
      <c r="AU399" s="150"/>
      <c r="AV399" s="150"/>
      <c r="AW399" s="150"/>
      <c r="AX399" s="150"/>
      <c r="AY399" s="151"/>
      <c r="AZ399" s="151"/>
      <c r="BA399" s="151"/>
      <c r="BB399" s="151"/>
      <c r="BC399" s="151"/>
      <c r="BD399" s="151"/>
      <c r="BE399" s="151"/>
      <c r="BF399" s="151"/>
      <c r="BG399" s="151"/>
      <c r="BH399" s="151"/>
      <c r="BI399" s="151"/>
    </row>
    <row r="400" spans="1:61" x14ac:dyDescent="0.25">
      <c r="A400" s="149"/>
      <c r="B400" s="149"/>
      <c r="C400" s="149"/>
      <c r="D400" s="149"/>
      <c r="E400" s="150"/>
      <c r="F400" s="150"/>
      <c r="G400" s="149"/>
      <c r="H400" s="149"/>
      <c r="I400" s="149"/>
      <c r="J400" s="150"/>
      <c r="K400" s="150"/>
      <c r="L400" s="149"/>
      <c r="M400" s="149"/>
      <c r="N400" s="149"/>
      <c r="O400" s="150"/>
      <c r="P400" s="150"/>
      <c r="Q400" s="149"/>
      <c r="R400" s="149"/>
      <c r="S400" s="149"/>
      <c r="T400" s="150"/>
      <c r="U400" s="150"/>
      <c r="V400" s="150"/>
      <c r="W400" s="150"/>
      <c r="X400" s="150"/>
      <c r="Y400" s="150"/>
      <c r="Z400" s="150"/>
      <c r="AA400" s="150"/>
      <c r="AB400" s="150"/>
      <c r="AC400" s="149"/>
      <c r="AD400" s="149"/>
      <c r="AE400" s="149"/>
      <c r="AF400" s="150"/>
      <c r="AG400" s="150"/>
      <c r="AH400" s="149"/>
      <c r="AI400" s="149"/>
      <c r="AJ400" s="149"/>
      <c r="AK400" s="150"/>
      <c r="AL400" s="150"/>
      <c r="AM400" s="149"/>
      <c r="AN400" s="149"/>
      <c r="AO400" s="149"/>
      <c r="AP400" s="150"/>
      <c r="AQ400" s="150"/>
      <c r="AR400" s="150"/>
      <c r="AS400" s="150"/>
      <c r="AT400" s="150"/>
      <c r="AU400" s="150"/>
      <c r="AV400" s="150"/>
      <c r="AW400" s="150"/>
      <c r="AX400" s="150"/>
      <c r="AY400" s="151"/>
      <c r="AZ400" s="151"/>
      <c r="BA400" s="151"/>
      <c r="BB400" s="151"/>
      <c r="BC400" s="151"/>
      <c r="BD400" s="151"/>
      <c r="BE400" s="151"/>
      <c r="BF400" s="151"/>
      <c r="BG400" s="151"/>
      <c r="BH400" s="151"/>
      <c r="BI400" s="151"/>
    </row>
    <row r="401" spans="1:61" x14ac:dyDescent="0.25">
      <c r="A401" s="149"/>
      <c r="B401" s="149"/>
      <c r="C401" s="149"/>
      <c r="D401" s="149"/>
      <c r="E401" s="150"/>
      <c r="F401" s="150"/>
      <c r="G401" s="149"/>
      <c r="H401" s="149"/>
      <c r="I401" s="149"/>
      <c r="J401" s="150"/>
      <c r="K401" s="150"/>
      <c r="L401" s="149"/>
      <c r="M401" s="149"/>
      <c r="N401" s="149"/>
      <c r="O401" s="150"/>
      <c r="P401" s="150"/>
      <c r="Q401" s="149"/>
      <c r="R401" s="149"/>
      <c r="S401" s="149"/>
      <c r="T401" s="150"/>
      <c r="U401" s="150"/>
      <c r="V401" s="150"/>
      <c r="W401" s="150"/>
      <c r="X401" s="150"/>
      <c r="Y401" s="150"/>
      <c r="Z401" s="150"/>
      <c r="AA401" s="150"/>
      <c r="AB401" s="150"/>
      <c r="AC401" s="149"/>
      <c r="AD401" s="149"/>
      <c r="AE401" s="149"/>
      <c r="AF401" s="150"/>
      <c r="AG401" s="150"/>
      <c r="AH401" s="149"/>
      <c r="AI401" s="149"/>
      <c r="AJ401" s="149"/>
      <c r="AK401" s="150"/>
      <c r="AL401" s="150"/>
      <c r="AM401" s="149"/>
      <c r="AN401" s="149"/>
      <c r="AO401" s="149"/>
      <c r="AP401" s="150"/>
      <c r="AQ401" s="150"/>
      <c r="AR401" s="150"/>
      <c r="AS401" s="150"/>
      <c r="AT401" s="150"/>
      <c r="AU401" s="150"/>
      <c r="AV401" s="150"/>
      <c r="AW401" s="150"/>
      <c r="AX401" s="150"/>
      <c r="AY401" s="151"/>
      <c r="AZ401" s="151"/>
      <c r="BA401" s="151"/>
      <c r="BB401" s="151"/>
      <c r="BC401" s="151"/>
      <c r="BD401" s="151"/>
      <c r="BE401" s="151"/>
      <c r="BF401" s="151"/>
      <c r="BG401" s="151"/>
      <c r="BH401" s="151"/>
      <c r="BI401" s="151"/>
    </row>
    <row r="402" spans="1:61" x14ac:dyDescent="0.25">
      <c r="A402" s="149"/>
      <c r="B402" s="149"/>
      <c r="C402" s="149"/>
      <c r="D402" s="149"/>
      <c r="E402" s="150"/>
      <c r="F402" s="150"/>
      <c r="G402" s="149"/>
      <c r="H402" s="149"/>
      <c r="I402" s="149"/>
      <c r="J402" s="150"/>
      <c r="K402" s="150"/>
      <c r="L402" s="149"/>
      <c r="M402" s="149"/>
      <c r="N402" s="149"/>
      <c r="O402" s="150"/>
      <c r="P402" s="150"/>
      <c r="Q402" s="149"/>
      <c r="R402" s="149"/>
      <c r="S402" s="149"/>
      <c r="T402" s="150"/>
      <c r="U402" s="150"/>
      <c r="V402" s="150"/>
      <c r="W402" s="150"/>
      <c r="X402" s="150"/>
      <c r="Y402" s="150"/>
      <c r="Z402" s="150"/>
      <c r="AA402" s="150"/>
      <c r="AB402" s="150"/>
      <c r="AC402" s="149"/>
      <c r="AD402" s="149"/>
      <c r="AE402" s="149"/>
      <c r="AF402" s="150"/>
      <c r="AG402" s="150"/>
      <c r="AH402" s="149"/>
      <c r="AI402" s="149"/>
      <c r="AJ402" s="149"/>
      <c r="AK402" s="150"/>
      <c r="AL402" s="150"/>
      <c r="AM402" s="149"/>
      <c r="AN402" s="149"/>
      <c r="AO402" s="149"/>
      <c r="AP402" s="150"/>
      <c r="AQ402" s="150"/>
      <c r="AR402" s="150"/>
      <c r="AS402" s="150"/>
      <c r="AT402" s="150"/>
      <c r="AU402" s="150"/>
      <c r="AV402" s="150"/>
      <c r="AW402" s="150"/>
      <c r="AX402" s="150"/>
      <c r="AY402" s="151"/>
      <c r="AZ402" s="151"/>
      <c r="BA402" s="151"/>
      <c r="BB402" s="151"/>
      <c r="BC402" s="151"/>
      <c r="BD402" s="151"/>
      <c r="BE402" s="151"/>
      <c r="BF402" s="151"/>
      <c r="BG402" s="151"/>
      <c r="BH402" s="151"/>
      <c r="BI402" s="151"/>
    </row>
    <row r="403" spans="1:61" x14ac:dyDescent="0.25">
      <c r="A403" s="149"/>
      <c r="B403" s="149"/>
      <c r="C403" s="149"/>
      <c r="D403" s="149"/>
      <c r="E403" s="150"/>
      <c r="F403" s="150"/>
      <c r="G403" s="149"/>
      <c r="H403" s="149"/>
      <c r="I403" s="149"/>
      <c r="J403" s="150"/>
      <c r="K403" s="150"/>
      <c r="L403" s="149"/>
      <c r="M403" s="149"/>
      <c r="N403" s="149"/>
      <c r="O403" s="150"/>
      <c r="P403" s="150"/>
      <c r="Q403" s="149"/>
      <c r="R403" s="149"/>
      <c r="S403" s="149"/>
      <c r="T403" s="150"/>
      <c r="U403" s="150"/>
      <c r="V403" s="150"/>
      <c r="W403" s="150"/>
      <c r="X403" s="150"/>
      <c r="Y403" s="150"/>
      <c r="Z403" s="150"/>
      <c r="AA403" s="150"/>
      <c r="AB403" s="150"/>
      <c r="AC403" s="149"/>
      <c r="AD403" s="149"/>
      <c r="AE403" s="149"/>
      <c r="AF403" s="150"/>
      <c r="AG403" s="150"/>
      <c r="AH403" s="149"/>
      <c r="AI403" s="149"/>
      <c r="AJ403" s="149"/>
      <c r="AK403" s="150"/>
      <c r="AL403" s="150"/>
      <c r="AM403" s="149"/>
      <c r="AN403" s="149"/>
      <c r="AO403" s="149"/>
      <c r="AP403" s="150"/>
      <c r="AQ403" s="150"/>
      <c r="AR403" s="150"/>
      <c r="AS403" s="150"/>
      <c r="AT403" s="150"/>
      <c r="AU403" s="150"/>
      <c r="AV403" s="150"/>
      <c r="AW403" s="150"/>
      <c r="AX403" s="150"/>
      <c r="AY403" s="151"/>
      <c r="AZ403" s="151"/>
      <c r="BA403" s="151"/>
      <c r="BB403" s="151"/>
      <c r="BC403" s="151"/>
      <c r="BD403" s="151"/>
      <c r="BE403" s="151"/>
      <c r="BF403" s="151"/>
      <c r="BG403" s="151"/>
      <c r="BH403" s="151"/>
      <c r="BI403" s="151"/>
    </row>
    <row r="404" spans="1:61" x14ac:dyDescent="0.25">
      <c r="A404" s="149"/>
      <c r="B404" s="149"/>
      <c r="C404" s="149"/>
      <c r="D404" s="149"/>
      <c r="E404" s="150"/>
      <c r="F404" s="150"/>
      <c r="G404" s="149"/>
      <c r="H404" s="149"/>
      <c r="I404" s="149"/>
      <c r="J404" s="150"/>
      <c r="K404" s="150"/>
      <c r="L404" s="149"/>
      <c r="M404" s="149"/>
      <c r="N404" s="149"/>
      <c r="O404" s="150"/>
      <c r="P404" s="150"/>
      <c r="Q404" s="149"/>
      <c r="R404" s="149"/>
      <c r="S404" s="149"/>
      <c r="T404" s="150"/>
      <c r="U404" s="150"/>
      <c r="V404" s="150"/>
      <c r="W404" s="150"/>
      <c r="X404" s="150"/>
      <c r="Y404" s="150"/>
      <c r="Z404" s="150"/>
      <c r="AA404" s="150"/>
      <c r="AB404" s="150"/>
      <c r="AC404" s="149"/>
      <c r="AD404" s="149"/>
      <c r="AE404" s="149"/>
      <c r="AF404" s="150"/>
      <c r="AG404" s="150"/>
      <c r="AH404" s="149"/>
      <c r="AI404" s="149"/>
      <c r="AJ404" s="149"/>
      <c r="AK404" s="150"/>
      <c r="AL404" s="150"/>
      <c r="AM404" s="149"/>
      <c r="AN404" s="149"/>
      <c r="AO404" s="149"/>
      <c r="AP404" s="150"/>
      <c r="AQ404" s="150"/>
      <c r="AR404" s="150"/>
      <c r="AS404" s="150"/>
      <c r="AT404" s="150"/>
      <c r="AU404" s="150"/>
      <c r="AV404" s="150"/>
      <c r="AW404" s="150"/>
      <c r="AX404" s="150"/>
      <c r="AY404" s="151"/>
      <c r="AZ404" s="151"/>
      <c r="BA404" s="151"/>
      <c r="BB404" s="151"/>
      <c r="BC404" s="151"/>
      <c r="BD404" s="151"/>
      <c r="BE404" s="151"/>
      <c r="BF404" s="151"/>
      <c r="BG404" s="151"/>
      <c r="BH404" s="151"/>
      <c r="BI404" s="151"/>
    </row>
    <row r="405" spans="1:61" x14ac:dyDescent="0.25">
      <c r="A405" s="149"/>
      <c r="B405" s="149"/>
      <c r="C405" s="149"/>
      <c r="D405" s="149"/>
      <c r="E405" s="150"/>
      <c r="F405" s="150"/>
      <c r="G405" s="149"/>
      <c r="H405" s="149"/>
      <c r="I405" s="149"/>
      <c r="J405" s="150"/>
      <c r="K405" s="150"/>
      <c r="L405" s="149"/>
      <c r="M405" s="149"/>
      <c r="N405" s="149"/>
      <c r="O405" s="150"/>
      <c r="P405" s="150"/>
      <c r="Q405" s="149"/>
      <c r="R405" s="149"/>
      <c r="S405" s="149"/>
      <c r="T405" s="150"/>
      <c r="U405" s="150"/>
      <c r="V405" s="150"/>
      <c r="W405" s="150"/>
      <c r="X405" s="150"/>
      <c r="Y405" s="150"/>
      <c r="Z405" s="150"/>
      <c r="AA405" s="150"/>
      <c r="AB405" s="150"/>
      <c r="AC405" s="149"/>
      <c r="AD405" s="149"/>
      <c r="AE405" s="149"/>
      <c r="AF405" s="150"/>
      <c r="AG405" s="150"/>
      <c r="AH405" s="149"/>
      <c r="AI405" s="149"/>
      <c r="AJ405" s="149"/>
      <c r="AK405" s="150"/>
      <c r="AL405" s="150"/>
      <c r="AM405" s="149"/>
      <c r="AN405" s="149"/>
      <c r="AO405" s="149"/>
      <c r="AP405" s="150"/>
      <c r="AQ405" s="150"/>
      <c r="AR405" s="150"/>
      <c r="AS405" s="150"/>
      <c r="AT405" s="150"/>
      <c r="AU405" s="150"/>
      <c r="AV405" s="150"/>
      <c r="AW405" s="150"/>
      <c r="AX405" s="150"/>
      <c r="AY405" s="151"/>
      <c r="AZ405" s="151"/>
      <c r="BA405" s="151"/>
      <c r="BB405" s="151"/>
      <c r="BC405" s="151"/>
      <c r="BD405" s="151"/>
      <c r="BE405" s="151"/>
      <c r="BF405" s="151"/>
      <c r="BG405" s="151"/>
      <c r="BH405" s="151"/>
      <c r="BI405" s="151"/>
    </row>
    <row r="406" spans="1:61" x14ac:dyDescent="0.25">
      <c r="A406" s="149"/>
      <c r="B406" s="149"/>
      <c r="C406" s="149"/>
      <c r="D406" s="149"/>
      <c r="E406" s="150"/>
      <c r="F406" s="150"/>
      <c r="G406" s="149"/>
      <c r="H406" s="149"/>
      <c r="I406" s="149"/>
      <c r="J406" s="150"/>
      <c r="K406" s="150"/>
      <c r="L406" s="149"/>
      <c r="M406" s="149"/>
      <c r="N406" s="149"/>
      <c r="O406" s="150"/>
      <c r="P406" s="150"/>
      <c r="Q406" s="149"/>
      <c r="R406" s="149"/>
      <c r="S406" s="149"/>
      <c r="T406" s="150"/>
      <c r="U406" s="150"/>
      <c r="V406" s="150"/>
      <c r="W406" s="150"/>
      <c r="X406" s="150"/>
      <c r="Y406" s="150"/>
      <c r="Z406" s="150"/>
      <c r="AA406" s="150"/>
      <c r="AB406" s="150"/>
      <c r="AC406" s="149"/>
      <c r="AD406" s="149"/>
      <c r="AE406" s="149"/>
      <c r="AF406" s="150"/>
      <c r="AG406" s="150"/>
      <c r="AH406" s="149"/>
      <c r="AI406" s="149"/>
      <c r="AJ406" s="149"/>
      <c r="AK406" s="150"/>
      <c r="AL406" s="150"/>
      <c r="AM406" s="149"/>
      <c r="AN406" s="149"/>
      <c r="AO406" s="149"/>
      <c r="AP406" s="150"/>
      <c r="AQ406" s="150"/>
      <c r="AR406" s="150"/>
      <c r="AS406" s="150"/>
      <c r="AT406" s="150"/>
      <c r="AU406" s="150"/>
      <c r="AV406" s="150"/>
      <c r="AW406" s="150"/>
      <c r="AX406" s="150"/>
      <c r="AY406" s="151"/>
      <c r="AZ406" s="151"/>
      <c r="BA406" s="151"/>
      <c r="BB406" s="151"/>
      <c r="BC406" s="151"/>
      <c r="BD406" s="151"/>
      <c r="BE406" s="151"/>
      <c r="BF406" s="151"/>
      <c r="BG406" s="151"/>
      <c r="BH406" s="151"/>
      <c r="BI406" s="151"/>
    </row>
    <row r="407" spans="1:61" x14ac:dyDescent="0.25">
      <c r="A407" s="149"/>
      <c r="B407" s="149"/>
      <c r="C407" s="149"/>
      <c r="D407" s="149"/>
      <c r="E407" s="150"/>
      <c r="F407" s="150"/>
      <c r="G407" s="149"/>
      <c r="H407" s="149"/>
      <c r="I407" s="149"/>
      <c r="J407" s="150"/>
      <c r="K407" s="150"/>
      <c r="L407" s="149"/>
      <c r="M407" s="149"/>
      <c r="N407" s="149"/>
      <c r="O407" s="150"/>
      <c r="P407" s="150"/>
      <c r="Q407" s="149"/>
      <c r="R407" s="149"/>
      <c r="S407" s="149"/>
      <c r="T407" s="150"/>
      <c r="U407" s="150"/>
      <c r="V407" s="150"/>
      <c r="W407" s="150"/>
      <c r="X407" s="150"/>
      <c r="Y407" s="150"/>
      <c r="Z407" s="150"/>
      <c r="AA407" s="150"/>
      <c r="AB407" s="150"/>
      <c r="AC407" s="149"/>
      <c r="AD407" s="149"/>
      <c r="AE407" s="149"/>
      <c r="AF407" s="150"/>
      <c r="AG407" s="150"/>
      <c r="AH407" s="149"/>
      <c r="AI407" s="149"/>
      <c r="AJ407" s="149"/>
      <c r="AK407" s="150"/>
      <c r="AL407" s="150"/>
      <c r="AM407" s="149"/>
      <c r="AN407" s="149"/>
      <c r="AO407" s="149"/>
      <c r="AP407" s="150"/>
      <c r="AQ407" s="150"/>
      <c r="AR407" s="150"/>
      <c r="AS407" s="150"/>
      <c r="AT407" s="150"/>
      <c r="AU407" s="150"/>
      <c r="AV407" s="150"/>
      <c r="AW407" s="150"/>
      <c r="AX407" s="150"/>
      <c r="AY407" s="151"/>
      <c r="AZ407" s="151"/>
      <c r="BA407" s="151"/>
      <c r="BB407" s="151"/>
      <c r="BC407" s="151"/>
      <c r="BD407" s="151"/>
      <c r="BE407" s="151"/>
      <c r="BF407" s="151"/>
      <c r="BG407" s="151"/>
      <c r="BH407" s="151"/>
      <c r="BI407" s="151"/>
    </row>
    <row r="408" spans="1:61" x14ac:dyDescent="0.25">
      <c r="A408" s="149"/>
      <c r="B408" s="149"/>
      <c r="C408" s="149"/>
      <c r="D408" s="149"/>
      <c r="E408" s="150"/>
      <c r="F408" s="150"/>
      <c r="G408" s="149"/>
      <c r="H408" s="149"/>
      <c r="I408" s="149"/>
      <c r="J408" s="150"/>
      <c r="K408" s="150"/>
      <c r="L408" s="149"/>
      <c r="M408" s="149"/>
      <c r="N408" s="149"/>
      <c r="O408" s="150"/>
      <c r="P408" s="150"/>
      <c r="Q408" s="149"/>
      <c r="R408" s="149"/>
      <c r="S408" s="149"/>
      <c r="T408" s="150"/>
      <c r="U408" s="150"/>
      <c r="V408" s="150"/>
      <c r="W408" s="150"/>
      <c r="X408" s="150"/>
      <c r="Y408" s="150"/>
      <c r="Z408" s="150"/>
      <c r="AA408" s="150"/>
      <c r="AB408" s="150"/>
      <c r="AC408" s="149"/>
      <c r="AD408" s="149"/>
      <c r="AE408" s="149"/>
      <c r="AF408" s="150"/>
      <c r="AG408" s="150"/>
      <c r="AH408" s="149"/>
      <c r="AI408" s="149"/>
      <c r="AJ408" s="149"/>
      <c r="AK408" s="150"/>
      <c r="AL408" s="150"/>
      <c r="AM408" s="149"/>
      <c r="AN408" s="149"/>
      <c r="AO408" s="149"/>
      <c r="AP408" s="150"/>
      <c r="AQ408" s="150"/>
      <c r="AR408" s="150"/>
      <c r="AS408" s="150"/>
      <c r="AT408" s="150"/>
      <c r="AU408" s="150"/>
      <c r="AV408" s="150"/>
      <c r="AW408" s="150"/>
      <c r="AX408" s="150"/>
      <c r="AY408" s="151"/>
      <c r="AZ408" s="151"/>
      <c r="BA408" s="151"/>
      <c r="BB408" s="151"/>
      <c r="BC408" s="151"/>
      <c r="BD408" s="151"/>
      <c r="BE408" s="151"/>
      <c r="BF408" s="151"/>
      <c r="BG408" s="151"/>
      <c r="BH408" s="151"/>
      <c r="BI408" s="151"/>
    </row>
    <row r="409" spans="1:61" x14ac:dyDescent="0.25">
      <c r="A409" s="149"/>
      <c r="B409" s="149"/>
      <c r="C409" s="149"/>
      <c r="D409" s="149"/>
      <c r="E409" s="150"/>
      <c r="F409" s="150"/>
      <c r="G409" s="149"/>
      <c r="H409" s="149"/>
      <c r="I409" s="149"/>
      <c r="J409" s="150"/>
      <c r="K409" s="150"/>
      <c r="L409" s="149"/>
      <c r="M409" s="149"/>
      <c r="N409" s="149"/>
      <c r="O409" s="150"/>
      <c r="P409" s="150"/>
      <c r="Q409" s="149"/>
      <c r="R409" s="149"/>
      <c r="S409" s="149"/>
      <c r="T409" s="150"/>
      <c r="U409" s="150"/>
      <c r="V409" s="150"/>
      <c r="W409" s="150"/>
      <c r="X409" s="150"/>
      <c r="Y409" s="150"/>
      <c r="Z409" s="150"/>
      <c r="AA409" s="150"/>
      <c r="AB409" s="150"/>
      <c r="AC409" s="149"/>
      <c r="AD409" s="149"/>
      <c r="AE409" s="149"/>
      <c r="AF409" s="150"/>
      <c r="AG409" s="150"/>
      <c r="AH409" s="149"/>
      <c r="AI409" s="149"/>
      <c r="AJ409" s="149"/>
      <c r="AK409" s="150"/>
      <c r="AL409" s="150"/>
      <c r="AM409" s="149"/>
      <c r="AN409" s="149"/>
      <c r="AO409" s="149"/>
      <c r="AP409" s="150"/>
      <c r="AQ409" s="150"/>
      <c r="AR409" s="150"/>
      <c r="AS409" s="150"/>
      <c r="AT409" s="150"/>
      <c r="AU409" s="150"/>
      <c r="AV409" s="150"/>
      <c r="AW409" s="150"/>
      <c r="AX409" s="150"/>
      <c r="AY409" s="151"/>
      <c r="AZ409" s="151"/>
      <c r="BA409" s="151"/>
      <c r="BB409" s="151"/>
      <c r="BC409" s="151"/>
      <c r="BD409" s="151"/>
      <c r="BE409" s="151"/>
      <c r="BF409" s="151"/>
      <c r="BG409" s="151"/>
      <c r="BH409" s="151"/>
      <c r="BI409" s="151"/>
    </row>
    <row r="410" spans="1:61" x14ac:dyDescent="0.25">
      <c r="A410" s="149"/>
      <c r="B410" s="149"/>
      <c r="C410" s="149"/>
      <c r="D410" s="149"/>
      <c r="E410" s="150"/>
      <c r="F410" s="150"/>
      <c r="G410" s="149"/>
      <c r="H410" s="149"/>
      <c r="I410" s="149"/>
      <c r="J410" s="150"/>
      <c r="K410" s="150"/>
      <c r="L410" s="149"/>
      <c r="M410" s="149"/>
      <c r="N410" s="149"/>
      <c r="O410" s="150"/>
      <c r="P410" s="150"/>
      <c r="Q410" s="149"/>
      <c r="R410" s="149"/>
      <c r="S410" s="149"/>
      <c r="T410" s="150"/>
      <c r="U410" s="150"/>
      <c r="V410" s="150"/>
      <c r="W410" s="150"/>
      <c r="X410" s="150"/>
      <c r="Y410" s="150"/>
      <c r="Z410" s="150"/>
      <c r="AA410" s="150"/>
      <c r="AB410" s="150"/>
      <c r="AC410" s="149"/>
      <c r="AD410" s="149"/>
      <c r="AE410" s="149"/>
      <c r="AF410" s="150"/>
      <c r="AG410" s="150"/>
      <c r="AH410" s="149"/>
      <c r="AI410" s="149"/>
      <c r="AJ410" s="149"/>
      <c r="AK410" s="150"/>
      <c r="AL410" s="150"/>
      <c r="AM410" s="149"/>
      <c r="AN410" s="149"/>
      <c r="AO410" s="149"/>
      <c r="AP410" s="150"/>
      <c r="AQ410" s="150"/>
      <c r="AR410" s="150"/>
      <c r="AS410" s="150"/>
      <c r="AT410" s="150"/>
      <c r="AU410" s="150"/>
      <c r="AV410" s="150"/>
      <c r="AW410" s="150"/>
      <c r="AX410" s="150"/>
      <c r="AY410" s="151"/>
      <c r="AZ410" s="151"/>
      <c r="BA410" s="151"/>
      <c r="BB410" s="151"/>
      <c r="BC410" s="151"/>
      <c r="BD410" s="151"/>
      <c r="BE410" s="151"/>
      <c r="BF410" s="151"/>
      <c r="BG410" s="151"/>
      <c r="BH410" s="151"/>
      <c r="BI410" s="151"/>
    </row>
    <row r="411" spans="1:61" x14ac:dyDescent="0.25">
      <c r="A411" s="149"/>
      <c r="B411" s="149"/>
      <c r="C411" s="149"/>
      <c r="D411" s="149"/>
      <c r="E411" s="150"/>
      <c r="F411" s="150"/>
      <c r="G411" s="149"/>
      <c r="H411" s="149"/>
      <c r="I411" s="149"/>
      <c r="J411" s="150"/>
      <c r="K411" s="150"/>
      <c r="L411" s="149"/>
      <c r="M411" s="149"/>
      <c r="N411" s="149"/>
      <c r="O411" s="150"/>
      <c r="P411" s="150"/>
      <c r="Q411" s="149"/>
      <c r="R411" s="149"/>
      <c r="S411" s="149"/>
      <c r="T411" s="150"/>
      <c r="U411" s="150"/>
      <c r="V411" s="150"/>
      <c r="W411" s="150"/>
      <c r="X411" s="150"/>
      <c r="Y411" s="150"/>
      <c r="Z411" s="150"/>
      <c r="AA411" s="150"/>
      <c r="AB411" s="150"/>
      <c r="AC411" s="149"/>
      <c r="AD411" s="149"/>
      <c r="AE411" s="149"/>
      <c r="AF411" s="150"/>
      <c r="AG411" s="150"/>
      <c r="AH411" s="149"/>
      <c r="AI411" s="149"/>
      <c r="AJ411" s="149"/>
      <c r="AK411" s="150"/>
      <c r="AL411" s="150"/>
      <c r="AM411" s="149"/>
      <c r="AN411" s="149"/>
      <c r="AO411" s="149"/>
      <c r="AP411" s="150"/>
      <c r="AQ411" s="150"/>
      <c r="AR411" s="150"/>
      <c r="AS411" s="150"/>
      <c r="AT411" s="150"/>
      <c r="AU411" s="150"/>
      <c r="AV411" s="150"/>
      <c r="AW411" s="150"/>
      <c r="AX411" s="150"/>
      <c r="AY411" s="151"/>
      <c r="AZ411" s="151"/>
      <c r="BA411" s="151"/>
      <c r="BB411" s="151"/>
      <c r="BC411" s="151"/>
      <c r="BD411" s="151"/>
      <c r="BE411" s="151"/>
      <c r="BF411" s="151"/>
      <c r="BG411" s="151"/>
      <c r="BH411" s="151"/>
      <c r="BI411" s="151"/>
    </row>
    <row r="412" spans="1:61" x14ac:dyDescent="0.25">
      <c r="A412" s="149"/>
      <c r="B412" s="149"/>
      <c r="C412" s="149"/>
      <c r="D412" s="149"/>
      <c r="E412" s="150"/>
      <c r="F412" s="150"/>
      <c r="G412" s="149"/>
      <c r="H412" s="149"/>
      <c r="I412" s="149"/>
      <c r="J412" s="150"/>
      <c r="K412" s="150"/>
      <c r="L412" s="149"/>
      <c r="M412" s="149"/>
      <c r="N412" s="149"/>
      <c r="O412" s="150"/>
      <c r="P412" s="150"/>
      <c r="Q412" s="149"/>
      <c r="R412" s="149"/>
      <c r="S412" s="149"/>
      <c r="T412" s="150"/>
      <c r="U412" s="150"/>
      <c r="V412" s="150"/>
      <c r="W412" s="150"/>
      <c r="X412" s="150"/>
      <c r="Y412" s="150"/>
      <c r="Z412" s="150"/>
      <c r="AA412" s="150"/>
      <c r="AB412" s="150"/>
      <c r="AC412" s="149"/>
      <c r="AD412" s="149"/>
      <c r="AE412" s="149"/>
      <c r="AF412" s="150"/>
      <c r="AG412" s="150"/>
      <c r="AH412" s="149"/>
      <c r="AI412" s="149"/>
      <c r="AJ412" s="149"/>
      <c r="AK412" s="150"/>
      <c r="AL412" s="150"/>
      <c r="AM412" s="149"/>
      <c r="AN412" s="149"/>
      <c r="AO412" s="149"/>
      <c r="AP412" s="150"/>
      <c r="AQ412" s="150"/>
      <c r="AR412" s="150"/>
      <c r="AS412" s="150"/>
      <c r="AT412" s="150"/>
      <c r="AU412" s="150"/>
      <c r="AV412" s="150"/>
      <c r="AW412" s="150"/>
      <c r="AX412" s="150"/>
      <c r="AY412" s="151"/>
      <c r="AZ412" s="151"/>
      <c r="BA412" s="151"/>
      <c r="BB412" s="151"/>
      <c r="BC412" s="151"/>
      <c r="BD412" s="151"/>
      <c r="BE412" s="151"/>
      <c r="BF412" s="151"/>
      <c r="BG412" s="151"/>
      <c r="BH412" s="151"/>
      <c r="BI412" s="151"/>
    </row>
    <row r="413" spans="1:61" x14ac:dyDescent="0.25">
      <c r="A413" s="149"/>
      <c r="B413" s="149"/>
      <c r="C413" s="149"/>
      <c r="D413" s="149"/>
      <c r="E413" s="150"/>
      <c r="F413" s="150"/>
      <c r="G413" s="149"/>
      <c r="H413" s="149"/>
      <c r="I413" s="149"/>
      <c r="J413" s="150"/>
      <c r="K413" s="150"/>
      <c r="L413" s="149"/>
      <c r="M413" s="149"/>
      <c r="N413" s="149"/>
      <c r="O413" s="150"/>
      <c r="P413" s="150"/>
      <c r="Q413" s="149"/>
      <c r="R413" s="149"/>
      <c r="S413" s="149"/>
      <c r="T413" s="150"/>
      <c r="U413" s="150"/>
      <c r="V413" s="150"/>
      <c r="W413" s="150"/>
      <c r="X413" s="150"/>
      <c r="Y413" s="150"/>
      <c r="Z413" s="150"/>
      <c r="AA413" s="150"/>
      <c r="AB413" s="150"/>
      <c r="AC413" s="149"/>
      <c r="AD413" s="149"/>
      <c r="AE413" s="149"/>
      <c r="AF413" s="150"/>
      <c r="AG413" s="150"/>
      <c r="AH413" s="149"/>
      <c r="AI413" s="149"/>
      <c r="AJ413" s="149"/>
      <c r="AK413" s="150"/>
      <c r="AL413" s="150"/>
      <c r="AM413" s="149"/>
      <c r="AN413" s="149"/>
      <c r="AO413" s="149"/>
      <c r="AP413" s="150"/>
      <c r="AQ413" s="150"/>
      <c r="AR413" s="150"/>
      <c r="AS413" s="150"/>
      <c r="AT413" s="150"/>
      <c r="AU413" s="150"/>
      <c r="AV413" s="150"/>
      <c r="AW413" s="150"/>
      <c r="AX413" s="150"/>
      <c r="AY413" s="151"/>
      <c r="AZ413" s="151"/>
      <c r="BA413" s="151"/>
      <c r="BB413" s="151"/>
      <c r="BC413" s="151"/>
      <c r="BD413" s="151"/>
      <c r="BE413" s="151"/>
      <c r="BF413" s="151"/>
      <c r="BG413" s="151"/>
      <c r="BH413" s="151"/>
      <c r="BI413" s="151"/>
    </row>
    <row r="414" spans="1:61" x14ac:dyDescent="0.25">
      <c r="A414" s="149"/>
      <c r="B414" s="149"/>
      <c r="C414" s="149"/>
      <c r="D414" s="149"/>
      <c r="E414" s="150"/>
      <c r="F414" s="150"/>
      <c r="G414" s="149"/>
      <c r="H414" s="149"/>
      <c r="I414" s="149"/>
      <c r="J414" s="150"/>
      <c r="K414" s="150"/>
      <c r="L414" s="149"/>
      <c r="M414" s="149"/>
      <c r="N414" s="149"/>
      <c r="O414" s="150"/>
      <c r="P414" s="150"/>
      <c r="Q414" s="149"/>
      <c r="R414" s="149"/>
      <c r="S414" s="149"/>
      <c r="T414" s="150"/>
      <c r="U414" s="150"/>
      <c r="V414" s="150"/>
      <c r="W414" s="150"/>
      <c r="X414" s="150"/>
      <c r="Y414" s="150"/>
      <c r="Z414" s="150"/>
      <c r="AA414" s="150"/>
      <c r="AB414" s="150"/>
      <c r="AC414" s="149"/>
      <c r="AD414" s="149"/>
      <c r="AE414" s="149"/>
      <c r="AF414" s="150"/>
      <c r="AG414" s="150"/>
      <c r="AH414" s="149"/>
      <c r="AI414" s="149"/>
      <c r="AJ414" s="149"/>
      <c r="AK414" s="150"/>
      <c r="AL414" s="150"/>
      <c r="AM414" s="149"/>
      <c r="AN414" s="149"/>
      <c r="AO414" s="149"/>
      <c r="AP414" s="150"/>
      <c r="AQ414" s="150"/>
      <c r="AR414" s="150"/>
      <c r="AS414" s="150"/>
      <c r="AT414" s="150"/>
      <c r="AU414" s="150"/>
      <c r="AV414" s="150"/>
      <c r="AW414" s="150"/>
      <c r="AX414" s="150"/>
      <c r="AY414" s="151"/>
      <c r="AZ414" s="151"/>
      <c r="BA414" s="151"/>
      <c r="BB414" s="151"/>
      <c r="BC414" s="151"/>
      <c r="BD414" s="151"/>
      <c r="BE414" s="151"/>
      <c r="BF414" s="151"/>
      <c r="BG414" s="151"/>
      <c r="BH414" s="151"/>
      <c r="BI414" s="151"/>
    </row>
    <row r="415" spans="1:61" x14ac:dyDescent="0.25">
      <c r="A415" s="149"/>
      <c r="B415" s="149"/>
      <c r="C415" s="149"/>
      <c r="D415" s="149"/>
      <c r="E415" s="150"/>
      <c r="F415" s="150"/>
      <c r="G415" s="149"/>
      <c r="H415" s="149"/>
      <c r="I415" s="149"/>
      <c r="J415" s="150"/>
      <c r="K415" s="150"/>
      <c r="L415" s="149"/>
      <c r="M415" s="149"/>
      <c r="N415" s="149"/>
      <c r="O415" s="150"/>
      <c r="P415" s="150"/>
      <c r="Q415" s="149"/>
      <c r="R415" s="149"/>
      <c r="S415" s="149"/>
      <c r="T415" s="150"/>
      <c r="U415" s="150"/>
      <c r="V415" s="150"/>
      <c r="W415" s="150"/>
      <c r="X415" s="150"/>
      <c r="Y415" s="150"/>
      <c r="Z415" s="150"/>
      <c r="AA415" s="150"/>
      <c r="AB415" s="150"/>
      <c r="AC415" s="149"/>
      <c r="AD415" s="149"/>
      <c r="AE415" s="149"/>
      <c r="AF415" s="150"/>
      <c r="AG415" s="150"/>
      <c r="AH415" s="149"/>
      <c r="AI415" s="149"/>
      <c r="AJ415" s="149"/>
      <c r="AK415" s="150"/>
      <c r="AL415" s="150"/>
      <c r="AM415" s="149"/>
      <c r="AN415" s="149"/>
      <c r="AO415" s="149"/>
      <c r="AP415" s="150"/>
      <c r="AQ415" s="150"/>
      <c r="AR415" s="150"/>
      <c r="AS415" s="150"/>
      <c r="AT415" s="150"/>
      <c r="AU415" s="150"/>
      <c r="AV415" s="150"/>
      <c r="AW415" s="150"/>
      <c r="AX415" s="150"/>
      <c r="AY415" s="151"/>
      <c r="AZ415" s="151"/>
      <c r="BA415" s="151"/>
      <c r="BB415" s="151"/>
      <c r="BC415" s="151"/>
      <c r="BD415" s="151"/>
      <c r="BE415" s="151"/>
      <c r="BF415" s="151"/>
      <c r="BG415" s="151"/>
      <c r="BH415" s="151"/>
      <c r="BI415" s="151"/>
    </row>
    <row r="416" spans="1:61" x14ac:dyDescent="0.25">
      <c r="A416" s="149"/>
      <c r="B416" s="149"/>
      <c r="C416" s="149"/>
      <c r="D416" s="149"/>
      <c r="E416" s="150"/>
      <c r="F416" s="150"/>
      <c r="G416" s="149"/>
      <c r="H416" s="149"/>
      <c r="I416" s="149"/>
      <c r="J416" s="150"/>
      <c r="K416" s="150"/>
      <c r="L416" s="149"/>
      <c r="M416" s="149"/>
      <c r="N416" s="149"/>
      <c r="O416" s="150"/>
      <c r="P416" s="150"/>
      <c r="Q416" s="149"/>
      <c r="R416" s="149"/>
      <c r="S416" s="149"/>
      <c r="T416" s="150"/>
      <c r="U416" s="150"/>
      <c r="V416" s="150"/>
      <c r="W416" s="150"/>
      <c r="X416" s="150"/>
      <c r="Y416" s="150"/>
      <c r="Z416" s="150"/>
      <c r="AA416" s="150"/>
      <c r="AB416" s="150"/>
      <c r="AC416" s="149"/>
      <c r="AD416" s="149"/>
      <c r="AE416" s="149"/>
      <c r="AF416" s="150"/>
      <c r="AG416" s="150"/>
      <c r="AH416" s="149"/>
      <c r="AI416" s="149"/>
      <c r="AJ416" s="149"/>
      <c r="AK416" s="150"/>
      <c r="AL416" s="150"/>
      <c r="AM416" s="149"/>
      <c r="AN416" s="149"/>
      <c r="AO416" s="149"/>
      <c r="AP416" s="150"/>
      <c r="AQ416" s="150"/>
      <c r="AR416" s="150"/>
      <c r="AS416" s="150"/>
      <c r="AT416" s="150"/>
      <c r="AU416" s="150"/>
      <c r="AV416" s="150"/>
      <c r="AW416" s="150"/>
      <c r="AX416" s="150"/>
      <c r="AY416" s="151"/>
      <c r="AZ416" s="151"/>
      <c r="BA416" s="151"/>
      <c r="BB416" s="151"/>
      <c r="BC416" s="151"/>
      <c r="BD416" s="151"/>
      <c r="BE416" s="151"/>
      <c r="BF416" s="151"/>
      <c r="BG416" s="151"/>
      <c r="BH416" s="151"/>
      <c r="BI416" s="151"/>
    </row>
    <row r="417" spans="1:61" x14ac:dyDescent="0.25">
      <c r="A417" s="149"/>
      <c r="B417" s="149"/>
      <c r="C417" s="149"/>
      <c r="D417" s="149"/>
      <c r="E417" s="150"/>
      <c r="F417" s="150"/>
      <c r="G417" s="149"/>
      <c r="H417" s="149"/>
      <c r="I417" s="149"/>
      <c r="J417" s="150"/>
      <c r="K417" s="150"/>
      <c r="L417" s="149"/>
      <c r="M417" s="149"/>
      <c r="N417" s="149"/>
      <c r="O417" s="150"/>
      <c r="P417" s="150"/>
      <c r="Q417" s="149"/>
      <c r="R417" s="149"/>
      <c r="S417" s="149"/>
      <c r="T417" s="150"/>
      <c r="U417" s="150"/>
      <c r="V417" s="150"/>
      <c r="W417" s="150"/>
      <c r="X417" s="150"/>
      <c r="Y417" s="150"/>
      <c r="Z417" s="150"/>
      <c r="AA417" s="150"/>
      <c r="AB417" s="150"/>
      <c r="AC417" s="149"/>
      <c r="AD417" s="149"/>
      <c r="AE417" s="149"/>
      <c r="AF417" s="150"/>
      <c r="AG417" s="150"/>
      <c r="AH417" s="149"/>
      <c r="AI417" s="149"/>
      <c r="AJ417" s="149"/>
      <c r="AK417" s="150"/>
      <c r="AL417" s="150"/>
      <c r="AM417" s="149"/>
      <c r="AN417" s="149"/>
      <c r="AO417" s="149"/>
      <c r="AP417" s="150"/>
      <c r="AQ417" s="150"/>
      <c r="AR417" s="150"/>
      <c r="AS417" s="150"/>
      <c r="AT417" s="150"/>
      <c r="AU417" s="150"/>
      <c r="AV417" s="150"/>
      <c r="AW417" s="150"/>
      <c r="AX417" s="150"/>
      <c r="AY417" s="151"/>
      <c r="AZ417" s="151"/>
      <c r="BA417" s="151"/>
      <c r="BB417" s="151"/>
      <c r="BC417" s="151"/>
      <c r="BD417" s="151"/>
      <c r="BE417" s="151"/>
      <c r="BF417" s="151"/>
      <c r="BG417" s="151"/>
      <c r="BH417" s="151"/>
      <c r="BI417" s="151"/>
    </row>
    <row r="418" spans="1:61" x14ac:dyDescent="0.25">
      <c r="A418" s="149"/>
      <c r="B418" s="149"/>
      <c r="C418" s="149"/>
      <c r="D418" s="149"/>
      <c r="E418" s="150"/>
      <c r="F418" s="150"/>
      <c r="G418" s="149"/>
      <c r="H418" s="149"/>
      <c r="I418" s="149"/>
      <c r="J418" s="150"/>
      <c r="K418" s="150"/>
      <c r="L418" s="149"/>
      <c r="M418" s="149"/>
      <c r="N418" s="149"/>
      <c r="O418" s="150"/>
      <c r="P418" s="150"/>
      <c r="Q418" s="149"/>
      <c r="R418" s="149"/>
      <c r="S418" s="149"/>
      <c r="T418" s="150"/>
      <c r="U418" s="150"/>
      <c r="V418" s="150"/>
      <c r="W418" s="150"/>
      <c r="X418" s="150"/>
      <c r="Y418" s="150"/>
      <c r="Z418" s="150"/>
      <c r="AA418" s="150"/>
      <c r="AB418" s="150"/>
      <c r="AC418" s="149"/>
      <c r="AD418" s="149"/>
      <c r="AE418" s="149"/>
      <c r="AF418" s="150"/>
      <c r="AG418" s="150"/>
      <c r="AH418" s="149"/>
      <c r="AI418" s="149"/>
      <c r="AJ418" s="149"/>
      <c r="AK418" s="150"/>
      <c r="AL418" s="150"/>
      <c r="AM418" s="149"/>
      <c r="AN418" s="149"/>
      <c r="AO418" s="149"/>
      <c r="AP418" s="150"/>
      <c r="AQ418" s="150"/>
      <c r="AR418" s="150"/>
      <c r="AS418" s="150"/>
      <c r="AT418" s="150"/>
      <c r="AU418" s="150"/>
      <c r="AV418" s="150"/>
      <c r="AW418" s="150"/>
      <c r="AX418" s="150"/>
      <c r="AY418" s="151"/>
      <c r="AZ418" s="151"/>
      <c r="BA418" s="151"/>
      <c r="BB418" s="151"/>
      <c r="BC418" s="151"/>
      <c r="BD418" s="151"/>
      <c r="BE418" s="151"/>
      <c r="BF418" s="151"/>
      <c r="BG418" s="151"/>
      <c r="BH418" s="151"/>
      <c r="BI418" s="151"/>
    </row>
    <row r="419" spans="1:61" x14ac:dyDescent="0.25">
      <c r="A419" s="149"/>
      <c r="B419" s="149"/>
      <c r="C419" s="149"/>
      <c r="D419" s="149"/>
      <c r="E419" s="150"/>
      <c r="F419" s="150"/>
      <c r="G419" s="149"/>
      <c r="H419" s="149"/>
      <c r="I419" s="149"/>
      <c r="J419" s="150"/>
      <c r="K419" s="150"/>
      <c r="L419" s="149"/>
      <c r="M419" s="149"/>
      <c r="N419" s="149"/>
      <c r="O419" s="150"/>
      <c r="P419" s="150"/>
      <c r="Q419" s="149"/>
      <c r="R419" s="149"/>
      <c r="S419" s="149"/>
      <c r="T419" s="150"/>
      <c r="U419" s="150"/>
      <c r="V419" s="150"/>
      <c r="W419" s="150"/>
      <c r="X419" s="150"/>
      <c r="Y419" s="150"/>
      <c r="Z419" s="150"/>
      <c r="AA419" s="150"/>
      <c r="AB419" s="150"/>
      <c r="AC419" s="149"/>
      <c r="AD419" s="149"/>
      <c r="AE419" s="149"/>
      <c r="AF419" s="150"/>
      <c r="AG419" s="150"/>
      <c r="AH419" s="149"/>
      <c r="AI419" s="149"/>
      <c r="AJ419" s="149"/>
      <c r="AK419" s="150"/>
      <c r="AL419" s="150"/>
      <c r="AM419" s="149"/>
      <c r="AN419" s="149"/>
      <c r="AO419" s="149"/>
      <c r="AP419" s="150"/>
      <c r="AQ419" s="150"/>
      <c r="AR419" s="150"/>
      <c r="AS419" s="150"/>
      <c r="AT419" s="150"/>
      <c r="AU419" s="150"/>
      <c r="AV419" s="150"/>
      <c r="AW419" s="150"/>
      <c r="AX419" s="150"/>
      <c r="AY419" s="151"/>
      <c r="AZ419" s="151"/>
      <c r="BA419" s="151"/>
      <c r="BB419" s="151"/>
      <c r="BC419" s="151"/>
      <c r="BD419" s="151"/>
      <c r="BE419" s="151"/>
      <c r="BF419" s="151"/>
      <c r="BG419" s="151"/>
      <c r="BH419" s="151"/>
      <c r="BI419" s="151"/>
    </row>
    <row r="420" spans="1:61" x14ac:dyDescent="0.25">
      <c r="A420" s="149"/>
      <c r="B420" s="149"/>
      <c r="C420" s="149"/>
      <c r="D420" s="149"/>
      <c r="E420" s="150"/>
      <c r="F420" s="150"/>
      <c r="G420" s="149"/>
      <c r="H420" s="149"/>
      <c r="I420" s="149"/>
      <c r="J420" s="150"/>
      <c r="K420" s="150"/>
      <c r="L420" s="149"/>
      <c r="M420" s="149"/>
      <c r="N420" s="149"/>
      <c r="O420" s="150"/>
      <c r="P420" s="150"/>
      <c r="Q420" s="149"/>
      <c r="R420" s="149"/>
      <c r="S420" s="149"/>
      <c r="T420" s="150"/>
      <c r="U420" s="150"/>
      <c r="V420" s="150"/>
      <c r="W420" s="150"/>
      <c r="X420" s="150"/>
      <c r="Y420" s="150"/>
      <c r="Z420" s="150"/>
      <c r="AA420" s="150"/>
      <c r="AB420" s="150"/>
      <c r="AC420" s="149"/>
      <c r="AD420" s="149"/>
      <c r="AE420" s="149"/>
      <c r="AF420" s="150"/>
      <c r="AG420" s="150"/>
      <c r="AH420" s="149"/>
      <c r="AI420" s="149"/>
      <c r="AJ420" s="149"/>
      <c r="AK420" s="150"/>
      <c r="AL420" s="150"/>
      <c r="AM420" s="149"/>
      <c r="AN420" s="149"/>
      <c r="AO420" s="149"/>
      <c r="AP420" s="150"/>
      <c r="AQ420" s="150"/>
      <c r="AR420" s="150"/>
      <c r="AS420" s="150"/>
      <c r="AT420" s="150"/>
      <c r="AU420" s="150"/>
      <c r="AV420" s="150"/>
      <c r="AW420" s="150"/>
      <c r="AX420" s="150"/>
      <c r="AY420" s="151"/>
      <c r="AZ420" s="151"/>
      <c r="BA420" s="151"/>
      <c r="BB420" s="151"/>
      <c r="BC420" s="151"/>
      <c r="BD420" s="151"/>
      <c r="BE420" s="151"/>
      <c r="BF420" s="151"/>
      <c r="BG420" s="151"/>
      <c r="BH420" s="151"/>
      <c r="BI420" s="151"/>
    </row>
    <row r="421" spans="1:61" x14ac:dyDescent="0.25">
      <c r="A421" s="149"/>
      <c r="B421" s="149"/>
      <c r="C421" s="149"/>
      <c r="D421" s="149"/>
      <c r="E421" s="150"/>
      <c r="F421" s="150"/>
      <c r="G421" s="149"/>
      <c r="H421" s="149"/>
      <c r="I421" s="149"/>
      <c r="J421" s="150"/>
      <c r="K421" s="150"/>
      <c r="L421" s="149"/>
      <c r="M421" s="149"/>
      <c r="N421" s="149"/>
      <c r="O421" s="150"/>
      <c r="P421" s="150"/>
      <c r="Q421" s="149"/>
      <c r="R421" s="149"/>
      <c r="S421" s="149"/>
      <c r="T421" s="150"/>
      <c r="U421" s="150"/>
      <c r="V421" s="150"/>
      <c r="W421" s="150"/>
      <c r="X421" s="150"/>
      <c r="Y421" s="150"/>
      <c r="Z421" s="150"/>
      <c r="AA421" s="150"/>
      <c r="AB421" s="150"/>
      <c r="AC421" s="149"/>
      <c r="AD421" s="149"/>
      <c r="AE421" s="149"/>
      <c r="AF421" s="150"/>
      <c r="AG421" s="150"/>
      <c r="AH421" s="149"/>
      <c r="AI421" s="149"/>
      <c r="AJ421" s="149"/>
      <c r="AK421" s="150"/>
      <c r="AL421" s="150"/>
      <c r="AM421" s="149"/>
      <c r="AN421" s="149"/>
      <c r="AO421" s="149"/>
      <c r="AP421" s="150"/>
      <c r="AQ421" s="150"/>
      <c r="AR421" s="150"/>
      <c r="AS421" s="150"/>
      <c r="AT421" s="150"/>
      <c r="AU421" s="150"/>
      <c r="AV421" s="150"/>
      <c r="AW421" s="150"/>
      <c r="AX421" s="150"/>
      <c r="AY421" s="151"/>
      <c r="AZ421" s="151"/>
      <c r="BA421" s="151"/>
      <c r="BB421" s="151"/>
      <c r="BC421" s="151"/>
      <c r="BD421" s="151"/>
      <c r="BE421" s="151"/>
      <c r="BF421" s="151"/>
      <c r="BG421" s="151"/>
      <c r="BH421" s="151"/>
      <c r="BI421" s="151"/>
    </row>
    <row r="422" spans="1:61" x14ac:dyDescent="0.25">
      <c r="A422" s="149"/>
      <c r="B422" s="149"/>
      <c r="C422" s="149"/>
      <c r="D422" s="149"/>
      <c r="E422" s="150"/>
      <c r="F422" s="150"/>
      <c r="G422" s="149"/>
      <c r="H422" s="149"/>
      <c r="I422" s="149"/>
      <c r="J422" s="150"/>
      <c r="K422" s="150"/>
      <c r="L422" s="149"/>
      <c r="M422" s="149"/>
      <c r="N422" s="149"/>
      <c r="O422" s="150"/>
      <c r="P422" s="150"/>
      <c r="Q422" s="149"/>
      <c r="R422" s="149"/>
      <c r="S422" s="149"/>
      <c r="T422" s="150"/>
      <c r="U422" s="150"/>
      <c r="V422" s="150"/>
      <c r="W422" s="150"/>
      <c r="X422" s="150"/>
      <c r="Y422" s="150"/>
      <c r="Z422" s="150"/>
      <c r="AA422" s="150"/>
      <c r="AB422" s="150"/>
      <c r="AC422" s="149"/>
      <c r="AD422" s="149"/>
      <c r="AE422" s="149"/>
      <c r="AF422" s="150"/>
      <c r="AG422" s="150"/>
      <c r="AH422" s="149"/>
      <c r="AI422" s="149"/>
      <c r="AJ422" s="149"/>
      <c r="AK422" s="150"/>
      <c r="AL422" s="150"/>
      <c r="AM422" s="149"/>
      <c r="AN422" s="149"/>
      <c r="AO422" s="149"/>
      <c r="AP422" s="150"/>
      <c r="AQ422" s="150"/>
      <c r="AR422" s="150"/>
      <c r="AS422" s="150"/>
      <c r="AT422" s="150"/>
      <c r="AU422" s="150"/>
      <c r="AV422" s="150"/>
      <c r="AW422" s="150"/>
      <c r="AX422" s="150"/>
      <c r="AY422" s="151"/>
      <c r="AZ422" s="151"/>
      <c r="BA422" s="151"/>
      <c r="BB422" s="151"/>
      <c r="BC422" s="151"/>
      <c r="BD422" s="151"/>
      <c r="BE422" s="151"/>
      <c r="BF422" s="151"/>
      <c r="BG422" s="151"/>
      <c r="BH422" s="151"/>
      <c r="BI422" s="151"/>
    </row>
    <row r="423" spans="1:61" x14ac:dyDescent="0.25">
      <c r="A423" s="149"/>
      <c r="B423" s="149"/>
      <c r="C423" s="149"/>
      <c r="D423" s="149"/>
      <c r="E423" s="150"/>
      <c r="F423" s="150"/>
      <c r="G423" s="149"/>
      <c r="H423" s="149"/>
      <c r="I423" s="149"/>
      <c r="J423" s="150"/>
      <c r="K423" s="150"/>
      <c r="L423" s="149"/>
      <c r="M423" s="149"/>
      <c r="N423" s="149"/>
      <c r="O423" s="150"/>
      <c r="P423" s="150"/>
      <c r="Q423" s="149"/>
      <c r="R423" s="149"/>
      <c r="S423" s="149"/>
      <c r="T423" s="150"/>
      <c r="U423" s="150"/>
      <c r="V423" s="150"/>
      <c r="W423" s="150"/>
      <c r="X423" s="150"/>
      <c r="Y423" s="150"/>
      <c r="Z423" s="150"/>
      <c r="AA423" s="150"/>
      <c r="AB423" s="150"/>
      <c r="AC423" s="149"/>
      <c r="AD423" s="149"/>
      <c r="AE423" s="149"/>
      <c r="AF423" s="150"/>
      <c r="AG423" s="150"/>
      <c r="AH423" s="149"/>
      <c r="AI423" s="149"/>
      <c r="AJ423" s="149"/>
      <c r="AK423" s="150"/>
      <c r="AL423" s="150"/>
      <c r="AM423" s="149"/>
      <c r="AN423" s="149"/>
      <c r="AO423" s="149"/>
      <c r="AP423" s="150"/>
      <c r="AQ423" s="150"/>
      <c r="AR423" s="150"/>
      <c r="AS423" s="150"/>
      <c r="AT423" s="150"/>
      <c r="AU423" s="150"/>
      <c r="AV423" s="150"/>
      <c r="AW423" s="150"/>
      <c r="AX423" s="150"/>
      <c r="AY423" s="151"/>
      <c r="AZ423" s="151"/>
      <c r="BA423" s="151"/>
      <c r="BB423" s="151"/>
      <c r="BC423" s="151"/>
      <c r="BD423" s="151"/>
      <c r="BE423" s="151"/>
      <c r="BF423" s="151"/>
      <c r="BG423" s="151"/>
      <c r="BH423" s="151"/>
      <c r="BI423" s="151"/>
    </row>
    <row r="424" spans="1:61" x14ac:dyDescent="0.25">
      <c r="A424" s="149"/>
      <c r="B424" s="149"/>
      <c r="C424" s="149"/>
      <c r="D424" s="149"/>
      <c r="E424" s="150"/>
      <c r="F424" s="150"/>
      <c r="G424" s="149"/>
      <c r="H424" s="149"/>
      <c r="I424" s="149"/>
      <c r="J424" s="150"/>
      <c r="K424" s="150"/>
      <c r="L424" s="149"/>
      <c r="M424" s="149"/>
      <c r="N424" s="149"/>
      <c r="O424" s="150"/>
      <c r="P424" s="150"/>
      <c r="Q424" s="149"/>
      <c r="R424" s="149"/>
      <c r="S424" s="149"/>
      <c r="T424" s="150"/>
      <c r="U424" s="150"/>
      <c r="V424" s="150"/>
      <c r="W424" s="150"/>
      <c r="X424" s="150"/>
      <c r="Y424" s="150"/>
      <c r="Z424" s="150"/>
      <c r="AA424" s="150"/>
      <c r="AB424" s="150"/>
      <c r="AC424" s="149"/>
      <c r="AD424" s="149"/>
      <c r="AE424" s="149"/>
      <c r="AF424" s="150"/>
      <c r="AG424" s="150"/>
      <c r="AH424" s="149"/>
      <c r="AI424" s="149"/>
      <c r="AJ424" s="149"/>
      <c r="AK424" s="150"/>
      <c r="AL424" s="150"/>
      <c r="AM424" s="149"/>
      <c r="AN424" s="149"/>
      <c r="AO424" s="149"/>
      <c r="AP424" s="150"/>
      <c r="AQ424" s="150"/>
      <c r="AR424" s="150"/>
      <c r="AS424" s="150"/>
      <c r="AT424" s="150"/>
      <c r="AU424" s="150"/>
      <c r="AV424" s="150"/>
      <c r="AW424" s="150"/>
      <c r="AX424" s="150"/>
      <c r="AY424" s="151"/>
      <c r="AZ424" s="151"/>
      <c r="BA424" s="151"/>
      <c r="BB424" s="151"/>
      <c r="BC424" s="151"/>
      <c r="BD424" s="151"/>
      <c r="BE424" s="151"/>
      <c r="BF424" s="151"/>
      <c r="BG424" s="151"/>
      <c r="BH424" s="151"/>
      <c r="BI424" s="151"/>
    </row>
    <row r="425" spans="1:61" x14ac:dyDescent="0.25">
      <c r="A425" s="149"/>
      <c r="B425" s="149"/>
      <c r="C425" s="149"/>
      <c r="D425" s="149"/>
      <c r="E425" s="150"/>
      <c r="F425" s="150"/>
      <c r="G425" s="149"/>
      <c r="H425" s="149"/>
      <c r="I425" s="149"/>
      <c r="J425" s="150"/>
      <c r="K425" s="150"/>
      <c r="L425" s="149"/>
      <c r="M425" s="149"/>
      <c r="N425" s="149"/>
      <c r="O425" s="150"/>
      <c r="P425" s="150"/>
      <c r="Q425" s="149"/>
      <c r="R425" s="149"/>
      <c r="S425" s="149"/>
      <c r="T425" s="150"/>
      <c r="U425" s="150"/>
      <c r="V425" s="150"/>
      <c r="W425" s="150"/>
      <c r="X425" s="150"/>
      <c r="Y425" s="150"/>
      <c r="Z425" s="150"/>
      <c r="AA425" s="150"/>
      <c r="AB425" s="150"/>
      <c r="AC425" s="149"/>
      <c r="AD425" s="149"/>
      <c r="AE425" s="149"/>
      <c r="AF425" s="150"/>
      <c r="AG425" s="150"/>
      <c r="AH425" s="149"/>
      <c r="AI425" s="149"/>
      <c r="AJ425" s="149"/>
      <c r="AK425" s="150"/>
      <c r="AL425" s="150"/>
      <c r="AM425" s="149"/>
      <c r="AN425" s="149"/>
      <c r="AO425" s="149"/>
      <c r="AP425" s="150"/>
      <c r="AQ425" s="150"/>
      <c r="AR425" s="150"/>
      <c r="AS425" s="150"/>
      <c r="AT425" s="150"/>
      <c r="AU425" s="150"/>
      <c r="AV425" s="150"/>
      <c r="AW425" s="150"/>
      <c r="AX425" s="150"/>
      <c r="AY425" s="151"/>
      <c r="AZ425" s="151"/>
      <c r="BA425" s="151"/>
      <c r="BB425" s="151"/>
      <c r="BC425" s="151"/>
      <c r="BD425" s="151"/>
      <c r="BE425" s="151"/>
      <c r="BF425" s="151"/>
      <c r="BG425" s="151"/>
      <c r="BH425" s="151"/>
      <c r="BI425" s="151"/>
    </row>
    <row r="426" spans="1:61" x14ac:dyDescent="0.25">
      <c r="A426" s="149"/>
      <c r="B426" s="149"/>
      <c r="C426" s="149"/>
      <c r="D426" s="149"/>
      <c r="E426" s="150"/>
      <c r="F426" s="150"/>
      <c r="G426" s="149"/>
      <c r="H426" s="149"/>
      <c r="I426" s="149"/>
      <c r="J426" s="150"/>
      <c r="K426" s="150"/>
      <c r="L426" s="149"/>
      <c r="M426" s="149"/>
      <c r="N426" s="149"/>
      <c r="O426" s="150"/>
      <c r="P426" s="150"/>
      <c r="Q426" s="149"/>
      <c r="R426" s="149"/>
      <c r="S426" s="149"/>
      <c r="T426" s="150"/>
      <c r="U426" s="150"/>
      <c r="V426" s="150"/>
      <c r="W426" s="150"/>
      <c r="X426" s="150"/>
      <c r="Y426" s="150"/>
      <c r="Z426" s="150"/>
      <c r="AA426" s="150"/>
      <c r="AB426" s="150"/>
      <c r="AC426" s="149"/>
      <c r="AD426" s="149"/>
      <c r="AE426" s="149"/>
      <c r="AF426" s="150"/>
      <c r="AG426" s="150"/>
      <c r="AH426" s="149"/>
      <c r="AI426" s="149"/>
      <c r="AJ426" s="149"/>
      <c r="AK426" s="150"/>
      <c r="AL426" s="150"/>
      <c r="AM426" s="149"/>
      <c r="AN426" s="149"/>
      <c r="AO426" s="149"/>
      <c r="AP426" s="150"/>
      <c r="AQ426" s="150"/>
      <c r="AR426" s="150"/>
      <c r="AS426" s="150"/>
      <c r="AT426" s="150"/>
      <c r="AU426" s="150"/>
      <c r="AV426" s="150"/>
      <c r="AW426" s="150"/>
      <c r="AX426" s="150"/>
      <c r="AY426" s="151"/>
      <c r="AZ426" s="151"/>
      <c r="BA426" s="151"/>
      <c r="BB426" s="151"/>
      <c r="BC426" s="151"/>
      <c r="BD426" s="151"/>
      <c r="BE426" s="151"/>
      <c r="BF426" s="151"/>
      <c r="BG426" s="151"/>
      <c r="BH426" s="151"/>
      <c r="BI426" s="151"/>
    </row>
    <row r="427" spans="1:61" x14ac:dyDescent="0.25">
      <c r="A427" s="149"/>
      <c r="B427" s="149"/>
      <c r="C427" s="149"/>
      <c r="D427" s="149"/>
      <c r="E427" s="150"/>
      <c r="F427" s="150"/>
      <c r="G427" s="149"/>
      <c r="H427" s="149"/>
      <c r="I427" s="149"/>
      <c r="J427" s="150"/>
      <c r="K427" s="150"/>
      <c r="L427" s="149"/>
      <c r="M427" s="149"/>
      <c r="N427" s="149"/>
      <c r="O427" s="150"/>
      <c r="P427" s="150"/>
      <c r="Q427" s="149"/>
      <c r="R427" s="149"/>
      <c r="S427" s="149"/>
      <c r="T427" s="150"/>
      <c r="U427" s="150"/>
      <c r="V427" s="150"/>
      <c r="W427" s="150"/>
      <c r="X427" s="150"/>
      <c r="Y427" s="150"/>
      <c r="Z427" s="150"/>
      <c r="AA427" s="150"/>
      <c r="AB427" s="150"/>
      <c r="AC427" s="149"/>
      <c r="AD427" s="149"/>
      <c r="AE427" s="149"/>
      <c r="AF427" s="150"/>
      <c r="AG427" s="150"/>
      <c r="AH427" s="149"/>
      <c r="AI427" s="149"/>
      <c r="AJ427" s="149"/>
      <c r="AK427" s="150"/>
      <c r="AL427" s="150"/>
      <c r="AM427" s="149"/>
      <c r="AN427" s="149"/>
      <c r="AO427" s="149"/>
      <c r="AP427" s="150"/>
      <c r="AQ427" s="150"/>
      <c r="AR427" s="150"/>
      <c r="AS427" s="150"/>
      <c r="AT427" s="150"/>
      <c r="AU427" s="150"/>
      <c r="AV427" s="150"/>
      <c r="AW427" s="150"/>
      <c r="AX427" s="150"/>
      <c r="AY427" s="151"/>
      <c r="AZ427" s="151"/>
      <c r="BA427" s="151"/>
      <c r="BB427" s="151"/>
      <c r="BC427" s="151"/>
      <c r="BD427" s="151"/>
      <c r="BE427" s="151"/>
      <c r="BF427" s="151"/>
      <c r="BG427" s="151"/>
      <c r="BH427" s="151"/>
      <c r="BI427" s="151"/>
    </row>
    <row r="428" spans="1:61" x14ac:dyDescent="0.25">
      <c r="A428" s="149"/>
      <c r="B428" s="149"/>
      <c r="C428" s="149"/>
      <c r="D428" s="149"/>
      <c r="E428" s="150"/>
      <c r="F428" s="150"/>
      <c r="G428" s="149"/>
      <c r="H428" s="149"/>
      <c r="I428" s="149"/>
      <c r="J428" s="150"/>
      <c r="K428" s="150"/>
      <c r="L428" s="149"/>
      <c r="M428" s="149"/>
      <c r="N428" s="149"/>
      <c r="O428" s="150"/>
      <c r="P428" s="150"/>
      <c r="Q428" s="149"/>
      <c r="R428" s="149"/>
      <c r="S428" s="149"/>
      <c r="T428" s="150"/>
      <c r="U428" s="150"/>
      <c r="V428" s="150"/>
      <c r="W428" s="150"/>
      <c r="X428" s="150"/>
      <c r="Y428" s="150"/>
      <c r="Z428" s="150"/>
      <c r="AA428" s="150"/>
      <c r="AB428" s="150"/>
      <c r="AC428" s="149"/>
      <c r="AD428" s="149"/>
      <c r="AE428" s="149"/>
      <c r="AF428" s="150"/>
      <c r="AG428" s="150"/>
      <c r="AH428" s="149"/>
      <c r="AI428" s="149"/>
      <c r="AJ428" s="149"/>
      <c r="AK428" s="150"/>
      <c r="AL428" s="150"/>
      <c r="AM428" s="149"/>
      <c r="AN428" s="149"/>
      <c r="AO428" s="149"/>
      <c r="AP428" s="150"/>
      <c r="AQ428" s="150"/>
      <c r="AR428" s="150"/>
      <c r="AS428" s="150"/>
      <c r="AT428" s="150"/>
      <c r="AU428" s="150"/>
      <c r="AV428" s="150"/>
      <c r="AW428" s="150"/>
      <c r="AX428" s="150"/>
      <c r="AY428" s="151"/>
      <c r="AZ428" s="151"/>
      <c r="BA428" s="151"/>
      <c r="BB428" s="151"/>
      <c r="BC428" s="151"/>
      <c r="BD428" s="151"/>
      <c r="BE428" s="151"/>
      <c r="BF428" s="151"/>
      <c r="BG428" s="151"/>
      <c r="BH428" s="151"/>
      <c r="BI428" s="151"/>
    </row>
    <row r="429" spans="1:61" x14ac:dyDescent="0.25">
      <c r="A429" s="149"/>
      <c r="B429" s="149"/>
      <c r="C429" s="149"/>
      <c r="D429" s="149"/>
      <c r="E429" s="150"/>
      <c r="F429" s="150"/>
      <c r="G429" s="149"/>
      <c r="H429" s="149"/>
      <c r="I429" s="149"/>
      <c r="J429" s="150"/>
      <c r="K429" s="150"/>
      <c r="L429" s="149"/>
      <c r="M429" s="149"/>
      <c r="N429" s="149"/>
      <c r="O429" s="150"/>
      <c r="P429" s="150"/>
      <c r="Q429" s="149"/>
      <c r="R429" s="149"/>
      <c r="S429" s="149"/>
      <c r="T429" s="150"/>
      <c r="U429" s="150"/>
      <c r="V429" s="150"/>
      <c r="W429" s="150"/>
      <c r="X429" s="150"/>
      <c r="Y429" s="150"/>
      <c r="Z429" s="150"/>
      <c r="AA429" s="150"/>
      <c r="AB429" s="150"/>
      <c r="AC429" s="149"/>
      <c r="AD429" s="149"/>
      <c r="AE429" s="149"/>
      <c r="AF429" s="150"/>
      <c r="AG429" s="150"/>
      <c r="AH429" s="149"/>
      <c r="AI429" s="149"/>
      <c r="AJ429" s="149"/>
      <c r="AK429" s="150"/>
      <c r="AL429" s="150"/>
      <c r="AM429" s="149"/>
      <c r="AN429" s="149"/>
      <c r="AO429" s="149"/>
      <c r="AP429" s="150"/>
      <c r="AQ429" s="150"/>
      <c r="AR429" s="150"/>
      <c r="AS429" s="150"/>
      <c r="AT429" s="150"/>
      <c r="AU429" s="150"/>
      <c r="AV429" s="150"/>
      <c r="AW429" s="150"/>
      <c r="AX429" s="150"/>
      <c r="AY429" s="151"/>
      <c r="AZ429" s="151"/>
      <c r="BA429" s="151"/>
      <c r="BB429" s="151"/>
      <c r="BC429" s="151"/>
      <c r="BD429" s="151"/>
      <c r="BE429" s="151"/>
      <c r="BF429" s="151"/>
      <c r="BG429" s="151"/>
      <c r="BH429" s="151"/>
      <c r="BI429" s="151"/>
    </row>
    <row r="430" spans="1:61" x14ac:dyDescent="0.25">
      <c r="A430" s="149"/>
      <c r="B430" s="149"/>
      <c r="C430" s="149"/>
      <c r="D430" s="149"/>
      <c r="E430" s="150"/>
      <c r="F430" s="150"/>
      <c r="G430" s="149"/>
      <c r="H430" s="149"/>
      <c r="I430" s="149"/>
      <c r="J430" s="150"/>
      <c r="K430" s="150"/>
      <c r="L430" s="149"/>
      <c r="M430" s="149"/>
      <c r="N430" s="149"/>
      <c r="O430" s="150"/>
      <c r="P430" s="150"/>
      <c r="Q430" s="149"/>
      <c r="R430" s="149"/>
      <c r="S430" s="149"/>
      <c r="T430" s="150"/>
      <c r="U430" s="150"/>
      <c r="V430" s="150"/>
      <c r="W430" s="150"/>
      <c r="X430" s="150"/>
      <c r="Y430" s="150"/>
      <c r="Z430" s="150"/>
      <c r="AA430" s="150"/>
      <c r="AB430" s="150"/>
      <c r="AC430" s="149"/>
      <c r="AD430" s="149"/>
      <c r="AE430" s="149"/>
      <c r="AF430" s="150"/>
      <c r="AG430" s="150"/>
      <c r="AH430" s="149"/>
      <c r="AI430" s="149"/>
      <c r="AJ430" s="149"/>
      <c r="AK430" s="150"/>
      <c r="AL430" s="150"/>
      <c r="AM430" s="149"/>
      <c r="AN430" s="149"/>
      <c r="AO430" s="149"/>
      <c r="AP430" s="150"/>
      <c r="AQ430" s="150"/>
      <c r="AR430" s="150"/>
      <c r="AS430" s="150"/>
      <c r="AT430" s="150"/>
      <c r="AU430" s="150"/>
      <c r="AV430" s="150"/>
      <c r="AW430" s="150"/>
      <c r="AX430" s="150"/>
      <c r="AY430" s="151"/>
      <c r="AZ430" s="151"/>
      <c r="BA430" s="151"/>
      <c r="BB430" s="151"/>
      <c r="BC430" s="151"/>
      <c r="BD430" s="151"/>
      <c r="BE430" s="151"/>
      <c r="BF430" s="151"/>
      <c r="BG430" s="151"/>
      <c r="BH430" s="151"/>
      <c r="BI430" s="151"/>
    </row>
    <row r="431" spans="1:61" x14ac:dyDescent="0.25">
      <c r="A431" s="149"/>
      <c r="B431" s="149"/>
      <c r="C431" s="149"/>
      <c r="D431" s="149"/>
      <c r="E431" s="150"/>
      <c r="F431" s="150"/>
      <c r="G431" s="149"/>
      <c r="H431" s="149"/>
      <c r="I431" s="149"/>
      <c r="J431" s="150"/>
      <c r="K431" s="150"/>
      <c r="L431" s="149"/>
      <c r="M431" s="149"/>
      <c r="N431" s="149"/>
      <c r="O431" s="150"/>
      <c r="P431" s="150"/>
      <c r="Q431" s="149"/>
      <c r="R431" s="149"/>
      <c r="S431" s="149"/>
      <c r="T431" s="150"/>
      <c r="U431" s="150"/>
      <c r="V431" s="150"/>
      <c r="W431" s="150"/>
      <c r="X431" s="150"/>
      <c r="Y431" s="150"/>
      <c r="Z431" s="150"/>
      <c r="AA431" s="150"/>
      <c r="AB431" s="150"/>
      <c r="AC431" s="149"/>
      <c r="AD431" s="149"/>
      <c r="AE431" s="149"/>
      <c r="AF431" s="150"/>
      <c r="AG431" s="150"/>
      <c r="AH431" s="149"/>
      <c r="AI431" s="149"/>
      <c r="AJ431" s="149"/>
      <c r="AK431" s="150"/>
      <c r="AL431" s="150"/>
      <c r="AM431" s="149"/>
      <c r="AN431" s="149"/>
      <c r="AO431" s="149"/>
      <c r="AP431" s="150"/>
      <c r="AQ431" s="150"/>
      <c r="AR431" s="150"/>
      <c r="AS431" s="150"/>
      <c r="AT431" s="150"/>
      <c r="AU431" s="150"/>
      <c r="AV431" s="150"/>
      <c r="AW431" s="150"/>
      <c r="AX431" s="150"/>
      <c r="AY431" s="151"/>
      <c r="AZ431" s="151"/>
      <c r="BA431" s="151"/>
      <c r="BB431" s="151"/>
      <c r="BC431" s="151"/>
      <c r="BD431" s="151"/>
      <c r="BE431" s="151"/>
      <c r="BF431" s="151"/>
      <c r="BG431" s="151"/>
      <c r="BH431" s="151"/>
      <c r="BI431" s="151"/>
    </row>
    <row r="432" spans="1:61" x14ac:dyDescent="0.25">
      <c r="A432" s="149"/>
      <c r="B432" s="149"/>
      <c r="C432" s="149"/>
      <c r="D432" s="149"/>
      <c r="E432" s="150"/>
      <c r="F432" s="150"/>
      <c r="G432" s="149"/>
      <c r="H432" s="149"/>
      <c r="I432" s="149"/>
      <c r="J432" s="150"/>
      <c r="K432" s="150"/>
      <c r="L432" s="149"/>
      <c r="M432" s="149"/>
      <c r="N432" s="149"/>
      <c r="O432" s="150"/>
      <c r="P432" s="150"/>
      <c r="Q432" s="149"/>
      <c r="R432" s="149"/>
      <c r="S432" s="149"/>
      <c r="T432" s="150"/>
      <c r="U432" s="150"/>
      <c r="V432" s="150"/>
      <c r="W432" s="150"/>
      <c r="X432" s="150"/>
      <c r="Y432" s="150"/>
      <c r="Z432" s="150"/>
      <c r="AA432" s="150"/>
      <c r="AB432" s="150"/>
      <c r="AC432" s="149"/>
      <c r="AD432" s="149"/>
      <c r="AE432" s="149"/>
      <c r="AF432" s="150"/>
      <c r="AG432" s="150"/>
      <c r="AH432" s="149"/>
      <c r="AI432" s="149"/>
      <c r="AJ432" s="149"/>
      <c r="AK432" s="150"/>
      <c r="AL432" s="150"/>
      <c r="AM432" s="149"/>
      <c r="AN432" s="149"/>
      <c r="AO432" s="149"/>
      <c r="AP432" s="150"/>
      <c r="AQ432" s="150"/>
      <c r="AR432" s="150"/>
      <c r="AS432" s="150"/>
      <c r="AT432" s="150"/>
      <c r="AU432" s="150"/>
      <c r="AV432" s="150"/>
      <c r="AW432" s="150"/>
      <c r="AX432" s="150"/>
      <c r="AY432" s="151"/>
      <c r="AZ432" s="151"/>
      <c r="BA432" s="151"/>
      <c r="BB432" s="151"/>
      <c r="BC432" s="151"/>
      <c r="BD432" s="151"/>
      <c r="BE432" s="151"/>
      <c r="BF432" s="151"/>
      <c r="BG432" s="151"/>
      <c r="BH432" s="151"/>
      <c r="BI432" s="151"/>
    </row>
    <row r="433" spans="1:61" x14ac:dyDescent="0.25">
      <c r="A433" s="149"/>
      <c r="B433" s="149"/>
      <c r="C433" s="149"/>
      <c r="D433" s="149"/>
      <c r="E433" s="150"/>
      <c r="F433" s="150"/>
      <c r="G433" s="149"/>
      <c r="H433" s="149"/>
      <c r="I433" s="149"/>
      <c r="J433" s="150"/>
      <c r="K433" s="150"/>
      <c r="L433" s="149"/>
      <c r="M433" s="149"/>
      <c r="N433" s="149"/>
      <c r="O433" s="150"/>
      <c r="P433" s="150"/>
      <c r="Q433" s="149"/>
      <c r="R433" s="149"/>
      <c r="S433" s="149"/>
      <c r="T433" s="150"/>
      <c r="U433" s="150"/>
      <c r="V433" s="150"/>
      <c r="W433" s="150"/>
      <c r="X433" s="150"/>
      <c r="Y433" s="150"/>
      <c r="Z433" s="150"/>
      <c r="AA433" s="150"/>
      <c r="AB433" s="150"/>
      <c r="AC433" s="149"/>
      <c r="AD433" s="149"/>
      <c r="AE433" s="149"/>
      <c r="AF433" s="150"/>
      <c r="AG433" s="150"/>
      <c r="AH433" s="149"/>
      <c r="AI433" s="149"/>
      <c r="AJ433" s="149"/>
      <c r="AK433" s="150"/>
      <c r="AL433" s="150"/>
      <c r="AM433" s="149"/>
      <c r="AN433" s="149"/>
      <c r="AO433" s="149"/>
      <c r="AP433" s="150"/>
      <c r="AQ433" s="150"/>
      <c r="AR433" s="150"/>
      <c r="AS433" s="150"/>
      <c r="AT433" s="150"/>
      <c r="AU433" s="150"/>
      <c r="AV433" s="150"/>
      <c r="AW433" s="150"/>
      <c r="AX433" s="150"/>
      <c r="AY433" s="151"/>
      <c r="AZ433" s="151"/>
      <c r="BA433" s="151"/>
      <c r="BB433" s="151"/>
      <c r="BC433" s="151"/>
      <c r="BD433" s="151"/>
      <c r="BE433" s="151"/>
      <c r="BF433" s="151"/>
      <c r="BG433" s="151"/>
      <c r="BH433" s="151"/>
      <c r="BI433" s="151"/>
    </row>
    <row r="434" spans="1:61" x14ac:dyDescent="0.25">
      <c r="A434" s="149"/>
      <c r="B434" s="149"/>
      <c r="C434" s="149"/>
      <c r="D434" s="149"/>
      <c r="E434" s="150"/>
      <c r="F434" s="150"/>
      <c r="G434" s="149"/>
      <c r="H434" s="149"/>
      <c r="I434" s="149"/>
      <c r="J434" s="150"/>
      <c r="K434" s="150"/>
      <c r="L434" s="149"/>
      <c r="M434" s="149"/>
      <c r="N434" s="149"/>
      <c r="O434" s="150"/>
      <c r="P434" s="150"/>
      <c r="Q434" s="149"/>
      <c r="R434" s="149"/>
      <c r="S434" s="149"/>
      <c r="T434" s="150"/>
      <c r="U434" s="150"/>
      <c r="V434" s="150"/>
      <c r="W434" s="150"/>
      <c r="X434" s="150"/>
      <c r="Y434" s="150"/>
      <c r="Z434" s="150"/>
      <c r="AA434" s="150"/>
      <c r="AB434" s="150"/>
      <c r="AC434" s="149"/>
      <c r="AD434" s="149"/>
      <c r="AE434" s="149"/>
      <c r="AF434" s="150"/>
      <c r="AG434" s="150"/>
      <c r="AH434" s="149"/>
      <c r="AI434" s="149"/>
      <c r="AJ434" s="149"/>
      <c r="AK434" s="150"/>
      <c r="AL434" s="150"/>
      <c r="AM434" s="149"/>
      <c r="AN434" s="149"/>
      <c r="AO434" s="149"/>
      <c r="AP434" s="150"/>
      <c r="AQ434" s="150"/>
      <c r="AR434" s="150"/>
      <c r="AS434" s="150"/>
      <c r="AT434" s="150"/>
      <c r="AU434" s="150"/>
      <c r="AV434" s="150"/>
      <c r="AW434" s="150"/>
      <c r="AX434" s="150"/>
      <c r="AY434" s="151"/>
      <c r="AZ434" s="151"/>
      <c r="BA434" s="151"/>
      <c r="BB434" s="151"/>
      <c r="BC434" s="151"/>
      <c r="BD434" s="151"/>
      <c r="BE434" s="151"/>
      <c r="BF434" s="151"/>
      <c r="BG434" s="151"/>
      <c r="BH434" s="151"/>
      <c r="BI434" s="151"/>
    </row>
    <row r="435" spans="1:61" x14ac:dyDescent="0.25">
      <c r="A435" s="149"/>
      <c r="B435" s="149"/>
      <c r="C435" s="149"/>
      <c r="D435" s="149"/>
      <c r="E435" s="150"/>
      <c r="F435" s="150"/>
      <c r="G435" s="149"/>
      <c r="H435" s="149"/>
      <c r="I435" s="149"/>
      <c r="J435" s="150"/>
      <c r="K435" s="150"/>
      <c r="L435" s="149"/>
      <c r="M435" s="149"/>
      <c r="N435" s="149"/>
      <c r="O435" s="150"/>
      <c r="P435" s="150"/>
      <c r="Q435" s="149"/>
      <c r="R435" s="149"/>
      <c r="S435" s="149"/>
      <c r="T435" s="150"/>
      <c r="U435" s="150"/>
      <c r="V435" s="150"/>
      <c r="W435" s="150"/>
      <c r="X435" s="150"/>
      <c r="Y435" s="150"/>
      <c r="Z435" s="150"/>
      <c r="AA435" s="150"/>
      <c r="AB435" s="150"/>
      <c r="AC435" s="149"/>
      <c r="AD435" s="149"/>
      <c r="AE435" s="149"/>
      <c r="AF435" s="150"/>
      <c r="AG435" s="150"/>
      <c r="AH435" s="149"/>
      <c r="AI435" s="149"/>
      <c r="AJ435" s="149"/>
      <c r="AK435" s="150"/>
      <c r="AL435" s="150"/>
      <c r="AM435" s="149"/>
      <c r="AN435" s="149"/>
      <c r="AO435" s="149"/>
      <c r="AP435" s="150"/>
      <c r="AQ435" s="150"/>
      <c r="AR435" s="150"/>
      <c r="AS435" s="150"/>
      <c r="AT435" s="150"/>
      <c r="AU435" s="150"/>
      <c r="AV435" s="150"/>
      <c r="AW435" s="150"/>
      <c r="AX435" s="150"/>
      <c r="AY435" s="151"/>
      <c r="AZ435" s="151"/>
      <c r="BA435" s="151"/>
      <c r="BB435" s="151"/>
      <c r="BC435" s="151"/>
      <c r="BD435" s="151"/>
      <c r="BE435" s="151"/>
      <c r="BF435" s="151"/>
      <c r="BG435" s="151"/>
      <c r="BH435" s="151"/>
      <c r="BI435" s="151"/>
    </row>
    <row r="436" spans="1:61" x14ac:dyDescent="0.25">
      <c r="A436" s="149"/>
      <c r="B436" s="149"/>
      <c r="C436" s="149"/>
      <c r="D436" s="149"/>
      <c r="E436" s="150"/>
      <c r="F436" s="150"/>
      <c r="G436" s="149"/>
      <c r="H436" s="149"/>
      <c r="I436" s="149"/>
      <c r="J436" s="150"/>
      <c r="K436" s="150"/>
      <c r="L436" s="149"/>
      <c r="M436" s="149"/>
      <c r="N436" s="149"/>
      <c r="O436" s="150"/>
      <c r="P436" s="150"/>
      <c r="Q436" s="149"/>
      <c r="R436" s="149"/>
      <c r="S436" s="149"/>
      <c r="T436" s="150"/>
      <c r="U436" s="150"/>
      <c r="V436" s="150"/>
      <c r="W436" s="150"/>
      <c r="X436" s="150"/>
      <c r="Y436" s="150"/>
      <c r="Z436" s="150"/>
      <c r="AA436" s="150"/>
      <c r="AB436" s="150"/>
      <c r="AC436" s="149"/>
      <c r="AD436" s="149"/>
      <c r="AE436" s="149"/>
      <c r="AF436" s="150"/>
      <c r="AG436" s="150"/>
      <c r="AH436" s="149"/>
      <c r="AI436" s="149"/>
      <c r="AJ436" s="149"/>
      <c r="AK436" s="150"/>
      <c r="AL436" s="150"/>
      <c r="AM436" s="149"/>
      <c r="AN436" s="149"/>
      <c r="AO436" s="149"/>
      <c r="AP436" s="150"/>
      <c r="AQ436" s="150"/>
      <c r="AR436" s="150"/>
      <c r="AS436" s="150"/>
      <c r="AT436" s="150"/>
      <c r="AU436" s="150"/>
      <c r="AV436" s="150"/>
      <c r="AW436" s="150"/>
      <c r="AX436" s="150"/>
      <c r="AY436" s="151"/>
      <c r="AZ436" s="151"/>
      <c r="BA436" s="151"/>
      <c r="BB436" s="151"/>
      <c r="BC436" s="151"/>
      <c r="BD436" s="151"/>
      <c r="BE436" s="151"/>
      <c r="BF436" s="151"/>
      <c r="BG436" s="151"/>
      <c r="BH436" s="151"/>
      <c r="BI436" s="151"/>
    </row>
    <row r="437" spans="1:61" x14ac:dyDescent="0.25">
      <c r="A437" s="149"/>
      <c r="B437" s="149"/>
      <c r="C437" s="149"/>
      <c r="D437" s="149"/>
      <c r="E437" s="150"/>
      <c r="F437" s="150"/>
      <c r="G437" s="149"/>
      <c r="H437" s="149"/>
      <c r="I437" s="149"/>
      <c r="J437" s="150"/>
      <c r="K437" s="150"/>
      <c r="L437" s="149"/>
      <c r="M437" s="149"/>
      <c r="N437" s="149"/>
      <c r="O437" s="150"/>
      <c r="P437" s="150"/>
      <c r="Q437" s="149"/>
      <c r="R437" s="149"/>
      <c r="S437" s="149"/>
      <c r="T437" s="150"/>
      <c r="U437" s="150"/>
      <c r="V437" s="150"/>
      <c r="W437" s="150"/>
      <c r="X437" s="150"/>
      <c r="Y437" s="150"/>
      <c r="Z437" s="150"/>
      <c r="AA437" s="150"/>
      <c r="AB437" s="150"/>
      <c r="AC437" s="149"/>
      <c r="AD437" s="149"/>
      <c r="AE437" s="149"/>
      <c r="AF437" s="150"/>
      <c r="AG437" s="150"/>
      <c r="AH437" s="149"/>
      <c r="AI437" s="149"/>
      <c r="AJ437" s="149"/>
      <c r="AK437" s="150"/>
      <c r="AL437" s="150"/>
      <c r="AM437" s="149"/>
      <c r="AN437" s="149"/>
      <c r="AO437" s="149"/>
      <c r="AP437" s="150"/>
      <c r="AQ437" s="150"/>
      <c r="AR437" s="150"/>
      <c r="AS437" s="150"/>
      <c r="AT437" s="150"/>
      <c r="AU437" s="150"/>
      <c r="AV437" s="150"/>
      <c r="AW437" s="150"/>
      <c r="AX437" s="150"/>
      <c r="AY437" s="151"/>
      <c r="AZ437" s="151"/>
      <c r="BA437" s="151"/>
      <c r="BB437" s="151"/>
      <c r="BC437" s="151"/>
      <c r="BD437" s="151"/>
      <c r="BE437" s="151"/>
      <c r="BF437" s="151"/>
      <c r="BG437" s="151"/>
      <c r="BH437" s="151"/>
      <c r="BI437" s="151"/>
    </row>
    <row r="438" spans="1:61" x14ac:dyDescent="0.25">
      <c r="A438" s="149"/>
      <c r="B438" s="149"/>
      <c r="C438" s="149"/>
      <c r="D438" s="149"/>
      <c r="E438" s="150"/>
      <c r="F438" s="150"/>
      <c r="G438" s="149"/>
      <c r="H438" s="149"/>
      <c r="I438" s="149"/>
      <c r="J438" s="150"/>
      <c r="K438" s="150"/>
      <c r="L438" s="149"/>
      <c r="M438" s="149"/>
      <c r="N438" s="149"/>
      <c r="O438" s="150"/>
      <c r="P438" s="150"/>
      <c r="Q438" s="149"/>
      <c r="R438" s="149"/>
      <c r="S438" s="149"/>
      <c r="T438" s="150"/>
      <c r="U438" s="150"/>
      <c r="V438" s="150"/>
      <c r="W438" s="150"/>
      <c r="X438" s="150"/>
      <c r="Y438" s="150"/>
      <c r="Z438" s="150"/>
      <c r="AA438" s="150"/>
      <c r="AB438" s="150"/>
      <c r="AC438" s="149"/>
      <c r="AD438" s="149"/>
      <c r="AE438" s="149"/>
      <c r="AF438" s="150"/>
      <c r="AG438" s="150"/>
      <c r="AH438" s="149"/>
      <c r="AI438" s="149"/>
      <c r="AJ438" s="149"/>
      <c r="AK438" s="150"/>
      <c r="AL438" s="150"/>
      <c r="AM438" s="149"/>
      <c r="AN438" s="149"/>
      <c r="AO438" s="149"/>
      <c r="AP438" s="150"/>
      <c r="AQ438" s="150"/>
      <c r="AR438" s="150"/>
      <c r="AS438" s="150"/>
      <c r="AT438" s="150"/>
      <c r="AU438" s="150"/>
      <c r="AV438" s="150"/>
      <c r="AW438" s="150"/>
      <c r="AX438" s="150"/>
      <c r="AY438" s="151"/>
      <c r="AZ438" s="151"/>
      <c r="BA438" s="151"/>
      <c r="BB438" s="151"/>
      <c r="BC438" s="151"/>
      <c r="BD438" s="151"/>
      <c r="BE438" s="151"/>
      <c r="BF438" s="151"/>
      <c r="BG438" s="151"/>
      <c r="BH438" s="151"/>
      <c r="BI438" s="151"/>
    </row>
    <row r="439" spans="1:61" x14ac:dyDescent="0.25">
      <c r="A439" s="149"/>
      <c r="B439" s="149"/>
      <c r="C439" s="149"/>
      <c r="D439" s="149"/>
      <c r="E439" s="150"/>
      <c r="F439" s="150"/>
      <c r="G439" s="149"/>
      <c r="H439" s="149"/>
      <c r="I439" s="149"/>
      <c r="J439" s="150"/>
      <c r="K439" s="150"/>
      <c r="L439" s="149"/>
      <c r="M439" s="149"/>
      <c r="N439" s="149"/>
      <c r="O439" s="150"/>
      <c r="P439" s="150"/>
      <c r="Q439" s="149"/>
      <c r="R439" s="149"/>
      <c r="S439" s="149"/>
      <c r="T439" s="150"/>
      <c r="U439" s="150"/>
      <c r="V439" s="150"/>
      <c r="W439" s="150"/>
      <c r="X439" s="150"/>
      <c r="Y439" s="150"/>
      <c r="Z439" s="150"/>
      <c r="AA439" s="150"/>
      <c r="AB439" s="150"/>
      <c r="AC439" s="149"/>
      <c r="AD439" s="149"/>
      <c r="AE439" s="149"/>
      <c r="AF439" s="150"/>
      <c r="AG439" s="150"/>
      <c r="AH439" s="149"/>
      <c r="AI439" s="149"/>
      <c r="AJ439" s="149"/>
      <c r="AK439" s="150"/>
      <c r="AL439" s="150"/>
      <c r="AM439" s="149"/>
      <c r="AN439" s="149"/>
      <c r="AO439" s="149"/>
      <c r="AP439" s="150"/>
      <c r="AQ439" s="150"/>
      <c r="AR439" s="150"/>
      <c r="AS439" s="150"/>
      <c r="AT439" s="150"/>
      <c r="AU439" s="150"/>
      <c r="AV439" s="150"/>
      <c r="AW439" s="150"/>
      <c r="AX439" s="150"/>
      <c r="AY439" s="151"/>
      <c r="AZ439" s="151"/>
      <c r="BA439" s="151"/>
      <c r="BB439" s="151"/>
      <c r="BC439" s="151"/>
      <c r="BD439" s="151"/>
      <c r="BE439" s="151"/>
      <c r="BF439" s="151"/>
      <c r="BG439" s="151"/>
      <c r="BH439" s="151"/>
      <c r="BI439" s="151"/>
    </row>
    <row r="440" spans="1:61" x14ac:dyDescent="0.25">
      <c r="A440" s="149"/>
      <c r="B440" s="149"/>
      <c r="C440" s="149"/>
      <c r="D440" s="149"/>
      <c r="E440" s="150"/>
      <c r="F440" s="150"/>
      <c r="G440" s="149"/>
      <c r="H440" s="149"/>
      <c r="I440" s="149"/>
      <c r="J440" s="150"/>
      <c r="K440" s="150"/>
      <c r="L440" s="149"/>
      <c r="M440" s="149"/>
      <c r="N440" s="149"/>
      <c r="O440" s="150"/>
      <c r="P440" s="150"/>
      <c r="Q440" s="149"/>
      <c r="R440" s="149"/>
      <c r="S440" s="149"/>
      <c r="T440" s="150"/>
      <c r="U440" s="150"/>
      <c r="V440" s="150"/>
      <c r="W440" s="150"/>
      <c r="X440" s="150"/>
      <c r="Y440" s="150"/>
      <c r="Z440" s="150"/>
      <c r="AA440" s="150"/>
      <c r="AB440" s="150"/>
      <c r="AC440" s="149"/>
      <c r="AD440" s="149"/>
      <c r="AE440" s="149"/>
      <c r="AF440" s="150"/>
      <c r="AG440" s="150"/>
      <c r="AH440" s="149"/>
      <c r="AI440" s="149"/>
      <c r="AJ440" s="149"/>
      <c r="AK440" s="150"/>
      <c r="AL440" s="150"/>
      <c r="AM440" s="149"/>
      <c r="AN440" s="149"/>
      <c r="AO440" s="149"/>
      <c r="AP440" s="150"/>
      <c r="AQ440" s="150"/>
      <c r="AR440" s="150"/>
      <c r="AS440" s="150"/>
      <c r="AT440" s="150"/>
      <c r="AU440" s="150"/>
      <c r="AV440" s="150"/>
      <c r="AW440" s="150"/>
      <c r="AX440" s="150"/>
      <c r="AY440" s="151"/>
      <c r="AZ440" s="151"/>
      <c r="BA440" s="151"/>
      <c r="BB440" s="151"/>
      <c r="BC440" s="151"/>
      <c r="BD440" s="151"/>
      <c r="BE440" s="151"/>
      <c r="BF440" s="151"/>
      <c r="BG440" s="151"/>
      <c r="BH440" s="151"/>
      <c r="BI440" s="151"/>
    </row>
    <row r="441" spans="1:61" x14ac:dyDescent="0.25">
      <c r="A441" s="149"/>
      <c r="B441" s="149"/>
      <c r="C441" s="149"/>
      <c r="D441" s="149"/>
      <c r="E441" s="150"/>
      <c r="F441" s="150"/>
      <c r="G441" s="149"/>
      <c r="H441" s="149"/>
      <c r="I441" s="149"/>
      <c r="J441" s="150"/>
      <c r="K441" s="150"/>
      <c r="L441" s="149"/>
      <c r="M441" s="149"/>
      <c r="N441" s="149"/>
      <c r="O441" s="150"/>
      <c r="P441" s="150"/>
      <c r="Q441" s="149"/>
      <c r="R441" s="149"/>
      <c r="S441" s="149"/>
      <c r="T441" s="150"/>
      <c r="U441" s="150"/>
      <c r="V441" s="150"/>
      <c r="W441" s="150"/>
      <c r="X441" s="150"/>
      <c r="Y441" s="150"/>
      <c r="Z441" s="150"/>
      <c r="AA441" s="150"/>
      <c r="AB441" s="150"/>
      <c r="AC441" s="149"/>
      <c r="AD441" s="149"/>
      <c r="AE441" s="149"/>
      <c r="AF441" s="150"/>
      <c r="AG441" s="150"/>
      <c r="AH441" s="149"/>
      <c r="AI441" s="149"/>
      <c r="AJ441" s="149"/>
      <c r="AK441" s="150"/>
      <c r="AL441" s="150"/>
      <c r="AM441" s="149"/>
      <c r="AN441" s="149"/>
      <c r="AO441" s="149"/>
      <c r="AP441" s="150"/>
      <c r="AQ441" s="150"/>
      <c r="AR441" s="150"/>
      <c r="AS441" s="150"/>
      <c r="AT441" s="150"/>
      <c r="AU441" s="150"/>
      <c r="AV441" s="150"/>
      <c r="AW441" s="150"/>
      <c r="AX441" s="150"/>
      <c r="AY441" s="151"/>
      <c r="AZ441" s="151"/>
      <c r="BA441" s="151"/>
      <c r="BB441" s="151"/>
      <c r="BC441" s="151"/>
      <c r="BD441" s="151"/>
      <c r="BE441" s="151"/>
      <c r="BF441" s="151"/>
      <c r="BG441" s="151"/>
      <c r="BH441" s="151"/>
      <c r="BI441" s="151"/>
    </row>
    <row r="442" spans="1:61" x14ac:dyDescent="0.25">
      <c r="A442" s="149"/>
      <c r="B442" s="149"/>
      <c r="C442" s="149"/>
      <c r="D442" s="149"/>
      <c r="E442" s="150"/>
      <c r="F442" s="150"/>
      <c r="G442" s="149"/>
      <c r="H442" s="149"/>
      <c r="I442" s="149"/>
      <c r="J442" s="150"/>
      <c r="K442" s="150"/>
      <c r="L442" s="149"/>
      <c r="M442" s="149"/>
      <c r="N442" s="149"/>
      <c r="O442" s="150"/>
      <c r="P442" s="150"/>
      <c r="Q442" s="149"/>
      <c r="R442" s="149"/>
      <c r="S442" s="149"/>
      <c r="T442" s="150"/>
      <c r="U442" s="150"/>
      <c r="V442" s="150"/>
      <c r="W442" s="150"/>
      <c r="X442" s="150"/>
      <c r="Y442" s="150"/>
      <c r="Z442" s="150"/>
      <c r="AA442" s="150"/>
      <c r="AB442" s="150"/>
      <c r="AC442" s="149"/>
      <c r="AD442" s="149"/>
      <c r="AE442" s="149"/>
      <c r="AF442" s="150"/>
      <c r="AG442" s="150"/>
      <c r="AH442" s="149"/>
      <c r="AI442" s="149"/>
      <c r="AJ442" s="149"/>
      <c r="AK442" s="150"/>
      <c r="AL442" s="150"/>
      <c r="AM442" s="149"/>
      <c r="AN442" s="149"/>
      <c r="AO442" s="149"/>
      <c r="AP442" s="150"/>
      <c r="AQ442" s="150"/>
      <c r="AR442" s="150"/>
      <c r="AS442" s="150"/>
      <c r="AT442" s="150"/>
      <c r="AU442" s="150"/>
      <c r="AV442" s="150"/>
      <c r="AW442" s="150"/>
      <c r="AX442" s="150"/>
      <c r="AY442" s="151"/>
      <c r="AZ442" s="151"/>
      <c r="BA442" s="151"/>
      <c r="BB442" s="151"/>
      <c r="BC442" s="151"/>
      <c r="BD442" s="151"/>
      <c r="BE442" s="151"/>
      <c r="BF442" s="151"/>
      <c r="BG442" s="151"/>
      <c r="BH442" s="151"/>
      <c r="BI442" s="151"/>
    </row>
    <row r="443" spans="1:61" x14ac:dyDescent="0.25">
      <c r="A443" s="149"/>
      <c r="B443" s="149"/>
      <c r="C443" s="149"/>
      <c r="D443" s="149"/>
      <c r="E443" s="150"/>
      <c r="F443" s="150"/>
      <c r="G443" s="149"/>
      <c r="H443" s="149"/>
      <c r="I443" s="149"/>
      <c r="J443" s="150"/>
      <c r="K443" s="150"/>
      <c r="L443" s="149"/>
      <c r="M443" s="149"/>
      <c r="N443" s="149"/>
      <c r="O443" s="150"/>
      <c r="P443" s="150"/>
      <c r="Q443" s="149"/>
      <c r="R443" s="149"/>
      <c r="S443" s="149"/>
      <c r="T443" s="150"/>
      <c r="U443" s="150"/>
      <c r="V443" s="150"/>
      <c r="W443" s="150"/>
      <c r="X443" s="150"/>
      <c r="Y443" s="150"/>
      <c r="Z443" s="150"/>
      <c r="AA443" s="150"/>
      <c r="AB443" s="150"/>
      <c r="AC443" s="149"/>
      <c r="AD443" s="149"/>
      <c r="AE443" s="149"/>
      <c r="AF443" s="150"/>
      <c r="AG443" s="150"/>
      <c r="AH443" s="149"/>
      <c r="AI443" s="149"/>
      <c r="AJ443" s="149"/>
      <c r="AK443" s="150"/>
      <c r="AL443" s="150"/>
      <c r="AM443" s="149"/>
      <c r="AN443" s="149"/>
      <c r="AO443" s="149"/>
      <c r="AP443" s="150"/>
      <c r="AQ443" s="150"/>
      <c r="AR443" s="150"/>
      <c r="AS443" s="150"/>
      <c r="AT443" s="150"/>
      <c r="AU443" s="150"/>
      <c r="AV443" s="150"/>
      <c r="AW443" s="150"/>
      <c r="AX443" s="150"/>
      <c r="AY443" s="151"/>
      <c r="AZ443" s="151"/>
      <c r="BA443" s="151"/>
      <c r="BB443" s="151"/>
      <c r="BC443" s="151"/>
      <c r="BD443" s="151"/>
      <c r="BE443" s="151"/>
      <c r="BF443" s="151"/>
      <c r="BG443" s="151"/>
      <c r="BH443" s="151"/>
      <c r="BI443" s="151"/>
    </row>
    <row r="444" spans="1:61" x14ac:dyDescent="0.25">
      <c r="A444" s="149"/>
      <c r="B444" s="149"/>
      <c r="C444" s="149"/>
      <c r="D444" s="149"/>
      <c r="E444" s="150"/>
      <c r="F444" s="150"/>
      <c r="G444" s="149"/>
      <c r="H444" s="149"/>
      <c r="I444" s="149"/>
      <c r="J444" s="150"/>
      <c r="K444" s="150"/>
      <c r="L444" s="149"/>
      <c r="M444" s="149"/>
      <c r="N444" s="149"/>
      <c r="O444" s="150"/>
      <c r="P444" s="150"/>
      <c r="Q444" s="149"/>
      <c r="R444" s="149"/>
      <c r="S444" s="149"/>
      <c r="T444" s="150"/>
      <c r="U444" s="150"/>
      <c r="V444" s="150"/>
      <c r="W444" s="150"/>
      <c r="X444" s="150"/>
      <c r="Y444" s="150"/>
      <c r="Z444" s="150"/>
      <c r="AA444" s="150"/>
      <c r="AB444" s="150"/>
      <c r="AC444" s="149"/>
      <c r="AD444" s="149"/>
      <c r="AE444" s="149"/>
      <c r="AF444" s="150"/>
      <c r="AG444" s="150"/>
      <c r="AH444" s="149"/>
      <c r="AI444" s="149"/>
      <c r="AJ444" s="149"/>
      <c r="AK444" s="150"/>
      <c r="AL444" s="150"/>
      <c r="AM444" s="149"/>
      <c r="AN444" s="149"/>
      <c r="AO444" s="149"/>
      <c r="AP444" s="150"/>
      <c r="AQ444" s="150"/>
      <c r="AR444" s="150"/>
      <c r="AS444" s="150"/>
      <c r="AT444" s="150"/>
      <c r="AU444" s="150"/>
      <c r="AV444" s="150"/>
      <c r="AW444" s="150"/>
      <c r="AX444" s="150"/>
      <c r="AY444" s="151"/>
      <c r="AZ444" s="151"/>
      <c r="BA444" s="151"/>
      <c r="BB444" s="151"/>
      <c r="BC444" s="151"/>
      <c r="BD444" s="151"/>
      <c r="BE444" s="151"/>
      <c r="BF444" s="151"/>
      <c r="BG444" s="151"/>
      <c r="BH444" s="151"/>
      <c r="BI444" s="151"/>
    </row>
    <row r="445" spans="1:61" x14ac:dyDescent="0.25">
      <c r="A445" s="149"/>
      <c r="B445" s="149"/>
      <c r="C445" s="149"/>
      <c r="D445" s="149"/>
      <c r="E445" s="150"/>
      <c r="F445" s="150"/>
      <c r="G445" s="149"/>
      <c r="H445" s="149"/>
      <c r="I445" s="149"/>
      <c r="J445" s="150"/>
      <c r="K445" s="150"/>
      <c r="L445" s="149"/>
      <c r="M445" s="149"/>
      <c r="N445" s="149"/>
      <c r="O445" s="150"/>
      <c r="P445" s="150"/>
      <c r="Q445" s="149"/>
      <c r="R445" s="149"/>
      <c r="S445" s="149"/>
      <c r="T445" s="150"/>
      <c r="U445" s="150"/>
      <c r="V445" s="150"/>
      <c r="W445" s="150"/>
      <c r="X445" s="150"/>
      <c r="Y445" s="150"/>
      <c r="Z445" s="150"/>
      <c r="AA445" s="150"/>
      <c r="AB445" s="150"/>
      <c r="AC445" s="149"/>
      <c r="AD445" s="149"/>
      <c r="AE445" s="149"/>
      <c r="AF445" s="150"/>
      <c r="AG445" s="150"/>
      <c r="AH445" s="149"/>
      <c r="AI445" s="149"/>
      <c r="AJ445" s="149"/>
      <c r="AK445" s="150"/>
      <c r="AL445" s="150"/>
      <c r="AM445" s="149"/>
      <c r="AN445" s="149"/>
      <c r="AO445" s="149"/>
      <c r="AP445" s="150"/>
      <c r="AQ445" s="150"/>
      <c r="AR445" s="150"/>
      <c r="AS445" s="150"/>
      <c r="AT445" s="150"/>
      <c r="AU445" s="150"/>
      <c r="AV445" s="150"/>
      <c r="AW445" s="150"/>
      <c r="AX445" s="150"/>
      <c r="AY445" s="151"/>
      <c r="AZ445" s="151"/>
      <c r="BA445" s="151"/>
      <c r="BB445" s="151"/>
      <c r="BC445" s="151"/>
      <c r="BD445" s="151"/>
      <c r="BE445" s="151"/>
      <c r="BF445" s="151"/>
      <c r="BG445" s="151"/>
      <c r="BH445" s="151"/>
      <c r="BI445" s="151"/>
    </row>
    <row r="446" spans="1:61" x14ac:dyDescent="0.25">
      <c r="A446" s="149"/>
      <c r="B446" s="149"/>
      <c r="C446" s="149"/>
      <c r="D446" s="149"/>
      <c r="E446" s="150"/>
      <c r="F446" s="150"/>
      <c r="G446" s="149"/>
      <c r="H446" s="149"/>
      <c r="I446" s="149"/>
      <c r="J446" s="150"/>
      <c r="K446" s="150"/>
      <c r="L446" s="149"/>
      <c r="M446" s="149"/>
      <c r="N446" s="149"/>
      <c r="O446" s="150"/>
      <c r="P446" s="150"/>
      <c r="Q446" s="149"/>
      <c r="R446" s="149"/>
      <c r="S446" s="149"/>
      <c r="T446" s="150"/>
      <c r="U446" s="150"/>
      <c r="V446" s="150"/>
      <c r="W446" s="150"/>
      <c r="X446" s="150"/>
      <c r="Y446" s="150"/>
      <c r="Z446" s="150"/>
      <c r="AA446" s="150"/>
      <c r="AB446" s="150"/>
      <c r="AC446" s="149"/>
      <c r="AD446" s="149"/>
      <c r="AE446" s="149"/>
      <c r="AF446" s="150"/>
      <c r="AG446" s="150"/>
      <c r="AH446" s="149"/>
      <c r="AI446" s="149"/>
      <c r="AJ446" s="149"/>
      <c r="AK446" s="150"/>
      <c r="AL446" s="150"/>
      <c r="AM446" s="149"/>
      <c r="AN446" s="149"/>
      <c r="AO446" s="149"/>
      <c r="AP446" s="150"/>
      <c r="AQ446" s="150"/>
      <c r="AR446" s="150"/>
      <c r="AS446" s="150"/>
      <c r="AT446" s="150"/>
      <c r="AU446" s="150"/>
      <c r="AV446" s="150"/>
      <c r="AW446" s="150"/>
      <c r="AX446" s="150"/>
      <c r="AY446" s="151"/>
      <c r="AZ446" s="151"/>
      <c r="BA446" s="151"/>
      <c r="BB446" s="151"/>
      <c r="BC446" s="151"/>
      <c r="BD446" s="151"/>
      <c r="BE446" s="151"/>
      <c r="BF446" s="151"/>
      <c r="BG446" s="151"/>
      <c r="BH446" s="151"/>
      <c r="BI446" s="151"/>
    </row>
    <row r="447" spans="1:61" x14ac:dyDescent="0.25">
      <c r="A447" s="149"/>
      <c r="B447" s="149"/>
      <c r="C447" s="149"/>
      <c r="D447" s="149"/>
      <c r="E447" s="150"/>
      <c r="F447" s="150"/>
      <c r="G447" s="149"/>
      <c r="H447" s="149"/>
      <c r="I447" s="149"/>
      <c r="J447" s="150"/>
      <c r="K447" s="150"/>
      <c r="L447" s="149"/>
      <c r="M447" s="149"/>
      <c r="N447" s="149"/>
      <c r="O447" s="150"/>
      <c r="P447" s="150"/>
      <c r="Q447" s="149"/>
      <c r="R447" s="149"/>
      <c r="S447" s="149"/>
      <c r="T447" s="150"/>
      <c r="U447" s="150"/>
      <c r="V447" s="150"/>
      <c r="W447" s="150"/>
      <c r="X447" s="150"/>
      <c r="Y447" s="150"/>
      <c r="Z447" s="150"/>
      <c r="AA447" s="150"/>
      <c r="AB447" s="150"/>
      <c r="AC447" s="149"/>
      <c r="AD447" s="149"/>
      <c r="AE447" s="149"/>
      <c r="AF447" s="150"/>
      <c r="AG447" s="150"/>
      <c r="AH447" s="149"/>
      <c r="AI447" s="149"/>
      <c r="AJ447" s="149"/>
      <c r="AK447" s="150"/>
      <c r="AL447" s="150"/>
      <c r="AM447" s="149"/>
      <c r="AN447" s="149"/>
      <c r="AO447" s="149"/>
      <c r="AP447" s="150"/>
      <c r="AQ447" s="150"/>
      <c r="AR447" s="150"/>
      <c r="AS447" s="150"/>
      <c r="AT447" s="150"/>
      <c r="AU447" s="150"/>
      <c r="AV447" s="150"/>
      <c r="AW447" s="150"/>
      <c r="AX447" s="150"/>
      <c r="AY447" s="151"/>
      <c r="AZ447" s="151"/>
      <c r="BA447" s="151"/>
      <c r="BB447" s="151"/>
      <c r="BC447" s="151"/>
      <c r="BD447" s="151"/>
      <c r="BE447" s="151"/>
      <c r="BF447" s="151"/>
      <c r="BG447" s="151"/>
      <c r="BH447" s="151"/>
      <c r="BI447" s="151"/>
    </row>
    <row r="448" spans="1:61" x14ac:dyDescent="0.25">
      <c r="A448" s="149"/>
      <c r="B448" s="149"/>
      <c r="C448" s="149"/>
      <c r="D448" s="149"/>
      <c r="E448" s="150"/>
      <c r="F448" s="150"/>
      <c r="G448" s="149"/>
      <c r="H448" s="149"/>
      <c r="I448" s="149"/>
      <c r="J448" s="150"/>
      <c r="K448" s="150"/>
      <c r="L448" s="149"/>
      <c r="M448" s="149"/>
      <c r="N448" s="149"/>
      <c r="O448" s="150"/>
      <c r="P448" s="150"/>
      <c r="Q448" s="149"/>
      <c r="R448" s="149"/>
      <c r="S448" s="149"/>
      <c r="T448" s="150"/>
      <c r="U448" s="150"/>
      <c r="V448" s="150"/>
      <c r="W448" s="150"/>
      <c r="X448" s="150"/>
      <c r="Y448" s="150"/>
      <c r="Z448" s="150"/>
      <c r="AA448" s="150"/>
      <c r="AB448" s="150"/>
      <c r="AC448" s="149"/>
      <c r="AD448" s="149"/>
      <c r="AE448" s="149"/>
      <c r="AF448" s="150"/>
      <c r="AG448" s="150"/>
      <c r="AH448" s="149"/>
      <c r="AI448" s="149"/>
      <c r="AJ448" s="149"/>
      <c r="AK448" s="150"/>
      <c r="AL448" s="150"/>
      <c r="AM448" s="149"/>
      <c r="AN448" s="149"/>
      <c r="AO448" s="149"/>
      <c r="AP448" s="150"/>
      <c r="AQ448" s="150"/>
      <c r="AR448" s="150"/>
      <c r="AS448" s="150"/>
      <c r="AT448" s="150"/>
      <c r="AU448" s="150"/>
      <c r="AV448" s="150"/>
      <c r="AW448" s="150"/>
      <c r="AX448" s="150"/>
      <c r="AY448" s="151"/>
      <c r="AZ448" s="151"/>
      <c r="BA448" s="151"/>
      <c r="BB448" s="151"/>
      <c r="BC448" s="151"/>
      <c r="BD448" s="151"/>
      <c r="BE448" s="151"/>
      <c r="BF448" s="151"/>
      <c r="BG448" s="151"/>
      <c r="BH448" s="151"/>
      <c r="BI448" s="151"/>
    </row>
    <row r="449" spans="1:61" x14ac:dyDescent="0.25">
      <c r="A449" s="149"/>
      <c r="B449" s="149"/>
      <c r="C449" s="149"/>
      <c r="D449" s="149"/>
      <c r="E449" s="150"/>
      <c r="F449" s="150"/>
      <c r="G449" s="149"/>
      <c r="H449" s="149"/>
      <c r="I449" s="149"/>
      <c r="J449" s="150"/>
      <c r="K449" s="150"/>
      <c r="L449" s="149"/>
      <c r="M449" s="149"/>
      <c r="N449" s="149"/>
      <c r="O449" s="150"/>
      <c r="P449" s="150"/>
      <c r="Q449" s="149"/>
      <c r="R449" s="149"/>
      <c r="S449" s="149"/>
      <c r="T449" s="150"/>
      <c r="U449" s="150"/>
      <c r="V449" s="150"/>
      <c r="W449" s="150"/>
      <c r="X449" s="150"/>
      <c r="Y449" s="150"/>
      <c r="Z449" s="150"/>
      <c r="AA449" s="150"/>
      <c r="AB449" s="150"/>
      <c r="AC449" s="149"/>
      <c r="AD449" s="149"/>
      <c r="AE449" s="149"/>
      <c r="AF449" s="150"/>
      <c r="AG449" s="150"/>
      <c r="AH449" s="149"/>
      <c r="AI449" s="149"/>
      <c r="AJ449" s="149"/>
      <c r="AK449" s="150"/>
      <c r="AL449" s="150"/>
      <c r="AM449" s="149"/>
      <c r="AN449" s="149"/>
      <c r="AO449" s="149"/>
      <c r="AP449" s="150"/>
      <c r="AQ449" s="150"/>
      <c r="AR449" s="150"/>
      <c r="AS449" s="150"/>
      <c r="AT449" s="150"/>
      <c r="AU449" s="150"/>
      <c r="AV449" s="150"/>
      <c r="AW449" s="150"/>
      <c r="AX449" s="150"/>
      <c r="AY449" s="151"/>
      <c r="AZ449" s="151"/>
      <c r="BA449" s="151"/>
      <c r="BB449" s="151"/>
      <c r="BC449" s="151"/>
      <c r="BD449" s="151"/>
      <c r="BE449" s="151"/>
      <c r="BF449" s="151"/>
      <c r="BG449" s="151"/>
      <c r="BH449" s="151"/>
      <c r="BI449" s="151"/>
    </row>
    <row r="450" spans="1:61" x14ac:dyDescent="0.25">
      <c r="A450" s="149"/>
      <c r="B450" s="149"/>
      <c r="C450" s="149"/>
      <c r="D450" s="149"/>
      <c r="E450" s="150"/>
      <c r="F450" s="150"/>
      <c r="G450" s="149"/>
      <c r="H450" s="149"/>
      <c r="I450" s="149"/>
      <c r="J450" s="150"/>
      <c r="K450" s="150"/>
      <c r="L450" s="149"/>
      <c r="M450" s="149"/>
      <c r="N450" s="149"/>
      <c r="O450" s="150"/>
      <c r="P450" s="150"/>
      <c r="Q450" s="149"/>
      <c r="R450" s="149"/>
      <c r="S450" s="149"/>
      <c r="T450" s="150"/>
      <c r="U450" s="150"/>
      <c r="V450" s="150"/>
      <c r="W450" s="150"/>
      <c r="X450" s="150"/>
      <c r="Y450" s="150"/>
      <c r="Z450" s="150"/>
      <c r="AA450" s="150"/>
      <c r="AB450" s="150"/>
      <c r="AC450" s="149"/>
      <c r="AD450" s="149"/>
      <c r="AE450" s="149"/>
      <c r="AF450" s="150"/>
      <c r="AG450" s="150"/>
      <c r="AH450" s="149"/>
      <c r="AI450" s="149"/>
      <c r="AJ450" s="149"/>
      <c r="AK450" s="150"/>
      <c r="AL450" s="150"/>
      <c r="AM450" s="149"/>
      <c r="AN450" s="149"/>
      <c r="AO450" s="149"/>
      <c r="AP450" s="150"/>
      <c r="AQ450" s="150"/>
      <c r="AR450" s="150"/>
      <c r="AS450" s="150"/>
      <c r="AT450" s="150"/>
      <c r="AU450" s="150"/>
      <c r="AV450" s="150"/>
      <c r="AW450" s="150"/>
      <c r="AX450" s="150"/>
      <c r="AY450" s="151"/>
      <c r="AZ450" s="151"/>
      <c r="BA450" s="151"/>
      <c r="BB450" s="151"/>
      <c r="BC450" s="151"/>
      <c r="BD450" s="151"/>
      <c r="BE450" s="151"/>
      <c r="BF450" s="151"/>
      <c r="BG450" s="151"/>
      <c r="BH450" s="151"/>
      <c r="BI450" s="151"/>
    </row>
    <row r="451" spans="1:61" x14ac:dyDescent="0.25">
      <c r="A451" s="149"/>
      <c r="B451" s="149"/>
      <c r="C451" s="149"/>
      <c r="D451" s="149"/>
      <c r="E451" s="150"/>
      <c r="F451" s="150"/>
      <c r="G451" s="149"/>
      <c r="H451" s="149"/>
      <c r="I451" s="149"/>
      <c r="J451" s="150"/>
      <c r="K451" s="150"/>
      <c r="L451" s="149"/>
      <c r="M451" s="149"/>
      <c r="N451" s="149"/>
      <c r="O451" s="150"/>
      <c r="P451" s="150"/>
      <c r="Q451" s="149"/>
      <c r="R451" s="149"/>
      <c r="S451" s="149"/>
      <c r="T451" s="150"/>
      <c r="U451" s="150"/>
      <c r="V451" s="150"/>
      <c r="W451" s="150"/>
      <c r="X451" s="150"/>
      <c r="Y451" s="150"/>
      <c r="Z451" s="150"/>
      <c r="AA451" s="150"/>
      <c r="AB451" s="150"/>
      <c r="AC451" s="149"/>
      <c r="AD451" s="149"/>
      <c r="AE451" s="149"/>
      <c r="AF451" s="150"/>
      <c r="AG451" s="150"/>
      <c r="AH451" s="149"/>
      <c r="AI451" s="149"/>
      <c r="AJ451" s="149"/>
      <c r="AK451" s="150"/>
      <c r="AL451" s="150"/>
      <c r="AM451" s="149"/>
      <c r="AN451" s="149"/>
      <c r="AO451" s="149"/>
      <c r="AP451" s="150"/>
      <c r="AQ451" s="150"/>
      <c r="AR451" s="150"/>
      <c r="AS451" s="150"/>
      <c r="AT451" s="150"/>
      <c r="AU451" s="150"/>
      <c r="AV451" s="150"/>
      <c r="AW451" s="150"/>
      <c r="AX451" s="150"/>
      <c r="AY451" s="151"/>
      <c r="AZ451" s="151"/>
      <c r="BA451" s="151"/>
      <c r="BB451" s="151"/>
      <c r="BC451" s="151"/>
      <c r="BD451" s="151"/>
      <c r="BE451" s="151"/>
      <c r="BF451" s="151"/>
      <c r="BG451" s="151"/>
      <c r="BH451" s="151"/>
      <c r="BI451" s="151"/>
    </row>
    <row r="452" spans="1:61" x14ac:dyDescent="0.25">
      <c r="A452" s="149"/>
      <c r="B452" s="149"/>
      <c r="C452" s="149"/>
      <c r="D452" s="149"/>
      <c r="E452" s="150"/>
      <c r="F452" s="150"/>
      <c r="G452" s="149"/>
      <c r="H452" s="149"/>
      <c r="I452" s="149"/>
      <c r="J452" s="150"/>
      <c r="K452" s="150"/>
      <c r="L452" s="149"/>
      <c r="M452" s="149"/>
      <c r="N452" s="149"/>
      <c r="O452" s="150"/>
      <c r="P452" s="150"/>
      <c r="Q452" s="149"/>
      <c r="R452" s="149"/>
      <c r="S452" s="149"/>
      <c r="T452" s="150"/>
      <c r="U452" s="150"/>
      <c r="V452" s="150"/>
      <c r="W452" s="150"/>
      <c r="X452" s="150"/>
      <c r="Y452" s="150"/>
      <c r="Z452" s="150"/>
      <c r="AA452" s="150"/>
      <c r="AB452" s="150"/>
      <c r="AC452" s="149"/>
      <c r="AD452" s="149"/>
      <c r="AE452" s="149"/>
      <c r="AF452" s="150"/>
      <c r="AG452" s="150"/>
      <c r="AH452" s="149"/>
      <c r="AI452" s="149"/>
      <c r="AJ452" s="149"/>
      <c r="AK452" s="150"/>
      <c r="AL452" s="150"/>
      <c r="AM452" s="149"/>
      <c r="AN452" s="149"/>
      <c r="AO452" s="149"/>
      <c r="AP452" s="150"/>
      <c r="AQ452" s="150"/>
      <c r="AR452" s="150"/>
      <c r="AS452" s="150"/>
      <c r="AT452" s="150"/>
      <c r="AU452" s="150"/>
      <c r="AV452" s="150"/>
      <c r="AW452" s="150"/>
      <c r="AX452" s="150"/>
      <c r="AY452" s="151"/>
      <c r="AZ452" s="151"/>
      <c r="BA452" s="151"/>
      <c r="BB452" s="151"/>
      <c r="BC452" s="151"/>
      <c r="BD452" s="151"/>
      <c r="BE452" s="151"/>
      <c r="BF452" s="151"/>
      <c r="BG452" s="151"/>
      <c r="BH452" s="151"/>
      <c r="BI452" s="151"/>
    </row>
    <row r="453" spans="1:61" x14ac:dyDescent="0.25">
      <c r="A453" s="149"/>
      <c r="B453" s="149"/>
      <c r="C453" s="149"/>
      <c r="D453" s="149"/>
      <c r="E453" s="150"/>
      <c r="F453" s="150"/>
      <c r="G453" s="149"/>
      <c r="H453" s="149"/>
      <c r="I453" s="149"/>
      <c r="J453" s="150"/>
      <c r="K453" s="150"/>
      <c r="L453" s="149"/>
      <c r="M453" s="149"/>
      <c r="N453" s="149"/>
      <c r="O453" s="150"/>
      <c r="P453" s="150"/>
      <c r="Q453" s="149"/>
      <c r="R453" s="149"/>
      <c r="S453" s="149"/>
      <c r="T453" s="150"/>
      <c r="U453" s="150"/>
      <c r="V453" s="150"/>
      <c r="W453" s="150"/>
      <c r="X453" s="150"/>
      <c r="Y453" s="150"/>
      <c r="Z453" s="150"/>
      <c r="AA453" s="150"/>
      <c r="AB453" s="150"/>
      <c r="AC453" s="149"/>
      <c r="AD453" s="149"/>
      <c r="AE453" s="149"/>
      <c r="AF453" s="150"/>
      <c r="AG453" s="150"/>
      <c r="AH453" s="149"/>
      <c r="AI453" s="149"/>
      <c r="AJ453" s="149"/>
      <c r="AK453" s="150"/>
      <c r="AL453" s="150"/>
      <c r="AM453" s="149"/>
      <c r="AN453" s="149"/>
      <c r="AO453" s="149"/>
      <c r="AP453" s="150"/>
      <c r="AQ453" s="150"/>
      <c r="AR453" s="150"/>
      <c r="AS453" s="150"/>
      <c r="AT453" s="150"/>
      <c r="AU453" s="150"/>
      <c r="AV453" s="150"/>
      <c r="AW453" s="150"/>
      <c r="AX453" s="150"/>
      <c r="AY453" s="151"/>
      <c r="AZ453" s="151"/>
      <c r="BA453" s="151"/>
      <c r="BB453" s="151"/>
      <c r="BC453" s="151"/>
      <c r="BD453" s="151"/>
      <c r="BE453" s="151"/>
      <c r="BF453" s="151"/>
      <c r="BG453" s="151"/>
      <c r="BH453" s="151"/>
      <c r="BI453" s="151"/>
    </row>
    <row r="454" spans="1:61" x14ac:dyDescent="0.25">
      <c r="A454" s="149"/>
      <c r="B454" s="149"/>
      <c r="C454" s="149"/>
      <c r="D454" s="149"/>
      <c r="E454" s="150"/>
      <c r="F454" s="150"/>
      <c r="G454" s="149"/>
      <c r="H454" s="149"/>
      <c r="I454" s="149"/>
      <c r="J454" s="150"/>
      <c r="K454" s="150"/>
      <c r="L454" s="149"/>
      <c r="M454" s="149"/>
      <c r="N454" s="149"/>
      <c r="O454" s="150"/>
      <c r="P454" s="150"/>
      <c r="Q454" s="149"/>
      <c r="R454" s="149"/>
      <c r="S454" s="149"/>
      <c r="T454" s="150"/>
      <c r="U454" s="150"/>
      <c r="V454" s="150"/>
      <c r="W454" s="150"/>
      <c r="X454" s="150"/>
      <c r="Y454" s="150"/>
      <c r="Z454" s="150"/>
      <c r="AA454" s="150"/>
      <c r="AB454" s="150"/>
      <c r="AC454" s="149"/>
      <c r="AD454" s="149"/>
      <c r="AE454" s="149"/>
      <c r="AF454" s="150"/>
      <c r="AG454" s="150"/>
      <c r="AH454" s="149"/>
      <c r="AI454" s="149"/>
      <c r="AJ454" s="149"/>
      <c r="AK454" s="150"/>
      <c r="AL454" s="150"/>
      <c r="AM454" s="149"/>
      <c r="AN454" s="149"/>
      <c r="AO454" s="149"/>
      <c r="AP454" s="150"/>
      <c r="AQ454" s="150"/>
      <c r="AR454" s="150"/>
      <c r="AS454" s="150"/>
      <c r="AT454" s="150"/>
      <c r="AU454" s="150"/>
      <c r="AV454" s="150"/>
      <c r="AW454" s="150"/>
      <c r="AX454" s="150"/>
      <c r="AY454" s="151"/>
      <c r="AZ454" s="151"/>
      <c r="BA454" s="151"/>
      <c r="BB454" s="151"/>
      <c r="BC454" s="151"/>
      <c r="BD454" s="151"/>
      <c r="BE454" s="151"/>
      <c r="BF454" s="151"/>
      <c r="BG454" s="151"/>
      <c r="BH454" s="151"/>
      <c r="BI454" s="151"/>
    </row>
    <row r="455" spans="1:61" x14ac:dyDescent="0.25">
      <c r="A455" s="149"/>
      <c r="B455" s="149"/>
      <c r="C455" s="149"/>
      <c r="D455" s="149"/>
      <c r="E455" s="150"/>
      <c r="F455" s="150"/>
      <c r="G455" s="149"/>
      <c r="H455" s="149"/>
      <c r="I455" s="149"/>
      <c r="J455" s="150"/>
      <c r="K455" s="150"/>
      <c r="L455" s="149"/>
      <c r="M455" s="149"/>
      <c r="N455" s="149"/>
      <c r="O455" s="150"/>
      <c r="P455" s="150"/>
      <c r="Q455" s="149"/>
      <c r="R455" s="149"/>
      <c r="S455" s="149"/>
      <c r="T455" s="150"/>
      <c r="U455" s="150"/>
      <c r="V455" s="150"/>
      <c r="W455" s="150"/>
      <c r="X455" s="150"/>
      <c r="Y455" s="150"/>
      <c r="Z455" s="150"/>
      <c r="AA455" s="150"/>
      <c r="AB455" s="150"/>
      <c r="AC455" s="149"/>
      <c r="AD455" s="149"/>
      <c r="AE455" s="149"/>
      <c r="AF455" s="150"/>
      <c r="AG455" s="150"/>
      <c r="AH455" s="149"/>
      <c r="AI455" s="149"/>
      <c r="AJ455" s="149"/>
      <c r="AK455" s="150"/>
      <c r="AL455" s="150"/>
      <c r="AM455" s="149"/>
      <c r="AN455" s="149"/>
      <c r="AO455" s="149"/>
      <c r="AP455" s="150"/>
      <c r="AQ455" s="150"/>
      <c r="AR455" s="150"/>
      <c r="AS455" s="150"/>
      <c r="AT455" s="150"/>
      <c r="AU455" s="150"/>
      <c r="AV455" s="150"/>
      <c r="AW455" s="150"/>
      <c r="AX455" s="150"/>
      <c r="AY455" s="151"/>
      <c r="AZ455" s="151"/>
      <c r="BA455" s="151"/>
      <c r="BB455" s="151"/>
      <c r="BC455" s="151"/>
      <c r="BD455" s="151"/>
      <c r="BE455" s="151"/>
      <c r="BF455" s="151"/>
      <c r="BG455" s="151"/>
      <c r="BH455" s="151"/>
      <c r="BI455" s="151"/>
    </row>
    <row r="456" spans="1:61" x14ac:dyDescent="0.25">
      <c r="A456" s="149"/>
      <c r="B456" s="149"/>
      <c r="C456" s="149"/>
      <c r="D456" s="149"/>
      <c r="E456" s="150"/>
      <c r="F456" s="150"/>
      <c r="G456" s="149"/>
      <c r="H456" s="149"/>
      <c r="I456" s="149"/>
      <c r="J456" s="150"/>
      <c r="K456" s="150"/>
      <c r="L456" s="149"/>
      <c r="M456" s="149"/>
      <c r="N456" s="149"/>
      <c r="O456" s="150"/>
      <c r="P456" s="150"/>
      <c r="Q456" s="149"/>
      <c r="R456" s="149"/>
      <c r="S456" s="149"/>
      <c r="T456" s="150"/>
      <c r="U456" s="150"/>
      <c r="V456" s="150"/>
      <c r="W456" s="150"/>
      <c r="X456" s="150"/>
      <c r="Y456" s="150"/>
      <c r="Z456" s="150"/>
      <c r="AA456" s="150"/>
      <c r="AB456" s="150"/>
      <c r="AC456" s="149"/>
      <c r="AD456" s="149"/>
      <c r="AE456" s="149"/>
      <c r="AF456" s="150"/>
      <c r="AG456" s="150"/>
      <c r="AH456" s="149"/>
      <c r="AI456" s="149"/>
      <c r="AJ456" s="149"/>
      <c r="AK456" s="150"/>
      <c r="AL456" s="150"/>
      <c r="AM456" s="149"/>
      <c r="AN456" s="149"/>
      <c r="AO456" s="149"/>
      <c r="AP456" s="150"/>
      <c r="AQ456" s="150"/>
      <c r="AR456" s="150"/>
      <c r="AS456" s="150"/>
      <c r="AT456" s="150"/>
      <c r="AU456" s="150"/>
      <c r="AV456" s="150"/>
      <c r="AW456" s="150"/>
      <c r="AX456" s="150"/>
      <c r="AY456" s="151"/>
      <c r="AZ456" s="151"/>
      <c r="BA456" s="151"/>
      <c r="BB456" s="151"/>
      <c r="BC456" s="151"/>
      <c r="BD456" s="151"/>
      <c r="BE456" s="151"/>
      <c r="BF456" s="151"/>
      <c r="BG456" s="151"/>
      <c r="BH456" s="151"/>
      <c r="BI456" s="151"/>
    </row>
    <row r="457" spans="1:61" x14ac:dyDescent="0.25">
      <c r="A457" s="149"/>
      <c r="B457" s="149"/>
      <c r="C457" s="149"/>
      <c r="D457" s="149"/>
      <c r="E457" s="150"/>
      <c r="F457" s="150"/>
      <c r="G457" s="149"/>
      <c r="H457" s="149"/>
      <c r="I457" s="149"/>
      <c r="J457" s="150"/>
      <c r="K457" s="150"/>
      <c r="L457" s="149"/>
      <c r="M457" s="149"/>
      <c r="N457" s="149"/>
      <c r="O457" s="150"/>
      <c r="P457" s="150"/>
      <c r="Q457" s="149"/>
      <c r="R457" s="149"/>
      <c r="S457" s="149"/>
      <c r="T457" s="150"/>
      <c r="U457" s="150"/>
      <c r="V457" s="150"/>
      <c r="W457" s="150"/>
      <c r="X457" s="150"/>
      <c r="Y457" s="150"/>
      <c r="Z457" s="150"/>
      <c r="AA457" s="150"/>
      <c r="AB457" s="150"/>
      <c r="AC457" s="149"/>
      <c r="AD457" s="149"/>
      <c r="AE457" s="149"/>
      <c r="AF457" s="150"/>
      <c r="AG457" s="150"/>
      <c r="AH457" s="149"/>
      <c r="AI457" s="149"/>
      <c r="AJ457" s="149"/>
      <c r="AK457" s="150"/>
      <c r="AL457" s="150"/>
      <c r="AM457" s="149"/>
      <c r="AN457" s="149"/>
      <c r="AO457" s="149"/>
      <c r="AP457" s="150"/>
      <c r="AQ457" s="150"/>
      <c r="AR457" s="150"/>
      <c r="AS457" s="150"/>
      <c r="AT457" s="150"/>
      <c r="AU457" s="150"/>
      <c r="AV457" s="150"/>
      <c r="AW457" s="150"/>
      <c r="AX457" s="150"/>
      <c r="AY457" s="151"/>
      <c r="AZ457" s="151"/>
      <c r="BA457" s="151"/>
      <c r="BB457" s="151"/>
      <c r="BC457" s="151"/>
      <c r="BD457" s="151"/>
      <c r="BE457" s="151"/>
      <c r="BF457" s="151"/>
      <c r="BG457" s="151"/>
      <c r="BH457" s="151"/>
      <c r="BI457" s="151"/>
    </row>
    <row r="458" spans="1:61" x14ac:dyDescent="0.25">
      <c r="A458" s="149"/>
      <c r="B458" s="149"/>
      <c r="C458" s="149"/>
      <c r="D458" s="149"/>
      <c r="E458" s="150"/>
      <c r="F458" s="150"/>
      <c r="G458" s="149"/>
      <c r="H458" s="149"/>
      <c r="I458" s="149"/>
      <c r="J458" s="150"/>
      <c r="K458" s="150"/>
      <c r="L458" s="149"/>
      <c r="M458" s="149"/>
      <c r="N458" s="149"/>
      <c r="O458" s="150"/>
      <c r="P458" s="150"/>
      <c r="Q458" s="149"/>
      <c r="R458" s="149"/>
      <c r="S458" s="149"/>
      <c r="T458" s="150"/>
      <c r="U458" s="150"/>
      <c r="V458" s="150"/>
      <c r="W458" s="150"/>
      <c r="X458" s="150"/>
      <c r="Y458" s="150"/>
      <c r="Z458" s="150"/>
      <c r="AA458" s="150"/>
      <c r="AB458" s="150"/>
      <c r="AC458" s="149"/>
      <c r="AD458" s="149"/>
      <c r="AE458" s="149"/>
      <c r="AF458" s="150"/>
      <c r="AG458" s="150"/>
      <c r="AH458" s="149"/>
      <c r="AI458" s="149"/>
      <c r="AJ458" s="149"/>
      <c r="AK458" s="150"/>
      <c r="AL458" s="150"/>
      <c r="AM458" s="149"/>
      <c r="AN458" s="149"/>
      <c r="AO458" s="149"/>
      <c r="AP458" s="150"/>
      <c r="AQ458" s="150"/>
      <c r="AR458" s="150"/>
      <c r="AS458" s="150"/>
      <c r="AT458" s="150"/>
      <c r="AU458" s="150"/>
      <c r="AV458" s="150"/>
      <c r="AW458" s="150"/>
      <c r="AX458" s="150"/>
      <c r="AY458" s="151"/>
      <c r="AZ458" s="151"/>
      <c r="BA458" s="151"/>
      <c r="BB458" s="151"/>
      <c r="BC458" s="151"/>
      <c r="BD458" s="151"/>
      <c r="BE458" s="151"/>
      <c r="BF458" s="151"/>
      <c r="BG458" s="151"/>
      <c r="BH458" s="151"/>
      <c r="BI458" s="151"/>
    </row>
    <row r="459" spans="1:61" x14ac:dyDescent="0.25">
      <c r="A459" s="149"/>
      <c r="B459" s="149"/>
      <c r="C459" s="149"/>
      <c r="D459" s="149"/>
      <c r="E459" s="150"/>
      <c r="F459" s="150"/>
      <c r="G459" s="149"/>
      <c r="H459" s="149"/>
      <c r="I459" s="149"/>
      <c r="J459" s="150"/>
      <c r="K459" s="150"/>
      <c r="L459" s="149"/>
      <c r="M459" s="149"/>
      <c r="N459" s="149"/>
      <c r="O459" s="150"/>
      <c r="P459" s="150"/>
      <c r="Q459" s="149"/>
      <c r="R459" s="149"/>
      <c r="S459" s="149"/>
      <c r="T459" s="150"/>
      <c r="U459" s="150"/>
      <c r="V459" s="150"/>
      <c r="W459" s="150"/>
      <c r="X459" s="150"/>
      <c r="Y459" s="150"/>
      <c r="Z459" s="150"/>
      <c r="AA459" s="150"/>
      <c r="AB459" s="150"/>
      <c r="AC459" s="149"/>
      <c r="AD459" s="149"/>
      <c r="AE459" s="149"/>
      <c r="AF459" s="150"/>
      <c r="AG459" s="150"/>
      <c r="AH459" s="149"/>
      <c r="AI459" s="149"/>
      <c r="AJ459" s="149"/>
      <c r="AK459" s="150"/>
      <c r="AL459" s="150"/>
      <c r="AM459" s="149"/>
      <c r="AN459" s="149"/>
      <c r="AO459" s="149"/>
      <c r="AP459" s="150"/>
      <c r="AQ459" s="150"/>
      <c r="AR459" s="150"/>
      <c r="AS459" s="150"/>
      <c r="AT459" s="150"/>
      <c r="AU459" s="150"/>
      <c r="AV459" s="150"/>
      <c r="AW459" s="150"/>
      <c r="AX459" s="150"/>
      <c r="AY459" s="151"/>
      <c r="AZ459" s="151"/>
      <c r="BA459" s="151"/>
      <c r="BB459" s="151"/>
      <c r="BC459" s="151"/>
      <c r="BD459" s="151"/>
      <c r="BE459" s="151"/>
      <c r="BF459" s="151"/>
      <c r="BG459" s="151"/>
      <c r="BH459" s="151"/>
      <c r="BI459" s="151"/>
    </row>
    <row r="460" spans="1:61" x14ac:dyDescent="0.25">
      <c r="A460" s="149"/>
      <c r="B460" s="149"/>
      <c r="C460" s="149"/>
      <c r="D460" s="149"/>
      <c r="E460" s="150"/>
      <c r="F460" s="150"/>
      <c r="G460" s="149"/>
      <c r="H460" s="149"/>
      <c r="I460" s="149"/>
      <c r="J460" s="150"/>
      <c r="K460" s="150"/>
      <c r="L460" s="149"/>
      <c r="M460" s="149"/>
      <c r="N460" s="149"/>
      <c r="O460" s="150"/>
      <c r="P460" s="150"/>
      <c r="Q460" s="149"/>
      <c r="R460" s="149"/>
      <c r="S460" s="149"/>
      <c r="T460" s="150"/>
      <c r="U460" s="150"/>
      <c r="V460" s="150"/>
      <c r="W460" s="150"/>
      <c r="X460" s="150"/>
      <c r="Y460" s="150"/>
      <c r="Z460" s="150"/>
      <c r="AA460" s="150"/>
      <c r="AB460" s="150"/>
      <c r="AC460" s="149"/>
      <c r="AD460" s="149"/>
      <c r="AE460" s="149"/>
      <c r="AF460" s="150"/>
      <c r="AG460" s="150"/>
      <c r="AH460" s="149"/>
      <c r="AI460" s="149"/>
      <c r="AJ460" s="149"/>
      <c r="AK460" s="150"/>
      <c r="AL460" s="150"/>
      <c r="AM460" s="149"/>
      <c r="AN460" s="149"/>
      <c r="AO460" s="149"/>
      <c r="AP460" s="150"/>
      <c r="AQ460" s="150"/>
      <c r="AR460" s="150"/>
      <c r="AS460" s="150"/>
      <c r="AT460" s="150"/>
      <c r="AU460" s="150"/>
      <c r="AV460" s="150"/>
      <c r="AW460" s="150"/>
      <c r="AX460" s="150"/>
      <c r="AY460" s="151"/>
      <c r="AZ460" s="151"/>
      <c r="BA460" s="151"/>
      <c r="BB460" s="151"/>
      <c r="BC460" s="151"/>
      <c r="BD460" s="151"/>
      <c r="BE460" s="151"/>
      <c r="BF460" s="151"/>
      <c r="BG460" s="151"/>
      <c r="BH460" s="151"/>
      <c r="BI460" s="151"/>
    </row>
    <row r="461" spans="1:61" x14ac:dyDescent="0.25">
      <c r="A461" s="149"/>
      <c r="B461" s="149"/>
      <c r="C461" s="149"/>
      <c r="D461" s="149"/>
      <c r="E461" s="150"/>
      <c r="F461" s="150"/>
      <c r="G461" s="149"/>
      <c r="H461" s="149"/>
      <c r="I461" s="149"/>
      <c r="J461" s="150"/>
      <c r="K461" s="150"/>
      <c r="L461" s="149"/>
      <c r="M461" s="149"/>
      <c r="N461" s="149"/>
      <c r="O461" s="150"/>
      <c r="P461" s="150"/>
      <c r="Q461" s="149"/>
      <c r="R461" s="149"/>
      <c r="S461" s="149"/>
      <c r="T461" s="150"/>
      <c r="U461" s="150"/>
      <c r="V461" s="150"/>
      <c r="W461" s="150"/>
      <c r="X461" s="150"/>
      <c r="Y461" s="150"/>
      <c r="Z461" s="150"/>
      <c r="AA461" s="150"/>
      <c r="AB461" s="150"/>
      <c r="AC461" s="149"/>
      <c r="AD461" s="149"/>
      <c r="AE461" s="149"/>
      <c r="AF461" s="150"/>
      <c r="AG461" s="150"/>
      <c r="AH461" s="149"/>
      <c r="AI461" s="149"/>
      <c r="AJ461" s="149"/>
      <c r="AK461" s="150"/>
      <c r="AL461" s="150"/>
      <c r="AM461" s="149"/>
      <c r="AN461" s="149"/>
      <c r="AO461" s="149"/>
      <c r="AP461" s="150"/>
      <c r="AQ461" s="150"/>
      <c r="AR461" s="150"/>
      <c r="AS461" s="150"/>
      <c r="AT461" s="150"/>
      <c r="AU461" s="150"/>
      <c r="AV461" s="150"/>
      <c r="AW461" s="150"/>
      <c r="AX461" s="150"/>
      <c r="AY461" s="151"/>
      <c r="AZ461" s="151"/>
      <c r="BA461" s="151"/>
      <c r="BB461" s="151"/>
      <c r="BC461" s="151"/>
      <c r="BD461" s="151"/>
      <c r="BE461" s="151"/>
      <c r="BF461" s="151"/>
      <c r="BG461" s="151"/>
      <c r="BH461" s="151"/>
      <c r="BI461" s="151"/>
    </row>
    <row r="462" spans="1:61" x14ac:dyDescent="0.25">
      <c r="A462" s="149"/>
      <c r="B462" s="149"/>
      <c r="C462" s="149"/>
      <c r="D462" s="149"/>
      <c r="E462" s="150"/>
      <c r="F462" s="150"/>
      <c r="G462" s="149"/>
      <c r="H462" s="149"/>
      <c r="I462" s="149"/>
      <c r="J462" s="150"/>
      <c r="K462" s="150"/>
      <c r="L462" s="149"/>
      <c r="M462" s="149"/>
      <c r="N462" s="149"/>
      <c r="O462" s="150"/>
      <c r="P462" s="150"/>
      <c r="Q462" s="149"/>
      <c r="R462" s="149"/>
      <c r="S462" s="149"/>
      <c r="T462" s="150"/>
      <c r="U462" s="150"/>
      <c r="V462" s="150"/>
      <c r="W462" s="150"/>
      <c r="X462" s="150"/>
      <c r="Y462" s="150"/>
      <c r="Z462" s="150"/>
      <c r="AA462" s="150"/>
      <c r="AB462" s="150"/>
      <c r="AC462" s="149"/>
      <c r="AD462" s="149"/>
      <c r="AE462" s="149"/>
      <c r="AF462" s="150"/>
      <c r="AG462" s="150"/>
      <c r="AH462" s="149"/>
      <c r="AI462" s="149"/>
      <c r="AJ462" s="149"/>
      <c r="AK462" s="150"/>
      <c r="AL462" s="150"/>
      <c r="AM462" s="149"/>
      <c r="AN462" s="149"/>
      <c r="AO462" s="149"/>
      <c r="AP462" s="150"/>
      <c r="AQ462" s="150"/>
      <c r="AR462" s="150"/>
      <c r="AS462" s="150"/>
      <c r="AT462" s="150"/>
      <c r="AU462" s="150"/>
      <c r="AV462" s="150"/>
      <c r="AW462" s="150"/>
      <c r="AX462" s="150"/>
      <c r="AY462" s="151"/>
      <c r="AZ462" s="151"/>
      <c r="BA462" s="151"/>
      <c r="BB462" s="151"/>
      <c r="BC462" s="151"/>
      <c r="BD462" s="151"/>
      <c r="BE462" s="151"/>
      <c r="BF462" s="151"/>
      <c r="BG462" s="151"/>
      <c r="BH462" s="151"/>
      <c r="BI462" s="151"/>
    </row>
    <row r="463" spans="1:61" x14ac:dyDescent="0.25">
      <c r="A463" s="149"/>
      <c r="B463" s="149"/>
      <c r="C463" s="149"/>
      <c r="D463" s="149"/>
      <c r="E463" s="150"/>
      <c r="F463" s="150"/>
      <c r="G463" s="149"/>
      <c r="H463" s="149"/>
      <c r="I463" s="149"/>
      <c r="J463" s="150"/>
      <c r="K463" s="150"/>
      <c r="L463" s="149"/>
      <c r="M463" s="149"/>
      <c r="N463" s="149"/>
      <c r="O463" s="150"/>
      <c r="P463" s="150"/>
      <c r="Q463" s="149"/>
      <c r="R463" s="149"/>
      <c r="S463" s="149"/>
      <c r="T463" s="150"/>
      <c r="U463" s="150"/>
      <c r="V463" s="150"/>
      <c r="W463" s="150"/>
      <c r="X463" s="150"/>
      <c r="Y463" s="150"/>
      <c r="Z463" s="150"/>
      <c r="AA463" s="150"/>
      <c r="AB463" s="150"/>
      <c r="AC463" s="149"/>
      <c r="AD463" s="149"/>
      <c r="AE463" s="149"/>
      <c r="AF463" s="150"/>
      <c r="AG463" s="150"/>
      <c r="AH463" s="149"/>
      <c r="AI463" s="149"/>
      <c r="AJ463" s="149"/>
      <c r="AK463" s="150"/>
      <c r="AL463" s="150"/>
      <c r="AM463" s="149"/>
      <c r="AN463" s="149"/>
      <c r="AO463" s="149"/>
      <c r="AP463" s="150"/>
      <c r="AQ463" s="150"/>
      <c r="AR463" s="150"/>
      <c r="AS463" s="150"/>
      <c r="AT463" s="150"/>
      <c r="AU463" s="150"/>
      <c r="AV463" s="150"/>
      <c r="AW463" s="150"/>
      <c r="AX463" s="150"/>
      <c r="AY463" s="151"/>
      <c r="AZ463" s="151"/>
      <c r="BA463" s="151"/>
      <c r="BB463" s="151"/>
      <c r="BC463" s="151"/>
      <c r="BD463" s="151"/>
      <c r="BE463" s="151"/>
      <c r="BF463" s="151"/>
      <c r="BG463" s="151"/>
      <c r="BH463" s="151"/>
      <c r="BI463" s="151"/>
    </row>
    <row r="464" spans="1:61" x14ac:dyDescent="0.25">
      <c r="A464" s="149"/>
      <c r="B464" s="149"/>
      <c r="C464" s="149"/>
      <c r="D464" s="149"/>
      <c r="E464" s="150"/>
      <c r="F464" s="150"/>
      <c r="G464" s="149"/>
      <c r="H464" s="149"/>
      <c r="I464" s="149"/>
      <c r="J464" s="150"/>
      <c r="K464" s="150"/>
      <c r="L464" s="149"/>
      <c r="M464" s="149"/>
      <c r="N464" s="149"/>
      <c r="O464" s="150"/>
      <c r="P464" s="150"/>
      <c r="Q464" s="149"/>
      <c r="R464" s="149"/>
      <c r="S464" s="149"/>
      <c r="T464" s="150"/>
      <c r="U464" s="150"/>
      <c r="V464" s="150"/>
      <c r="W464" s="150"/>
      <c r="X464" s="150"/>
      <c r="Y464" s="150"/>
      <c r="Z464" s="150"/>
      <c r="AA464" s="150"/>
      <c r="AB464" s="150"/>
      <c r="AC464" s="149"/>
      <c r="AD464" s="149"/>
      <c r="AE464" s="149"/>
      <c r="AF464" s="150"/>
      <c r="AG464" s="150"/>
      <c r="AH464" s="149"/>
      <c r="AI464" s="149"/>
      <c r="AJ464" s="149"/>
      <c r="AK464" s="150"/>
      <c r="AL464" s="150"/>
      <c r="AM464" s="149"/>
      <c r="AN464" s="149"/>
      <c r="AO464" s="149"/>
      <c r="AP464" s="150"/>
      <c r="AQ464" s="150"/>
      <c r="AR464" s="150"/>
      <c r="AS464" s="150"/>
      <c r="AT464" s="150"/>
      <c r="AU464" s="150"/>
      <c r="AV464" s="150"/>
      <c r="AW464" s="150"/>
      <c r="AX464" s="150"/>
      <c r="AY464" s="151"/>
      <c r="AZ464" s="151"/>
      <c r="BA464" s="151"/>
      <c r="BB464" s="151"/>
      <c r="BC464" s="151"/>
      <c r="BD464" s="151"/>
      <c r="BE464" s="151"/>
      <c r="BF464" s="151"/>
      <c r="BG464" s="151"/>
      <c r="BH464" s="151"/>
      <c r="BI464" s="151"/>
    </row>
    <row r="465" spans="1:61" x14ac:dyDescent="0.25">
      <c r="A465" s="149"/>
      <c r="B465" s="149"/>
      <c r="C465" s="149"/>
      <c r="D465" s="149"/>
      <c r="E465" s="150"/>
      <c r="F465" s="150"/>
      <c r="G465" s="149"/>
      <c r="H465" s="149"/>
      <c r="I465" s="149"/>
      <c r="J465" s="150"/>
      <c r="K465" s="150"/>
      <c r="L465" s="149"/>
      <c r="M465" s="149"/>
      <c r="N465" s="149"/>
      <c r="O465" s="150"/>
      <c r="P465" s="150"/>
      <c r="Q465" s="149"/>
      <c r="R465" s="149"/>
      <c r="S465" s="149"/>
      <c r="T465" s="150"/>
      <c r="U465" s="150"/>
      <c r="V465" s="150"/>
      <c r="W465" s="150"/>
      <c r="X465" s="150"/>
      <c r="Y465" s="150"/>
      <c r="Z465" s="150"/>
      <c r="AA465" s="150"/>
      <c r="AB465" s="150"/>
      <c r="AC465" s="149"/>
      <c r="AD465" s="149"/>
      <c r="AE465" s="149"/>
      <c r="AF465" s="150"/>
      <c r="AG465" s="150"/>
      <c r="AH465" s="149"/>
      <c r="AI465" s="149"/>
      <c r="AJ465" s="149"/>
      <c r="AK465" s="150"/>
      <c r="AL465" s="150"/>
      <c r="AM465" s="149"/>
      <c r="AN465" s="149"/>
      <c r="AO465" s="149"/>
      <c r="AP465" s="150"/>
      <c r="AQ465" s="150"/>
      <c r="AR465" s="150"/>
      <c r="AS465" s="150"/>
      <c r="AT465" s="150"/>
      <c r="AU465" s="150"/>
      <c r="AV465" s="150"/>
      <c r="AW465" s="150"/>
      <c r="AX465" s="150"/>
      <c r="AY465" s="151"/>
      <c r="AZ465" s="151"/>
      <c r="BA465" s="151"/>
      <c r="BB465" s="151"/>
      <c r="BC465" s="151"/>
      <c r="BD465" s="151"/>
      <c r="BE465" s="151"/>
      <c r="BF465" s="151"/>
      <c r="BG465" s="151"/>
      <c r="BH465" s="151"/>
      <c r="BI465" s="151"/>
    </row>
    <row r="466" spans="1:61" x14ac:dyDescent="0.25">
      <c r="A466" s="149"/>
      <c r="B466" s="149"/>
      <c r="C466" s="149"/>
      <c r="D466" s="149"/>
      <c r="E466" s="150"/>
      <c r="F466" s="150"/>
      <c r="G466" s="149"/>
      <c r="H466" s="149"/>
      <c r="I466" s="149"/>
      <c r="J466" s="150"/>
      <c r="K466" s="150"/>
      <c r="L466" s="149"/>
      <c r="M466" s="149"/>
      <c r="N466" s="149"/>
      <c r="O466" s="150"/>
      <c r="P466" s="150"/>
      <c r="Q466" s="149"/>
      <c r="R466" s="149"/>
      <c r="S466" s="149"/>
      <c r="T466" s="150"/>
      <c r="U466" s="150"/>
      <c r="V466" s="150"/>
      <c r="W466" s="150"/>
      <c r="X466" s="150"/>
      <c r="Y466" s="150"/>
      <c r="Z466" s="150"/>
      <c r="AA466" s="150"/>
      <c r="AB466" s="150"/>
      <c r="AC466" s="149"/>
      <c r="AD466" s="149"/>
      <c r="AE466" s="149"/>
      <c r="AF466" s="150"/>
      <c r="AG466" s="150"/>
      <c r="AH466" s="149"/>
      <c r="AI466" s="149"/>
      <c r="AJ466" s="149"/>
      <c r="AK466" s="150"/>
      <c r="AL466" s="150"/>
      <c r="AM466" s="149"/>
      <c r="AN466" s="149"/>
      <c r="AO466" s="149"/>
      <c r="AP466" s="150"/>
      <c r="AQ466" s="150"/>
      <c r="AR466" s="150"/>
      <c r="AS466" s="150"/>
      <c r="AT466" s="150"/>
      <c r="AU466" s="150"/>
      <c r="AV466" s="150"/>
      <c r="AW466" s="150"/>
      <c r="AX466" s="150"/>
      <c r="AY466" s="151"/>
      <c r="AZ466" s="151"/>
      <c r="BA466" s="151"/>
      <c r="BB466" s="151"/>
      <c r="BC466" s="151"/>
      <c r="BD466" s="151"/>
      <c r="BE466" s="151"/>
      <c r="BF466" s="151"/>
      <c r="BG466" s="151"/>
      <c r="BH466" s="151"/>
      <c r="BI466" s="151"/>
    </row>
    <row r="467" spans="1:61" x14ac:dyDescent="0.25">
      <c r="A467" s="149"/>
      <c r="B467" s="149"/>
      <c r="C467" s="149"/>
      <c r="D467" s="149"/>
      <c r="E467" s="150"/>
      <c r="F467" s="150"/>
      <c r="G467" s="149"/>
      <c r="H467" s="149"/>
      <c r="I467" s="149"/>
      <c r="J467" s="150"/>
      <c r="K467" s="150"/>
      <c r="L467" s="149"/>
      <c r="M467" s="149"/>
      <c r="N467" s="149"/>
      <c r="O467" s="150"/>
      <c r="P467" s="150"/>
      <c r="Q467" s="149"/>
      <c r="R467" s="149"/>
      <c r="S467" s="149"/>
      <c r="T467" s="150"/>
      <c r="U467" s="150"/>
      <c r="V467" s="150"/>
      <c r="W467" s="150"/>
      <c r="X467" s="150"/>
      <c r="Y467" s="150"/>
      <c r="Z467" s="150"/>
      <c r="AA467" s="150"/>
      <c r="AB467" s="150"/>
      <c r="AC467" s="149"/>
      <c r="AD467" s="149"/>
      <c r="AE467" s="149"/>
      <c r="AF467" s="150"/>
      <c r="AG467" s="150"/>
      <c r="AH467" s="149"/>
      <c r="AI467" s="149"/>
      <c r="AJ467" s="149"/>
      <c r="AK467" s="150"/>
      <c r="AL467" s="150"/>
      <c r="AM467" s="149"/>
      <c r="AN467" s="149"/>
      <c r="AO467" s="149"/>
      <c r="AP467" s="150"/>
      <c r="AQ467" s="150"/>
      <c r="AR467" s="150"/>
      <c r="AS467" s="150"/>
      <c r="AT467" s="150"/>
      <c r="AU467" s="150"/>
      <c r="AV467" s="150"/>
      <c r="AW467" s="150"/>
      <c r="AX467" s="150"/>
      <c r="AY467" s="151"/>
      <c r="AZ467" s="151"/>
      <c r="BA467" s="151"/>
      <c r="BB467" s="151"/>
      <c r="BC467" s="151"/>
      <c r="BD467" s="151"/>
      <c r="BE467" s="151"/>
      <c r="BF467" s="151"/>
      <c r="BG467" s="151"/>
      <c r="BH467" s="151"/>
      <c r="BI467" s="151"/>
    </row>
    <row r="468" spans="1:61" x14ac:dyDescent="0.25">
      <c r="A468" s="149"/>
      <c r="B468" s="149"/>
      <c r="C468" s="149"/>
      <c r="D468" s="149"/>
      <c r="E468" s="150"/>
      <c r="F468" s="150"/>
      <c r="G468" s="149"/>
      <c r="H468" s="149"/>
      <c r="I468" s="149"/>
      <c r="J468" s="150"/>
      <c r="K468" s="150"/>
      <c r="L468" s="149"/>
      <c r="M468" s="149"/>
      <c r="N468" s="149"/>
      <c r="O468" s="150"/>
      <c r="P468" s="150"/>
      <c r="Q468" s="149"/>
      <c r="R468" s="149"/>
      <c r="S468" s="149"/>
      <c r="T468" s="150"/>
      <c r="U468" s="150"/>
      <c r="V468" s="150"/>
      <c r="W468" s="150"/>
      <c r="X468" s="150"/>
      <c r="Y468" s="150"/>
      <c r="Z468" s="150"/>
      <c r="AA468" s="150"/>
      <c r="AB468" s="150"/>
      <c r="AC468" s="149"/>
      <c r="AD468" s="149"/>
      <c r="AE468" s="149"/>
      <c r="AF468" s="150"/>
      <c r="AG468" s="150"/>
      <c r="AH468" s="149"/>
      <c r="AI468" s="149"/>
      <c r="AJ468" s="149"/>
      <c r="AK468" s="150"/>
      <c r="AL468" s="150"/>
      <c r="AM468" s="149"/>
      <c r="AN468" s="149"/>
      <c r="AO468" s="149"/>
      <c r="AP468" s="150"/>
      <c r="AQ468" s="150"/>
      <c r="AR468" s="150"/>
      <c r="AS468" s="150"/>
      <c r="AT468" s="150"/>
      <c r="AU468" s="150"/>
      <c r="AV468" s="150"/>
      <c r="AW468" s="150"/>
      <c r="AX468" s="150"/>
      <c r="AY468" s="151"/>
      <c r="AZ468" s="151"/>
      <c r="BA468" s="151"/>
      <c r="BB468" s="151"/>
      <c r="BC468" s="151"/>
      <c r="BD468" s="151"/>
      <c r="BE468" s="151"/>
      <c r="BF468" s="151"/>
      <c r="BG468" s="151"/>
      <c r="BH468" s="151"/>
      <c r="BI468" s="151"/>
    </row>
    <row r="469" spans="1:61" x14ac:dyDescent="0.25">
      <c r="A469" s="149"/>
      <c r="B469" s="149"/>
      <c r="C469" s="149"/>
      <c r="D469" s="149"/>
      <c r="E469" s="150"/>
      <c r="F469" s="150"/>
      <c r="G469" s="149"/>
      <c r="H469" s="149"/>
      <c r="I469" s="149"/>
      <c r="J469" s="150"/>
      <c r="K469" s="150"/>
      <c r="L469" s="149"/>
      <c r="M469" s="149"/>
      <c r="N469" s="149"/>
      <c r="O469" s="150"/>
      <c r="P469" s="150"/>
      <c r="Q469" s="149"/>
      <c r="R469" s="149"/>
      <c r="S469" s="149"/>
      <c r="T469" s="150"/>
      <c r="U469" s="150"/>
      <c r="V469" s="150"/>
      <c r="W469" s="150"/>
      <c r="X469" s="150"/>
      <c r="Y469" s="150"/>
      <c r="Z469" s="150"/>
      <c r="AA469" s="150"/>
      <c r="AB469" s="150"/>
      <c r="AC469" s="149"/>
      <c r="AD469" s="149"/>
      <c r="AE469" s="149"/>
      <c r="AF469" s="150"/>
      <c r="AG469" s="150"/>
      <c r="AH469" s="149"/>
      <c r="AI469" s="149"/>
      <c r="AJ469" s="149"/>
      <c r="AK469" s="150"/>
      <c r="AL469" s="150"/>
      <c r="AM469" s="149"/>
      <c r="AN469" s="149"/>
      <c r="AO469" s="149"/>
      <c r="AP469" s="150"/>
      <c r="AQ469" s="150"/>
      <c r="AR469" s="150"/>
      <c r="AS469" s="150"/>
      <c r="AT469" s="150"/>
      <c r="AU469" s="150"/>
      <c r="AV469" s="150"/>
      <c r="AW469" s="150"/>
      <c r="AX469" s="150"/>
      <c r="AY469" s="151"/>
      <c r="AZ469" s="151"/>
      <c r="BA469" s="151"/>
      <c r="BB469" s="151"/>
      <c r="BC469" s="151"/>
      <c r="BD469" s="151"/>
      <c r="BE469" s="151"/>
      <c r="BF469" s="151"/>
      <c r="BG469" s="151"/>
      <c r="BH469" s="151"/>
      <c r="BI469" s="151"/>
    </row>
    <row r="470" spans="1:61" x14ac:dyDescent="0.25">
      <c r="A470" s="149"/>
      <c r="B470" s="149"/>
      <c r="C470" s="149"/>
      <c r="D470" s="149"/>
      <c r="E470" s="150"/>
      <c r="F470" s="150"/>
      <c r="G470" s="149"/>
      <c r="H470" s="149"/>
      <c r="I470" s="149"/>
      <c r="J470" s="150"/>
      <c r="K470" s="150"/>
      <c r="L470" s="149"/>
      <c r="M470" s="149"/>
      <c r="N470" s="149"/>
      <c r="O470" s="150"/>
      <c r="P470" s="150"/>
      <c r="Q470" s="149"/>
      <c r="R470" s="149"/>
      <c r="S470" s="149"/>
      <c r="T470" s="150"/>
      <c r="U470" s="150"/>
      <c r="V470" s="150"/>
      <c r="W470" s="150"/>
      <c r="X470" s="150"/>
      <c r="Y470" s="150"/>
      <c r="Z470" s="150"/>
      <c r="AA470" s="150"/>
      <c r="AB470" s="150"/>
      <c r="AC470" s="149"/>
      <c r="AD470" s="149"/>
      <c r="AE470" s="149"/>
      <c r="AF470" s="150"/>
      <c r="AG470" s="150"/>
      <c r="AH470" s="149"/>
      <c r="AI470" s="149"/>
      <c r="AJ470" s="149"/>
      <c r="AK470" s="150"/>
      <c r="AL470" s="150"/>
      <c r="AM470" s="149"/>
      <c r="AN470" s="149"/>
      <c r="AO470" s="149"/>
      <c r="AP470" s="150"/>
      <c r="AQ470" s="150"/>
      <c r="AR470" s="150"/>
      <c r="AS470" s="150"/>
      <c r="AT470" s="150"/>
      <c r="AU470" s="150"/>
      <c r="AV470" s="150"/>
      <c r="AW470" s="150"/>
      <c r="AX470" s="150"/>
      <c r="AY470" s="151"/>
      <c r="AZ470" s="151"/>
      <c r="BA470" s="151"/>
      <c r="BB470" s="151"/>
      <c r="BC470" s="151"/>
      <c r="BD470" s="151"/>
      <c r="BE470" s="151"/>
      <c r="BF470" s="151"/>
      <c r="BG470" s="151"/>
      <c r="BH470" s="151"/>
      <c r="BI470" s="151"/>
    </row>
    <row r="471" spans="1:61" x14ac:dyDescent="0.25">
      <c r="A471" s="149"/>
      <c r="B471" s="149"/>
      <c r="C471" s="149"/>
      <c r="D471" s="149"/>
      <c r="E471" s="150"/>
      <c r="F471" s="150"/>
      <c r="G471" s="149"/>
      <c r="H471" s="149"/>
      <c r="I471" s="149"/>
      <c r="J471" s="150"/>
      <c r="K471" s="150"/>
      <c r="L471" s="149"/>
      <c r="M471" s="149"/>
      <c r="N471" s="149"/>
      <c r="O471" s="150"/>
      <c r="P471" s="150"/>
      <c r="Q471" s="149"/>
      <c r="R471" s="149"/>
      <c r="S471" s="149"/>
      <c r="T471" s="150"/>
      <c r="U471" s="150"/>
      <c r="V471" s="150"/>
      <c r="W471" s="150"/>
      <c r="X471" s="150"/>
      <c r="Y471" s="150"/>
      <c r="Z471" s="150"/>
      <c r="AA471" s="150"/>
      <c r="AB471" s="150"/>
      <c r="AC471" s="149"/>
      <c r="AD471" s="149"/>
      <c r="AE471" s="149"/>
      <c r="AF471" s="150"/>
      <c r="AG471" s="150"/>
      <c r="AH471" s="149"/>
      <c r="AI471" s="149"/>
      <c r="AJ471" s="149"/>
      <c r="AK471" s="150"/>
      <c r="AL471" s="150"/>
      <c r="AM471" s="149"/>
      <c r="AN471" s="149"/>
      <c r="AO471" s="149"/>
      <c r="AP471" s="150"/>
      <c r="AQ471" s="150"/>
      <c r="AR471" s="150"/>
      <c r="AS471" s="150"/>
      <c r="AT471" s="150"/>
      <c r="AU471" s="150"/>
      <c r="AV471" s="150"/>
      <c r="AW471" s="150"/>
      <c r="AX471" s="150"/>
      <c r="AY471" s="151"/>
      <c r="AZ471" s="151"/>
      <c r="BA471" s="151"/>
      <c r="BB471" s="151"/>
      <c r="BC471" s="151"/>
      <c r="BD471" s="151"/>
      <c r="BE471" s="151"/>
      <c r="BF471" s="151"/>
      <c r="BG471" s="151"/>
      <c r="BH471" s="151"/>
      <c r="BI471" s="151"/>
    </row>
    <row r="472" spans="1:61" x14ac:dyDescent="0.25">
      <c r="A472" s="149"/>
      <c r="B472" s="149"/>
      <c r="C472" s="149"/>
      <c r="D472" s="149"/>
      <c r="E472" s="150"/>
      <c r="F472" s="150"/>
      <c r="G472" s="149"/>
      <c r="H472" s="149"/>
      <c r="I472" s="149"/>
      <c r="J472" s="150"/>
      <c r="K472" s="150"/>
      <c r="L472" s="149"/>
      <c r="M472" s="149"/>
      <c r="N472" s="149"/>
      <c r="O472" s="150"/>
      <c r="P472" s="150"/>
      <c r="Q472" s="149"/>
      <c r="R472" s="149"/>
      <c r="S472" s="149"/>
      <c r="T472" s="150"/>
      <c r="U472" s="150"/>
      <c r="V472" s="150"/>
      <c r="W472" s="150"/>
      <c r="X472" s="150"/>
      <c r="Y472" s="150"/>
      <c r="Z472" s="150"/>
      <c r="AA472" s="150"/>
      <c r="AB472" s="150"/>
      <c r="AC472" s="149"/>
      <c r="AD472" s="149"/>
      <c r="AE472" s="149"/>
      <c r="AF472" s="150"/>
      <c r="AG472" s="150"/>
      <c r="AH472" s="149"/>
      <c r="AI472" s="149"/>
      <c r="AJ472" s="149"/>
      <c r="AK472" s="150"/>
      <c r="AL472" s="150"/>
      <c r="AM472" s="149"/>
      <c r="AN472" s="149"/>
      <c r="AO472" s="149"/>
      <c r="AP472" s="150"/>
      <c r="AQ472" s="150"/>
      <c r="AR472" s="150"/>
      <c r="AS472" s="150"/>
      <c r="AT472" s="150"/>
      <c r="AU472" s="150"/>
      <c r="AV472" s="150"/>
      <c r="AW472" s="150"/>
      <c r="AX472" s="150"/>
      <c r="AY472" s="151"/>
      <c r="AZ472" s="151"/>
      <c r="BA472" s="151"/>
      <c r="BB472" s="151"/>
      <c r="BC472" s="151"/>
      <c r="BD472" s="151"/>
      <c r="BE472" s="151"/>
      <c r="BF472" s="151"/>
      <c r="BG472" s="151"/>
      <c r="BH472" s="151"/>
      <c r="BI472" s="151"/>
    </row>
    <row r="473" spans="1:61" x14ac:dyDescent="0.25">
      <c r="A473" s="149"/>
      <c r="B473" s="149"/>
      <c r="C473" s="149"/>
      <c r="D473" s="149"/>
      <c r="E473" s="150"/>
      <c r="F473" s="150"/>
      <c r="G473" s="149"/>
      <c r="H473" s="149"/>
      <c r="I473" s="149"/>
      <c r="J473" s="150"/>
      <c r="K473" s="150"/>
      <c r="L473" s="149"/>
      <c r="M473" s="149"/>
      <c r="N473" s="149"/>
      <c r="O473" s="150"/>
      <c r="P473" s="150"/>
      <c r="Q473" s="149"/>
      <c r="R473" s="149"/>
      <c r="S473" s="149"/>
      <c r="T473" s="150"/>
      <c r="U473" s="150"/>
      <c r="V473" s="150"/>
      <c r="W473" s="150"/>
      <c r="X473" s="150"/>
      <c r="Y473" s="150"/>
      <c r="Z473" s="150"/>
      <c r="AA473" s="150"/>
      <c r="AB473" s="150"/>
      <c r="AC473" s="149"/>
      <c r="AD473" s="149"/>
      <c r="AE473" s="149"/>
      <c r="AF473" s="150"/>
      <c r="AG473" s="150"/>
      <c r="AH473" s="149"/>
      <c r="AI473" s="149"/>
      <c r="AJ473" s="149"/>
      <c r="AK473" s="150"/>
      <c r="AL473" s="150"/>
      <c r="AM473" s="149"/>
      <c r="AN473" s="149"/>
      <c r="AO473" s="149"/>
      <c r="AP473" s="150"/>
      <c r="AQ473" s="150"/>
      <c r="AR473" s="150"/>
      <c r="AS473" s="150"/>
      <c r="AT473" s="150"/>
      <c r="AU473" s="150"/>
      <c r="AV473" s="150"/>
      <c r="AW473" s="150"/>
      <c r="AX473" s="150"/>
      <c r="AY473" s="151"/>
      <c r="AZ473" s="151"/>
      <c r="BA473" s="151"/>
      <c r="BB473" s="151"/>
      <c r="BC473" s="151"/>
      <c r="BD473" s="151"/>
      <c r="BE473" s="151"/>
      <c r="BF473" s="151"/>
      <c r="BG473" s="151"/>
      <c r="BH473" s="151"/>
      <c r="BI473" s="151"/>
    </row>
    <row r="474" spans="1:61" x14ac:dyDescent="0.25">
      <c r="A474" s="149"/>
      <c r="B474" s="149"/>
      <c r="C474" s="149"/>
      <c r="D474" s="149"/>
      <c r="E474" s="150"/>
      <c r="F474" s="150"/>
      <c r="G474" s="149"/>
      <c r="H474" s="149"/>
      <c r="I474" s="149"/>
      <c r="J474" s="150"/>
      <c r="K474" s="150"/>
      <c r="L474" s="149"/>
      <c r="M474" s="149"/>
      <c r="N474" s="149"/>
      <c r="O474" s="150"/>
      <c r="P474" s="150"/>
      <c r="Q474" s="149"/>
      <c r="R474" s="149"/>
      <c r="S474" s="149"/>
      <c r="T474" s="150"/>
      <c r="U474" s="150"/>
      <c r="V474" s="150"/>
      <c r="W474" s="150"/>
      <c r="X474" s="150"/>
      <c r="Y474" s="150"/>
      <c r="Z474" s="150"/>
      <c r="AA474" s="150"/>
      <c r="AB474" s="150"/>
      <c r="AC474" s="149"/>
      <c r="AD474" s="149"/>
      <c r="AE474" s="149"/>
      <c r="AF474" s="150"/>
      <c r="AG474" s="150"/>
      <c r="AH474" s="149"/>
      <c r="AI474" s="149"/>
      <c r="AJ474" s="149"/>
      <c r="AK474" s="150"/>
      <c r="AL474" s="150"/>
      <c r="AM474" s="149"/>
      <c r="AN474" s="149"/>
      <c r="AO474" s="149"/>
      <c r="AP474" s="150"/>
      <c r="AQ474" s="150"/>
      <c r="AR474" s="150"/>
      <c r="AS474" s="150"/>
      <c r="AT474" s="150"/>
      <c r="AU474" s="150"/>
      <c r="AV474" s="150"/>
      <c r="AW474" s="150"/>
      <c r="AX474" s="150"/>
      <c r="AY474" s="151"/>
      <c r="AZ474" s="151"/>
      <c r="BA474" s="151"/>
      <c r="BB474" s="151"/>
      <c r="BC474" s="151"/>
      <c r="BD474" s="151"/>
      <c r="BE474" s="151"/>
      <c r="BF474" s="151"/>
      <c r="BG474" s="151"/>
      <c r="BH474" s="151"/>
      <c r="BI474" s="151"/>
    </row>
    <row r="475" spans="1:61" x14ac:dyDescent="0.25">
      <c r="A475" s="149"/>
      <c r="B475" s="149"/>
      <c r="C475" s="149"/>
      <c r="D475" s="149"/>
      <c r="E475" s="150"/>
      <c r="F475" s="150"/>
      <c r="G475" s="149"/>
      <c r="H475" s="149"/>
      <c r="I475" s="149"/>
      <c r="J475" s="150"/>
      <c r="K475" s="150"/>
      <c r="L475" s="149"/>
      <c r="M475" s="149"/>
      <c r="N475" s="149"/>
      <c r="O475" s="150"/>
      <c r="P475" s="150"/>
      <c r="Q475" s="149"/>
      <c r="R475" s="149"/>
      <c r="S475" s="149"/>
      <c r="T475" s="150"/>
      <c r="U475" s="150"/>
      <c r="V475" s="150"/>
      <c r="W475" s="150"/>
      <c r="X475" s="150"/>
      <c r="Y475" s="150"/>
      <c r="Z475" s="150"/>
      <c r="AA475" s="150"/>
      <c r="AB475" s="150"/>
      <c r="AC475" s="149"/>
      <c r="AD475" s="149"/>
      <c r="AE475" s="149"/>
      <c r="AF475" s="150"/>
      <c r="AG475" s="150"/>
      <c r="AH475" s="149"/>
      <c r="AI475" s="149"/>
      <c r="AJ475" s="149"/>
      <c r="AK475" s="150"/>
      <c r="AL475" s="150"/>
      <c r="AM475" s="149"/>
      <c r="AN475" s="149"/>
      <c r="AO475" s="149"/>
      <c r="AP475" s="150"/>
      <c r="AQ475" s="150"/>
      <c r="AR475" s="150"/>
      <c r="AS475" s="150"/>
      <c r="AT475" s="150"/>
      <c r="AU475" s="150"/>
      <c r="AV475" s="150"/>
      <c r="AW475" s="150"/>
      <c r="AX475" s="150"/>
      <c r="AY475" s="151"/>
      <c r="AZ475" s="151"/>
      <c r="BA475" s="151"/>
      <c r="BB475" s="151"/>
      <c r="BC475" s="151"/>
      <c r="BD475" s="151"/>
      <c r="BE475" s="151"/>
      <c r="BF475" s="151"/>
      <c r="BG475" s="151"/>
      <c r="BH475" s="151"/>
      <c r="BI475" s="151"/>
    </row>
    <row r="476" spans="1:61" x14ac:dyDescent="0.25">
      <c r="A476" s="149"/>
      <c r="B476" s="149"/>
      <c r="C476" s="149"/>
      <c r="D476" s="149"/>
      <c r="E476" s="150"/>
      <c r="F476" s="150"/>
      <c r="G476" s="149"/>
      <c r="H476" s="149"/>
      <c r="I476" s="149"/>
      <c r="J476" s="150"/>
      <c r="K476" s="150"/>
      <c r="L476" s="149"/>
      <c r="M476" s="149"/>
      <c r="N476" s="149"/>
      <c r="O476" s="150"/>
      <c r="P476" s="150"/>
      <c r="Q476" s="149"/>
      <c r="R476" s="149"/>
      <c r="S476" s="149"/>
      <c r="T476" s="150"/>
      <c r="U476" s="150"/>
      <c r="V476" s="150"/>
      <c r="W476" s="150"/>
      <c r="X476" s="150"/>
      <c r="Y476" s="150"/>
      <c r="Z476" s="150"/>
      <c r="AA476" s="150"/>
      <c r="AB476" s="150"/>
      <c r="AC476" s="149"/>
      <c r="AD476" s="149"/>
      <c r="AE476" s="149"/>
      <c r="AF476" s="150"/>
      <c r="AG476" s="150"/>
      <c r="AH476" s="149"/>
      <c r="AI476" s="149"/>
      <c r="AJ476" s="149"/>
      <c r="AK476" s="150"/>
      <c r="AL476" s="150"/>
      <c r="AM476" s="149"/>
      <c r="AN476" s="149"/>
      <c r="AO476" s="149"/>
      <c r="AP476" s="150"/>
      <c r="AQ476" s="150"/>
      <c r="AR476" s="150"/>
      <c r="AS476" s="150"/>
      <c r="AT476" s="150"/>
      <c r="AU476" s="150"/>
      <c r="AV476" s="150"/>
      <c r="AW476" s="150"/>
      <c r="AX476" s="150"/>
      <c r="AY476" s="151"/>
      <c r="AZ476" s="151"/>
      <c r="BA476" s="151"/>
      <c r="BB476" s="151"/>
      <c r="BC476" s="151"/>
      <c r="BD476" s="151"/>
      <c r="BE476" s="151"/>
      <c r="BF476" s="151"/>
      <c r="BG476" s="151"/>
      <c r="BH476" s="151"/>
      <c r="BI476" s="151"/>
    </row>
    <row r="477" spans="1:61" x14ac:dyDescent="0.25">
      <c r="A477" s="149"/>
      <c r="B477" s="149"/>
      <c r="C477" s="149"/>
      <c r="D477" s="149"/>
      <c r="E477" s="150"/>
      <c r="F477" s="150"/>
      <c r="G477" s="149"/>
      <c r="H477" s="149"/>
      <c r="I477" s="149"/>
      <c r="J477" s="150"/>
      <c r="K477" s="150"/>
      <c r="L477" s="149"/>
      <c r="M477" s="149"/>
      <c r="N477" s="149"/>
      <c r="O477" s="150"/>
      <c r="P477" s="150"/>
      <c r="Q477" s="149"/>
      <c r="R477" s="149"/>
      <c r="S477" s="149"/>
      <c r="T477" s="150"/>
      <c r="U477" s="150"/>
      <c r="V477" s="150"/>
      <c r="W477" s="150"/>
      <c r="X477" s="150"/>
      <c r="Y477" s="150"/>
      <c r="Z477" s="150"/>
      <c r="AA477" s="150"/>
      <c r="AB477" s="150"/>
      <c r="AC477" s="149"/>
      <c r="AD477" s="149"/>
      <c r="AE477" s="149"/>
      <c r="AF477" s="150"/>
      <c r="AG477" s="150"/>
      <c r="AH477" s="149"/>
      <c r="AI477" s="149"/>
      <c r="AJ477" s="149"/>
      <c r="AK477" s="150"/>
      <c r="AL477" s="150"/>
      <c r="AM477" s="149"/>
      <c r="AN477" s="149"/>
      <c r="AO477" s="149"/>
      <c r="AP477" s="150"/>
      <c r="AQ477" s="150"/>
      <c r="AR477" s="150"/>
      <c r="AS477" s="150"/>
      <c r="AT477" s="150"/>
      <c r="AU477" s="150"/>
      <c r="AV477" s="150"/>
      <c r="AW477" s="150"/>
      <c r="AX477" s="150"/>
      <c r="AY477" s="151"/>
      <c r="AZ477" s="151"/>
      <c r="BA477" s="151"/>
      <c r="BB477" s="151"/>
      <c r="BC477" s="151"/>
      <c r="BD477" s="151"/>
      <c r="BE477" s="151"/>
      <c r="BF477" s="151"/>
      <c r="BG477" s="151"/>
      <c r="BH477" s="151"/>
      <c r="BI477" s="151"/>
    </row>
    <row r="478" spans="1:61" x14ac:dyDescent="0.25">
      <c r="A478" s="149"/>
      <c r="B478" s="149"/>
      <c r="C478" s="149"/>
      <c r="D478" s="149"/>
      <c r="E478" s="150"/>
      <c r="F478" s="150"/>
      <c r="G478" s="149"/>
      <c r="H478" s="149"/>
      <c r="I478" s="149"/>
      <c r="J478" s="150"/>
      <c r="K478" s="150"/>
      <c r="L478" s="149"/>
      <c r="M478" s="149"/>
      <c r="N478" s="149"/>
      <c r="O478" s="150"/>
      <c r="P478" s="150"/>
      <c r="Q478" s="149"/>
      <c r="R478" s="149"/>
      <c r="S478" s="149"/>
      <c r="T478" s="150"/>
      <c r="U478" s="150"/>
      <c r="V478" s="150"/>
      <c r="W478" s="150"/>
      <c r="X478" s="150"/>
      <c r="Y478" s="150"/>
      <c r="Z478" s="150"/>
      <c r="AA478" s="150"/>
      <c r="AB478" s="150"/>
      <c r="AC478" s="149"/>
      <c r="AD478" s="149"/>
      <c r="AE478" s="149"/>
      <c r="AF478" s="150"/>
      <c r="AG478" s="150"/>
      <c r="AH478" s="149"/>
      <c r="AI478" s="149"/>
      <c r="AJ478" s="149"/>
      <c r="AK478" s="150"/>
      <c r="AL478" s="150"/>
      <c r="AM478" s="149"/>
      <c r="AN478" s="149"/>
      <c r="AO478" s="149"/>
      <c r="AP478" s="150"/>
      <c r="AQ478" s="150"/>
      <c r="AR478" s="150"/>
      <c r="AS478" s="150"/>
      <c r="AT478" s="150"/>
      <c r="AU478" s="150"/>
      <c r="AV478" s="150"/>
      <c r="AW478" s="150"/>
      <c r="AX478" s="150"/>
      <c r="AY478" s="151"/>
      <c r="AZ478" s="151"/>
      <c r="BA478" s="151"/>
      <c r="BB478" s="151"/>
      <c r="BC478" s="151"/>
      <c r="BD478" s="151"/>
      <c r="BE478" s="151"/>
      <c r="BF478" s="151"/>
      <c r="BG478" s="151"/>
      <c r="BH478" s="151"/>
      <c r="BI478" s="151"/>
    </row>
    <row r="479" spans="1:61" x14ac:dyDescent="0.25">
      <c r="A479" s="149"/>
      <c r="B479" s="149"/>
      <c r="C479" s="149"/>
      <c r="D479" s="149"/>
      <c r="E479" s="150"/>
      <c r="F479" s="150"/>
      <c r="G479" s="149"/>
      <c r="H479" s="149"/>
      <c r="I479" s="149"/>
      <c r="J479" s="150"/>
      <c r="K479" s="150"/>
      <c r="L479" s="149"/>
      <c r="M479" s="149"/>
      <c r="N479" s="149"/>
      <c r="O479" s="150"/>
      <c r="P479" s="150"/>
      <c r="Q479" s="149"/>
      <c r="R479" s="149"/>
      <c r="S479" s="149"/>
      <c r="T479" s="150"/>
      <c r="U479" s="150"/>
      <c r="V479" s="150"/>
      <c r="W479" s="150"/>
      <c r="X479" s="150"/>
      <c r="Y479" s="150"/>
      <c r="Z479" s="150"/>
      <c r="AA479" s="150"/>
      <c r="AB479" s="150"/>
      <c r="AC479" s="149"/>
      <c r="AD479" s="149"/>
      <c r="AE479" s="149"/>
      <c r="AF479" s="150"/>
      <c r="AG479" s="150"/>
      <c r="AH479" s="149"/>
      <c r="AI479" s="149"/>
      <c r="AJ479" s="149"/>
      <c r="AK479" s="150"/>
      <c r="AL479" s="150"/>
      <c r="AM479" s="149"/>
      <c r="AN479" s="149"/>
      <c r="AO479" s="149"/>
      <c r="AP479" s="150"/>
      <c r="AQ479" s="150"/>
      <c r="AR479" s="150"/>
      <c r="AS479" s="150"/>
      <c r="AT479" s="150"/>
      <c r="AU479" s="150"/>
      <c r="AV479" s="150"/>
      <c r="AW479" s="150"/>
      <c r="AX479" s="150"/>
      <c r="AY479" s="151"/>
      <c r="AZ479" s="151"/>
      <c r="BA479" s="151"/>
      <c r="BB479" s="151"/>
      <c r="BC479" s="151"/>
      <c r="BD479" s="151"/>
      <c r="BE479" s="151"/>
      <c r="BF479" s="151"/>
      <c r="BG479" s="151"/>
      <c r="BH479" s="151"/>
      <c r="BI479" s="151"/>
    </row>
    <row r="480" spans="1:61" x14ac:dyDescent="0.25">
      <c r="A480" s="149"/>
      <c r="B480" s="149"/>
      <c r="C480" s="149"/>
      <c r="D480" s="149"/>
      <c r="E480" s="150"/>
      <c r="F480" s="150"/>
      <c r="G480" s="149"/>
      <c r="H480" s="149"/>
      <c r="I480" s="149"/>
      <c r="J480" s="150"/>
      <c r="K480" s="150"/>
      <c r="L480" s="149"/>
      <c r="M480" s="149"/>
      <c r="N480" s="149"/>
      <c r="O480" s="150"/>
      <c r="P480" s="150"/>
      <c r="Q480" s="149"/>
      <c r="R480" s="149"/>
      <c r="S480" s="149"/>
      <c r="T480" s="150"/>
      <c r="U480" s="150"/>
      <c r="V480" s="150"/>
      <c r="W480" s="150"/>
      <c r="X480" s="150"/>
      <c r="Y480" s="150"/>
      <c r="Z480" s="150"/>
      <c r="AA480" s="150"/>
      <c r="AB480" s="150"/>
      <c r="AC480" s="149"/>
      <c r="AD480" s="149"/>
      <c r="AE480" s="149"/>
      <c r="AF480" s="150"/>
      <c r="AG480" s="150"/>
      <c r="AH480" s="149"/>
      <c r="AI480" s="149"/>
      <c r="AJ480" s="149"/>
      <c r="AK480" s="150"/>
      <c r="AL480" s="150"/>
      <c r="AM480" s="149"/>
      <c r="AN480" s="149"/>
      <c r="AO480" s="149"/>
      <c r="AP480" s="150"/>
      <c r="AQ480" s="150"/>
      <c r="AR480" s="150"/>
      <c r="AS480" s="150"/>
      <c r="AT480" s="150"/>
      <c r="AU480" s="150"/>
      <c r="AV480" s="150"/>
      <c r="AW480" s="150"/>
      <c r="AX480" s="150"/>
      <c r="AY480" s="151"/>
      <c r="AZ480" s="151"/>
      <c r="BA480" s="151"/>
      <c r="BB480" s="151"/>
      <c r="BC480" s="151"/>
      <c r="BD480" s="151"/>
      <c r="BE480" s="151"/>
      <c r="BF480" s="151"/>
      <c r="BG480" s="151"/>
      <c r="BH480" s="151"/>
      <c r="BI480" s="151"/>
    </row>
    <row r="481" spans="1:61" x14ac:dyDescent="0.25">
      <c r="A481" s="149"/>
      <c r="B481" s="149"/>
      <c r="C481" s="149"/>
      <c r="D481" s="149"/>
      <c r="E481" s="150"/>
      <c r="F481" s="150"/>
      <c r="G481" s="149"/>
      <c r="H481" s="149"/>
      <c r="I481" s="149"/>
      <c r="J481" s="150"/>
      <c r="K481" s="150"/>
      <c r="L481" s="149"/>
      <c r="M481" s="149"/>
      <c r="N481" s="149"/>
      <c r="O481" s="150"/>
      <c r="P481" s="150"/>
      <c r="Q481" s="149"/>
      <c r="R481" s="149"/>
      <c r="S481" s="149"/>
      <c r="T481" s="150"/>
      <c r="U481" s="150"/>
      <c r="V481" s="150"/>
      <c r="W481" s="150"/>
      <c r="X481" s="150"/>
      <c r="Y481" s="150"/>
      <c r="Z481" s="150"/>
      <c r="AA481" s="150"/>
      <c r="AB481" s="150"/>
      <c r="AC481" s="149"/>
      <c r="AD481" s="149"/>
      <c r="AE481" s="149"/>
      <c r="AF481" s="150"/>
      <c r="AG481" s="150"/>
      <c r="AH481" s="149"/>
      <c r="AI481" s="149"/>
      <c r="AJ481" s="149"/>
      <c r="AK481" s="150"/>
      <c r="AL481" s="150"/>
      <c r="AM481" s="149"/>
      <c r="AN481" s="149"/>
      <c r="AO481" s="149"/>
      <c r="AP481" s="150"/>
      <c r="AQ481" s="150"/>
      <c r="AR481" s="150"/>
      <c r="AS481" s="150"/>
      <c r="AT481" s="150"/>
      <c r="AU481" s="150"/>
      <c r="AV481" s="150"/>
      <c r="AW481" s="150"/>
      <c r="AX481" s="150"/>
      <c r="AY481" s="151"/>
      <c r="AZ481" s="151"/>
      <c r="BA481" s="151"/>
      <c r="BB481" s="151"/>
      <c r="BC481" s="151"/>
      <c r="BD481" s="151"/>
      <c r="BE481" s="151"/>
      <c r="BF481" s="151"/>
      <c r="BG481" s="151"/>
      <c r="BH481" s="151"/>
      <c r="BI481" s="151"/>
    </row>
    <row r="482" spans="1:61" x14ac:dyDescent="0.25">
      <c r="A482" s="149"/>
      <c r="B482" s="149"/>
      <c r="C482" s="149"/>
      <c r="D482" s="149"/>
      <c r="E482" s="150"/>
      <c r="F482" s="150"/>
      <c r="G482" s="149"/>
      <c r="H482" s="149"/>
      <c r="I482" s="149"/>
      <c r="J482" s="150"/>
      <c r="K482" s="150"/>
      <c r="L482" s="149"/>
      <c r="M482" s="149"/>
      <c r="N482" s="149"/>
      <c r="O482" s="150"/>
      <c r="P482" s="150"/>
      <c r="Q482" s="149"/>
      <c r="R482" s="149"/>
      <c r="S482" s="149"/>
      <c r="T482" s="150"/>
      <c r="U482" s="150"/>
      <c r="V482" s="150"/>
      <c r="W482" s="150"/>
      <c r="X482" s="150"/>
      <c r="Y482" s="150"/>
      <c r="Z482" s="150"/>
      <c r="AA482" s="150"/>
      <c r="AB482" s="150"/>
      <c r="AC482" s="149"/>
      <c r="AD482" s="149"/>
      <c r="AE482" s="149"/>
      <c r="AF482" s="150"/>
      <c r="AG482" s="150"/>
      <c r="AH482" s="149"/>
      <c r="AI482" s="149"/>
      <c r="AJ482" s="149"/>
      <c r="AK482" s="150"/>
      <c r="AL482" s="150"/>
      <c r="AM482" s="149"/>
      <c r="AN482" s="149"/>
      <c r="AO482" s="149"/>
      <c r="AP482" s="150"/>
      <c r="AQ482" s="150"/>
      <c r="AR482" s="150"/>
      <c r="AS482" s="150"/>
      <c r="AT482" s="150"/>
      <c r="AU482" s="150"/>
      <c r="AV482" s="150"/>
      <c r="AW482" s="150"/>
      <c r="AX482" s="150"/>
      <c r="AY482" s="151"/>
      <c r="AZ482" s="151"/>
      <c r="BA482" s="151"/>
      <c r="BB482" s="151"/>
      <c r="BC482" s="151"/>
      <c r="BD482" s="151"/>
      <c r="BE482" s="151"/>
      <c r="BF482" s="151"/>
      <c r="BG482" s="151"/>
      <c r="BH482" s="151"/>
      <c r="BI482" s="151"/>
    </row>
    <row r="483" spans="1:61" x14ac:dyDescent="0.25">
      <c r="A483" s="149"/>
      <c r="B483" s="149"/>
      <c r="C483" s="149"/>
      <c r="D483" s="149"/>
      <c r="E483" s="150"/>
      <c r="F483" s="150"/>
      <c r="G483" s="149"/>
      <c r="H483" s="149"/>
      <c r="I483" s="149"/>
      <c r="J483" s="150"/>
      <c r="K483" s="150"/>
      <c r="L483" s="149"/>
      <c r="M483" s="149"/>
      <c r="N483" s="149"/>
      <c r="O483" s="150"/>
      <c r="P483" s="150"/>
      <c r="Q483" s="149"/>
      <c r="R483" s="149"/>
      <c r="S483" s="149"/>
      <c r="T483" s="150"/>
      <c r="U483" s="150"/>
      <c r="V483" s="150"/>
      <c r="W483" s="150"/>
      <c r="X483" s="150"/>
      <c r="Y483" s="150"/>
      <c r="Z483" s="150"/>
      <c r="AA483" s="150"/>
      <c r="AB483" s="150"/>
      <c r="AC483" s="149"/>
      <c r="AD483" s="149"/>
      <c r="AE483" s="149"/>
      <c r="AF483" s="150"/>
      <c r="AG483" s="150"/>
      <c r="AH483" s="149"/>
      <c r="AI483" s="149"/>
      <c r="AJ483" s="149"/>
      <c r="AK483" s="150"/>
      <c r="AL483" s="150"/>
      <c r="AM483" s="149"/>
      <c r="AN483" s="149"/>
      <c r="AO483" s="149"/>
      <c r="AP483" s="150"/>
      <c r="AQ483" s="150"/>
      <c r="AR483" s="150"/>
      <c r="AS483" s="150"/>
      <c r="AT483" s="150"/>
      <c r="AU483" s="150"/>
      <c r="AV483" s="150"/>
      <c r="AW483" s="150"/>
      <c r="AX483" s="150"/>
      <c r="AY483" s="151"/>
      <c r="AZ483" s="151"/>
      <c r="BA483" s="151"/>
      <c r="BB483" s="151"/>
      <c r="BC483" s="151"/>
      <c r="BD483" s="151"/>
      <c r="BE483" s="151"/>
      <c r="BF483" s="151"/>
      <c r="BG483" s="151"/>
      <c r="BH483" s="151"/>
      <c r="BI483" s="151"/>
    </row>
    <row r="484" spans="1:61" x14ac:dyDescent="0.25">
      <c r="A484" s="149"/>
      <c r="B484" s="149"/>
      <c r="C484" s="149"/>
      <c r="D484" s="149"/>
      <c r="E484" s="150"/>
      <c r="F484" s="150"/>
      <c r="G484" s="149"/>
      <c r="H484" s="149"/>
      <c r="I484" s="149"/>
      <c r="J484" s="150"/>
      <c r="K484" s="150"/>
      <c r="L484" s="149"/>
      <c r="M484" s="149"/>
      <c r="N484" s="149"/>
      <c r="O484" s="150"/>
      <c r="P484" s="150"/>
      <c r="Q484" s="149"/>
      <c r="R484" s="149"/>
      <c r="S484" s="149"/>
      <c r="T484" s="150"/>
      <c r="U484" s="150"/>
      <c r="V484" s="150"/>
      <c r="W484" s="150"/>
      <c r="X484" s="150"/>
      <c r="Y484" s="150"/>
      <c r="Z484" s="150"/>
      <c r="AA484" s="150"/>
      <c r="AB484" s="150"/>
      <c r="AC484" s="149"/>
      <c r="AD484" s="149"/>
      <c r="AE484" s="149"/>
      <c r="AF484" s="150"/>
      <c r="AG484" s="150"/>
      <c r="AH484" s="149"/>
      <c r="AI484" s="149"/>
      <c r="AJ484" s="149"/>
      <c r="AK484" s="150"/>
      <c r="AL484" s="150"/>
      <c r="AM484" s="149"/>
      <c r="AN484" s="149"/>
      <c r="AO484" s="149"/>
      <c r="AP484" s="150"/>
      <c r="AQ484" s="150"/>
      <c r="AR484" s="150"/>
      <c r="AS484" s="150"/>
      <c r="AT484" s="150"/>
      <c r="AU484" s="150"/>
      <c r="AV484" s="150"/>
      <c r="AW484" s="150"/>
      <c r="AX484" s="150"/>
      <c r="AY484" s="151"/>
      <c r="AZ484" s="151"/>
      <c r="BA484" s="151"/>
      <c r="BB484" s="151"/>
      <c r="BC484" s="151"/>
      <c r="BD484" s="151"/>
      <c r="BE484" s="151"/>
      <c r="BF484" s="151"/>
      <c r="BG484" s="151"/>
      <c r="BH484" s="151"/>
      <c r="BI484" s="151"/>
    </row>
    <row r="485" spans="1:61" x14ac:dyDescent="0.25">
      <c r="A485" s="149"/>
      <c r="B485" s="149"/>
      <c r="C485" s="149"/>
      <c r="D485" s="149"/>
      <c r="E485" s="150"/>
      <c r="F485" s="150"/>
      <c r="G485" s="149"/>
      <c r="H485" s="149"/>
      <c r="I485" s="149"/>
      <c r="J485" s="150"/>
      <c r="K485" s="150"/>
      <c r="L485" s="149"/>
      <c r="M485" s="149"/>
      <c r="N485" s="149"/>
      <c r="O485" s="150"/>
      <c r="P485" s="150"/>
      <c r="Q485" s="149"/>
      <c r="R485" s="149"/>
      <c r="S485" s="149"/>
      <c r="T485" s="150"/>
      <c r="U485" s="150"/>
      <c r="V485" s="150"/>
      <c r="W485" s="150"/>
      <c r="X485" s="150"/>
      <c r="Y485" s="150"/>
      <c r="Z485" s="150"/>
      <c r="AA485" s="150"/>
      <c r="AB485" s="150"/>
      <c r="AC485" s="149"/>
      <c r="AD485" s="149"/>
      <c r="AE485" s="149"/>
      <c r="AF485" s="150"/>
      <c r="AG485" s="150"/>
      <c r="AH485" s="149"/>
      <c r="AI485" s="149"/>
      <c r="AJ485" s="149"/>
      <c r="AK485" s="150"/>
      <c r="AL485" s="150"/>
      <c r="AM485" s="149"/>
      <c r="AN485" s="149"/>
      <c r="AO485" s="149"/>
      <c r="AP485" s="150"/>
      <c r="AQ485" s="150"/>
      <c r="AR485" s="150"/>
      <c r="AS485" s="150"/>
      <c r="AT485" s="150"/>
      <c r="AU485" s="150"/>
      <c r="AV485" s="150"/>
      <c r="AW485" s="150"/>
      <c r="AX485" s="150"/>
      <c r="AY485" s="151"/>
      <c r="AZ485" s="151"/>
      <c r="BA485" s="151"/>
      <c r="BB485" s="151"/>
      <c r="BC485" s="151"/>
      <c r="BD485" s="151"/>
      <c r="BE485" s="151"/>
      <c r="BF485" s="151"/>
      <c r="BG485" s="151"/>
      <c r="BH485" s="151"/>
      <c r="BI485" s="151"/>
    </row>
    <row r="486" spans="1:61" x14ac:dyDescent="0.25">
      <c r="A486" s="149"/>
      <c r="B486" s="149"/>
      <c r="C486" s="149"/>
      <c r="D486" s="149"/>
      <c r="E486" s="150"/>
      <c r="F486" s="150"/>
      <c r="G486" s="149"/>
      <c r="H486" s="149"/>
      <c r="I486" s="149"/>
      <c r="J486" s="150"/>
      <c r="K486" s="150"/>
      <c r="L486" s="149"/>
      <c r="M486" s="149"/>
      <c r="N486" s="149"/>
      <c r="O486" s="150"/>
      <c r="P486" s="150"/>
      <c r="Q486" s="149"/>
      <c r="R486" s="149"/>
      <c r="S486" s="149"/>
      <c r="T486" s="150"/>
      <c r="U486" s="150"/>
      <c r="V486" s="150"/>
      <c r="W486" s="150"/>
      <c r="X486" s="150"/>
      <c r="Y486" s="150"/>
      <c r="Z486" s="150"/>
      <c r="AA486" s="150"/>
      <c r="AB486" s="150"/>
      <c r="AC486" s="149"/>
      <c r="AD486" s="149"/>
      <c r="AE486" s="149"/>
      <c r="AF486" s="150"/>
      <c r="AG486" s="150"/>
      <c r="AH486" s="149"/>
      <c r="AI486" s="149"/>
      <c r="AJ486" s="149"/>
      <c r="AK486" s="150"/>
      <c r="AL486" s="150"/>
      <c r="AM486" s="149"/>
      <c r="AN486" s="149"/>
      <c r="AO486" s="149"/>
      <c r="AP486" s="150"/>
      <c r="AQ486" s="150"/>
      <c r="AR486" s="150"/>
      <c r="AS486" s="150"/>
      <c r="AT486" s="150"/>
      <c r="AU486" s="150"/>
      <c r="AV486" s="150"/>
      <c r="AW486" s="150"/>
      <c r="AX486" s="150"/>
      <c r="AY486" s="151"/>
      <c r="AZ486" s="151"/>
      <c r="BA486" s="151"/>
      <c r="BB486" s="151"/>
      <c r="BC486" s="151"/>
      <c r="BD486" s="151"/>
      <c r="BE486" s="151"/>
      <c r="BF486" s="151"/>
      <c r="BG486" s="151"/>
      <c r="BH486" s="151"/>
      <c r="BI486" s="151"/>
    </row>
    <row r="487" spans="1:61" x14ac:dyDescent="0.25">
      <c r="A487" s="149"/>
      <c r="B487" s="149"/>
      <c r="C487" s="149"/>
      <c r="D487" s="149"/>
      <c r="E487" s="150"/>
      <c r="F487" s="150"/>
      <c r="G487" s="149"/>
      <c r="H487" s="149"/>
      <c r="I487" s="149"/>
      <c r="J487" s="150"/>
      <c r="K487" s="150"/>
      <c r="L487" s="149"/>
      <c r="M487" s="149"/>
      <c r="N487" s="149"/>
      <c r="O487" s="150"/>
      <c r="P487" s="150"/>
      <c r="Q487" s="149"/>
      <c r="R487" s="149"/>
      <c r="S487" s="149"/>
      <c r="T487" s="150"/>
      <c r="U487" s="150"/>
      <c r="V487" s="150"/>
      <c r="W487" s="150"/>
      <c r="X487" s="150"/>
      <c r="Y487" s="150"/>
      <c r="Z487" s="150"/>
      <c r="AA487" s="150"/>
      <c r="AB487" s="150"/>
      <c r="AC487" s="149"/>
      <c r="AD487" s="149"/>
      <c r="AE487" s="149"/>
      <c r="AF487" s="150"/>
      <c r="AG487" s="150"/>
      <c r="AH487" s="149"/>
      <c r="AI487" s="149"/>
      <c r="AJ487" s="149"/>
      <c r="AK487" s="150"/>
      <c r="AL487" s="150"/>
      <c r="AM487" s="149"/>
      <c r="AN487" s="149"/>
      <c r="AO487" s="149"/>
      <c r="AP487" s="150"/>
      <c r="AQ487" s="150"/>
      <c r="AR487" s="150"/>
      <c r="AS487" s="150"/>
      <c r="AT487" s="150"/>
      <c r="AU487" s="150"/>
      <c r="AV487" s="150"/>
      <c r="AW487" s="150"/>
      <c r="AX487" s="150"/>
      <c r="AY487" s="151"/>
      <c r="AZ487" s="151"/>
      <c r="BA487" s="151"/>
      <c r="BB487" s="151"/>
      <c r="BC487" s="151"/>
      <c r="BD487" s="151"/>
      <c r="BE487" s="151"/>
      <c r="BF487" s="151"/>
      <c r="BG487" s="151"/>
      <c r="BH487" s="151"/>
      <c r="BI487" s="151"/>
    </row>
    <row r="488" spans="1:61" x14ac:dyDescent="0.25">
      <c r="A488" s="149"/>
      <c r="B488" s="149"/>
      <c r="C488" s="149"/>
      <c r="D488" s="149"/>
      <c r="E488" s="150"/>
      <c r="F488" s="150"/>
      <c r="G488" s="149"/>
      <c r="H488" s="149"/>
      <c r="I488" s="149"/>
      <c r="J488" s="150"/>
      <c r="K488" s="150"/>
      <c r="L488" s="149"/>
      <c r="M488" s="149"/>
      <c r="N488" s="149"/>
      <c r="O488" s="150"/>
      <c r="P488" s="150"/>
      <c r="Q488" s="149"/>
      <c r="R488" s="149"/>
      <c r="S488" s="149"/>
      <c r="T488" s="150"/>
      <c r="U488" s="150"/>
      <c r="V488" s="150"/>
      <c r="W488" s="150"/>
      <c r="X488" s="150"/>
      <c r="Y488" s="150"/>
      <c r="Z488" s="150"/>
      <c r="AA488" s="150"/>
      <c r="AB488" s="150"/>
      <c r="AC488" s="149"/>
      <c r="AD488" s="149"/>
      <c r="AE488" s="149"/>
      <c r="AF488" s="150"/>
      <c r="AG488" s="150"/>
      <c r="AH488" s="149"/>
      <c r="AI488" s="149"/>
      <c r="AJ488" s="149"/>
      <c r="AK488" s="150"/>
      <c r="AL488" s="150"/>
      <c r="AM488" s="149"/>
      <c r="AN488" s="149"/>
      <c r="AO488" s="149"/>
      <c r="AP488" s="150"/>
      <c r="AQ488" s="150"/>
      <c r="AR488" s="150"/>
      <c r="AS488" s="150"/>
      <c r="AT488" s="150"/>
      <c r="AU488" s="150"/>
      <c r="AV488" s="150"/>
      <c r="AW488" s="150"/>
      <c r="AX488" s="150"/>
      <c r="AY488" s="151"/>
      <c r="AZ488" s="151"/>
      <c r="BA488" s="151"/>
      <c r="BB488" s="151"/>
      <c r="BC488" s="151"/>
      <c r="BD488" s="151"/>
      <c r="BE488" s="151"/>
      <c r="BF488" s="151"/>
      <c r="BG488" s="151"/>
      <c r="BH488" s="151"/>
      <c r="BI488" s="151"/>
    </row>
    <row r="489" spans="1:61" x14ac:dyDescent="0.25">
      <c r="A489" s="149"/>
      <c r="B489" s="149"/>
      <c r="C489" s="149"/>
      <c r="D489" s="149"/>
      <c r="E489" s="150"/>
      <c r="F489" s="150"/>
      <c r="G489" s="149"/>
      <c r="H489" s="149"/>
      <c r="I489" s="149"/>
      <c r="J489" s="150"/>
      <c r="K489" s="150"/>
      <c r="L489" s="149"/>
      <c r="M489" s="149"/>
      <c r="N489" s="149"/>
      <c r="O489" s="150"/>
      <c r="P489" s="150"/>
      <c r="Q489" s="149"/>
      <c r="R489" s="149"/>
      <c r="S489" s="149"/>
      <c r="T489" s="150"/>
      <c r="U489" s="150"/>
      <c r="V489" s="150"/>
      <c r="W489" s="150"/>
      <c r="X489" s="150"/>
      <c r="Y489" s="150"/>
      <c r="Z489" s="150"/>
      <c r="AA489" s="150"/>
      <c r="AB489" s="150"/>
      <c r="AC489" s="149"/>
      <c r="AD489" s="149"/>
      <c r="AE489" s="149"/>
      <c r="AF489" s="150"/>
      <c r="AG489" s="150"/>
      <c r="AH489" s="149"/>
      <c r="AI489" s="149"/>
      <c r="AJ489" s="149"/>
      <c r="AK489" s="150"/>
      <c r="AL489" s="150"/>
      <c r="AM489" s="149"/>
      <c r="AN489" s="149"/>
      <c r="AO489" s="149"/>
      <c r="AP489" s="150"/>
      <c r="AQ489" s="150"/>
      <c r="AR489" s="150"/>
      <c r="AS489" s="150"/>
      <c r="AT489" s="150"/>
      <c r="AU489" s="150"/>
      <c r="AV489" s="150"/>
      <c r="AW489" s="150"/>
      <c r="AX489" s="150"/>
      <c r="AY489" s="151"/>
      <c r="AZ489" s="151"/>
      <c r="BA489" s="151"/>
      <c r="BB489" s="151"/>
      <c r="BC489" s="151"/>
      <c r="BD489" s="151"/>
      <c r="BE489" s="151"/>
      <c r="BF489" s="151"/>
      <c r="BG489" s="151"/>
      <c r="BH489" s="151"/>
      <c r="BI489" s="151"/>
    </row>
    <row r="490" spans="1:61" x14ac:dyDescent="0.25">
      <c r="A490" s="149"/>
      <c r="B490" s="149"/>
      <c r="C490" s="149"/>
      <c r="D490" s="149"/>
      <c r="E490" s="150"/>
      <c r="F490" s="150"/>
      <c r="G490" s="149"/>
      <c r="H490" s="149"/>
      <c r="I490" s="149"/>
      <c r="J490" s="150"/>
      <c r="K490" s="150"/>
      <c r="L490" s="149"/>
      <c r="M490" s="149"/>
      <c r="N490" s="149"/>
      <c r="O490" s="150"/>
      <c r="P490" s="150"/>
      <c r="Q490" s="149"/>
      <c r="R490" s="149"/>
      <c r="S490" s="149"/>
      <c r="T490" s="150"/>
      <c r="U490" s="150"/>
      <c r="V490" s="150"/>
      <c r="W490" s="150"/>
      <c r="X490" s="150"/>
      <c r="Y490" s="150"/>
      <c r="Z490" s="150"/>
      <c r="AA490" s="150"/>
      <c r="AB490" s="150"/>
      <c r="AC490" s="149"/>
      <c r="AD490" s="149"/>
      <c r="AE490" s="149"/>
      <c r="AF490" s="150"/>
      <c r="AG490" s="150"/>
      <c r="AH490" s="149"/>
      <c r="AI490" s="149"/>
      <c r="AJ490" s="149"/>
      <c r="AK490" s="150"/>
      <c r="AL490" s="150"/>
      <c r="AM490" s="149"/>
      <c r="AN490" s="149"/>
      <c r="AO490" s="149"/>
      <c r="AP490" s="150"/>
      <c r="AQ490" s="150"/>
      <c r="AR490" s="150"/>
      <c r="AS490" s="150"/>
      <c r="AT490" s="150"/>
      <c r="AU490" s="150"/>
      <c r="AV490" s="150"/>
      <c r="AW490" s="150"/>
      <c r="AX490" s="150"/>
      <c r="AY490" s="151"/>
      <c r="AZ490" s="151"/>
      <c r="BA490" s="151"/>
      <c r="BB490" s="151"/>
      <c r="BC490" s="151"/>
      <c r="BD490" s="151"/>
      <c r="BE490" s="151"/>
      <c r="BF490" s="151"/>
      <c r="BG490" s="151"/>
      <c r="BH490" s="151"/>
      <c r="BI490" s="151"/>
    </row>
    <row r="491" spans="1:61" x14ac:dyDescent="0.25">
      <c r="A491" s="149"/>
      <c r="B491" s="149"/>
      <c r="C491" s="149"/>
      <c r="D491" s="149"/>
      <c r="E491" s="150"/>
      <c r="F491" s="150"/>
      <c r="G491" s="149"/>
      <c r="H491" s="149"/>
      <c r="I491" s="149"/>
      <c r="J491" s="150"/>
      <c r="K491" s="150"/>
      <c r="L491" s="149"/>
      <c r="M491" s="149"/>
      <c r="N491" s="149"/>
      <c r="O491" s="150"/>
      <c r="P491" s="150"/>
      <c r="Q491" s="149"/>
      <c r="R491" s="149"/>
      <c r="S491" s="149"/>
      <c r="T491" s="150"/>
      <c r="U491" s="150"/>
      <c r="V491" s="150"/>
      <c r="W491" s="150"/>
      <c r="X491" s="150"/>
      <c r="Y491" s="150"/>
      <c r="Z491" s="150"/>
      <c r="AA491" s="150"/>
      <c r="AB491" s="150"/>
      <c r="AC491" s="149"/>
      <c r="AD491" s="149"/>
      <c r="AE491" s="149"/>
      <c r="AF491" s="150"/>
      <c r="AG491" s="150"/>
      <c r="AH491" s="149"/>
      <c r="AI491" s="149"/>
      <c r="AJ491" s="149"/>
      <c r="AK491" s="150"/>
      <c r="AL491" s="150"/>
      <c r="AM491" s="149"/>
      <c r="AN491" s="149"/>
      <c r="AO491" s="149"/>
      <c r="AP491" s="150"/>
      <c r="AQ491" s="150"/>
      <c r="AR491" s="150"/>
      <c r="AS491" s="150"/>
      <c r="AT491" s="150"/>
      <c r="AU491" s="150"/>
      <c r="AV491" s="150"/>
      <c r="AW491" s="150"/>
      <c r="AX491" s="150"/>
      <c r="AY491" s="151"/>
      <c r="AZ491" s="151"/>
      <c r="BA491" s="151"/>
      <c r="BB491" s="151"/>
      <c r="BC491" s="151"/>
      <c r="BD491" s="151"/>
      <c r="BE491" s="151"/>
      <c r="BF491" s="151"/>
      <c r="BG491" s="151"/>
      <c r="BH491" s="151"/>
      <c r="BI491" s="151"/>
    </row>
    <row r="492" spans="1:61" x14ac:dyDescent="0.25">
      <c r="A492" s="149"/>
      <c r="B492" s="149"/>
      <c r="C492" s="149"/>
      <c r="D492" s="149"/>
      <c r="E492" s="150"/>
      <c r="F492" s="150"/>
      <c r="G492" s="149"/>
      <c r="H492" s="149"/>
      <c r="I492" s="149"/>
      <c r="J492" s="150"/>
      <c r="K492" s="150"/>
      <c r="L492" s="149"/>
      <c r="M492" s="149"/>
      <c r="N492" s="149"/>
      <c r="O492" s="150"/>
      <c r="P492" s="150"/>
      <c r="Q492" s="149"/>
      <c r="R492" s="149"/>
      <c r="S492" s="149"/>
      <c r="T492" s="150"/>
      <c r="U492" s="150"/>
      <c r="V492" s="150"/>
      <c r="W492" s="150"/>
      <c r="X492" s="150"/>
      <c r="Y492" s="150"/>
      <c r="Z492" s="150"/>
      <c r="AA492" s="150"/>
      <c r="AB492" s="150"/>
      <c r="AC492" s="149"/>
      <c r="AD492" s="149"/>
      <c r="AE492" s="149"/>
      <c r="AF492" s="150"/>
      <c r="AG492" s="150"/>
      <c r="AH492" s="149"/>
      <c r="AI492" s="149"/>
      <c r="AJ492" s="149"/>
      <c r="AK492" s="150"/>
      <c r="AL492" s="150"/>
      <c r="AM492" s="149"/>
      <c r="AN492" s="149"/>
      <c r="AO492" s="149"/>
      <c r="AP492" s="150"/>
      <c r="AQ492" s="150"/>
      <c r="AR492" s="150"/>
      <c r="AS492" s="150"/>
      <c r="AT492" s="150"/>
      <c r="AU492" s="150"/>
      <c r="AV492" s="150"/>
      <c r="AW492" s="150"/>
      <c r="AX492" s="150"/>
      <c r="AY492" s="151"/>
      <c r="AZ492" s="151"/>
      <c r="BA492" s="151"/>
      <c r="BB492" s="151"/>
      <c r="BC492" s="151"/>
      <c r="BD492" s="151"/>
      <c r="BE492" s="151"/>
      <c r="BF492" s="151"/>
      <c r="BG492" s="151"/>
      <c r="BH492" s="151"/>
      <c r="BI492" s="151"/>
    </row>
    <row r="493" spans="1:61" x14ac:dyDescent="0.25">
      <c r="A493" s="149"/>
      <c r="B493" s="149"/>
      <c r="C493" s="149"/>
      <c r="D493" s="149"/>
      <c r="E493" s="150"/>
      <c r="F493" s="150"/>
      <c r="G493" s="149"/>
      <c r="H493" s="149"/>
      <c r="I493" s="149"/>
      <c r="J493" s="150"/>
      <c r="K493" s="150"/>
      <c r="L493" s="149"/>
      <c r="M493" s="149"/>
      <c r="N493" s="149"/>
      <c r="O493" s="150"/>
      <c r="P493" s="150"/>
      <c r="Q493" s="149"/>
      <c r="R493" s="149"/>
      <c r="S493" s="149"/>
      <c r="T493" s="150"/>
      <c r="U493" s="150"/>
      <c r="V493" s="150"/>
      <c r="W493" s="150"/>
      <c r="X493" s="150"/>
      <c r="Y493" s="150"/>
      <c r="Z493" s="150"/>
      <c r="AA493" s="150"/>
      <c r="AB493" s="150"/>
      <c r="AC493" s="149"/>
      <c r="AD493" s="149"/>
      <c r="AE493" s="149"/>
      <c r="AF493" s="150"/>
      <c r="AG493" s="150"/>
      <c r="AH493" s="149"/>
      <c r="AI493" s="149"/>
      <c r="AJ493" s="149"/>
      <c r="AK493" s="150"/>
      <c r="AL493" s="150"/>
      <c r="AM493" s="149"/>
      <c r="AN493" s="149"/>
      <c r="AO493" s="149"/>
      <c r="AP493" s="150"/>
      <c r="AQ493" s="150"/>
      <c r="AR493" s="150"/>
      <c r="AS493" s="150"/>
      <c r="AT493" s="150"/>
      <c r="AU493" s="150"/>
      <c r="AV493" s="150"/>
      <c r="AW493" s="150"/>
      <c r="AX493" s="150"/>
      <c r="AY493" s="151"/>
      <c r="AZ493" s="151"/>
      <c r="BA493" s="151"/>
      <c r="BB493" s="151"/>
      <c r="BC493" s="151"/>
      <c r="BD493" s="151"/>
      <c r="BE493" s="151"/>
      <c r="BF493" s="151"/>
      <c r="BG493" s="151"/>
      <c r="BH493" s="151"/>
      <c r="BI493" s="151"/>
    </row>
    <row r="494" spans="1:61" x14ac:dyDescent="0.25">
      <c r="A494" s="149"/>
      <c r="B494" s="149"/>
      <c r="C494" s="149"/>
      <c r="D494" s="149"/>
      <c r="E494" s="150"/>
      <c r="F494" s="150"/>
      <c r="G494" s="149"/>
      <c r="H494" s="149"/>
      <c r="I494" s="149"/>
      <c r="J494" s="150"/>
      <c r="K494" s="150"/>
      <c r="L494" s="149"/>
      <c r="M494" s="149"/>
      <c r="N494" s="149"/>
      <c r="O494" s="150"/>
      <c r="P494" s="150"/>
      <c r="Q494" s="149"/>
      <c r="R494" s="149"/>
      <c r="S494" s="149"/>
      <c r="T494" s="150"/>
      <c r="U494" s="150"/>
      <c r="V494" s="150"/>
      <c r="W494" s="150"/>
      <c r="X494" s="150"/>
      <c r="Y494" s="150"/>
      <c r="Z494" s="150"/>
      <c r="AA494" s="150"/>
      <c r="AB494" s="150"/>
      <c r="AC494" s="149"/>
      <c r="AD494" s="149"/>
      <c r="AE494" s="149"/>
      <c r="AF494" s="150"/>
      <c r="AG494" s="150"/>
      <c r="AH494" s="149"/>
      <c r="AI494" s="149"/>
      <c r="AJ494" s="149"/>
      <c r="AK494" s="150"/>
      <c r="AL494" s="150"/>
      <c r="AM494" s="149"/>
      <c r="AN494" s="149"/>
      <c r="AO494" s="149"/>
      <c r="AP494" s="150"/>
      <c r="AQ494" s="150"/>
      <c r="AR494" s="150"/>
      <c r="AS494" s="150"/>
      <c r="AT494" s="150"/>
      <c r="AU494" s="150"/>
      <c r="AV494" s="150"/>
      <c r="AW494" s="150"/>
      <c r="AX494" s="150"/>
      <c r="AY494" s="151"/>
      <c r="AZ494" s="151"/>
      <c r="BA494" s="151"/>
      <c r="BB494" s="151"/>
      <c r="BC494" s="151"/>
      <c r="BD494" s="151"/>
      <c r="BE494" s="151"/>
      <c r="BF494" s="151"/>
      <c r="BG494" s="151"/>
      <c r="BH494" s="151"/>
      <c r="BI494" s="151"/>
    </row>
    <row r="495" spans="1:61" x14ac:dyDescent="0.25">
      <c r="A495" s="149"/>
      <c r="B495" s="149"/>
      <c r="C495" s="149"/>
      <c r="D495" s="149"/>
      <c r="E495" s="150"/>
      <c r="F495" s="150"/>
      <c r="G495" s="149"/>
      <c r="H495" s="149"/>
      <c r="I495" s="149"/>
      <c r="J495" s="150"/>
      <c r="K495" s="150"/>
      <c r="L495" s="149"/>
      <c r="M495" s="149"/>
      <c r="N495" s="149"/>
      <c r="O495" s="150"/>
      <c r="P495" s="150"/>
      <c r="Q495" s="149"/>
      <c r="R495" s="149"/>
      <c r="S495" s="149"/>
      <c r="T495" s="150"/>
      <c r="U495" s="150"/>
      <c r="V495" s="150"/>
      <c r="W495" s="150"/>
      <c r="X495" s="150"/>
      <c r="Y495" s="150"/>
      <c r="Z495" s="150"/>
      <c r="AA495" s="150"/>
      <c r="AB495" s="150"/>
      <c r="AC495" s="149"/>
      <c r="AD495" s="149"/>
      <c r="AE495" s="149"/>
      <c r="AF495" s="150"/>
      <c r="AG495" s="150"/>
      <c r="AH495" s="149"/>
      <c r="AI495" s="149"/>
      <c r="AJ495" s="149"/>
      <c r="AK495" s="150"/>
      <c r="AL495" s="150"/>
      <c r="AM495" s="149"/>
      <c r="AN495" s="149"/>
      <c r="AO495" s="149"/>
      <c r="AP495" s="150"/>
      <c r="AQ495" s="150"/>
      <c r="AR495" s="150"/>
      <c r="AS495" s="150"/>
      <c r="AT495" s="150"/>
      <c r="AU495" s="150"/>
      <c r="AV495" s="150"/>
      <c r="AW495" s="150"/>
      <c r="AX495" s="150"/>
      <c r="AY495" s="151"/>
      <c r="AZ495" s="151"/>
      <c r="BA495" s="151"/>
      <c r="BB495" s="151"/>
      <c r="BC495" s="151"/>
      <c r="BD495" s="151"/>
      <c r="BE495" s="151"/>
      <c r="BF495" s="151"/>
      <c r="BG495" s="151"/>
      <c r="BH495" s="151"/>
      <c r="BI495" s="151"/>
    </row>
    <row r="496" spans="1:61" x14ac:dyDescent="0.25">
      <c r="A496" s="149"/>
      <c r="B496" s="149"/>
      <c r="C496" s="149"/>
      <c r="D496" s="149"/>
      <c r="E496" s="150"/>
      <c r="F496" s="150"/>
      <c r="G496" s="149"/>
      <c r="H496" s="149"/>
      <c r="I496" s="149"/>
      <c r="J496" s="150"/>
      <c r="K496" s="150"/>
      <c r="L496" s="149"/>
      <c r="M496" s="149"/>
      <c r="N496" s="149"/>
      <c r="O496" s="150"/>
      <c r="P496" s="150"/>
      <c r="Q496" s="149"/>
      <c r="R496" s="149"/>
      <c r="S496" s="149"/>
      <c r="T496" s="150"/>
      <c r="U496" s="150"/>
      <c r="V496" s="150"/>
      <c r="W496" s="150"/>
      <c r="X496" s="150"/>
      <c r="Y496" s="150"/>
      <c r="Z496" s="150"/>
      <c r="AA496" s="150"/>
      <c r="AB496" s="150"/>
      <c r="AC496" s="149"/>
      <c r="AD496" s="149"/>
      <c r="AE496" s="149"/>
      <c r="AF496" s="150"/>
      <c r="AG496" s="150"/>
      <c r="AH496" s="149"/>
      <c r="AI496" s="149"/>
      <c r="AJ496" s="149"/>
      <c r="AK496" s="150"/>
      <c r="AL496" s="150"/>
      <c r="AM496" s="149"/>
      <c r="AN496" s="149"/>
      <c r="AO496" s="149"/>
      <c r="AP496" s="150"/>
      <c r="AQ496" s="150"/>
      <c r="AR496" s="150"/>
      <c r="AS496" s="150"/>
      <c r="AT496" s="150"/>
      <c r="AU496" s="150"/>
      <c r="AV496" s="150"/>
      <c r="AW496" s="150"/>
      <c r="AX496" s="150"/>
      <c r="AY496" s="151"/>
      <c r="AZ496" s="151"/>
      <c r="BA496" s="151"/>
      <c r="BB496" s="151"/>
      <c r="BC496" s="151"/>
      <c r="BD496" s="151"/>
      <c r="BE496" s="151"/>
      <c r="BF496" s="151"/>
      <c r="BG496" s="151"/>
      <c r="BH496" s="151"/>
      <c r="BI496" s="151"/>
    </row>
    <row r="497" spans="1:61" x14ac:dyDescent="0.25">
      <c r="A497" s="149"/>
      <c r="B497" s="149"/>
      <c r="C497" s="149"/>
      <c r="D497" s="149"/>
      <c r="E497" s="150"/>
      <c r="F497" s="150"/>
      <c r="G497" s="149"/>
      <c r="H497" s="149"/>
      <c r="I497" s="149"/>
      <c r="J497" s="150"/>
      <c r="K497" s="150"/>
      <c r="L497" s="149"/>
      <c r="M497" s="149"/>
      <c r="N497" s="149"/>
      <c r="O497" s="150"/>
      <c r="P497" s="150"/>
      <c r="Q497" s="149"/>
      <c r="R497" s="149"/>
      <c r="S497" s="149"/>
      <c r="T497" s="150"/>
      <c r="U497" s="150"/>
      <c r="V497" s="150"/>
      <c r="W497" s="150"/>
      <c r="X497" s="150"/>
      <c r="Y497" s="150"/>
      <c r="Z497" s="150"/>
      <c r="AA497" s="150"/>
      <c r="AB497" s="150"/>
      <c r="AC497" s="149"/>
      <c r="AD497" s="149"/>
      <c r="AE497" s="149"/>
      <c r="AF497" s="150"/>
      <c r="AG497" s="150"/>
      <c r="AH497" s="149"/>
      <c r="AI497" s="149"/>
      <c r="AJ497" s="149"/>
      <c r="AK497" s="150"/>
      <c r="AL497" s="150"/>
      <c r="AM497" s="149"/>
      <c r="AN497" s="149"/>
      <c r="AO497" s="149"/>
      <c r="AP497" s="150"/>
      <c r="AQ497" s="150"/>
      <c r="AR497" s="150"/>
      <c r="AS497" s="150"/>
      <c r="AT497" s="150"/>
      <c r="AU497" s="150"/>
      <c r="AV497" s="150"/>
      <c r="AW497" s="150"/>
      <c r="AX497" s="150"/>
      <c r="AY497" s="151"/>
      <c r="AZ497" s="151"/>
      <c r="BA497" s="151"/>
      <c r="BB497" s="151"/>
      <c r="BC497" s="151"/>
      <c r="BD497" s="151"/>
      <c r="BE497" s="151"/>
      <c r="BF497" s="151"/>
      <c r="BG497" s="151"/>
      <c r="BH497" s="151"/>
      <c r="BI497" s="151"/>
    </row>
    <row r="498" spans="1:61" x14ac:dyDescent="0.25">
      <c r="A498" s="149"/>
      <c r="B498" s="149"/>
      <c r="C498" s="149"/>
      <c r="D498" s="149"/>
      <c r="E498" s="150"/>
      <c r="F498" s="150"/>
      <c r="G498" s="149"/>
      <c r="H498" s="149"/>
      <c r="I498" s="149"/>
      <c r="J498" s="150"/>
      <c r="K498" s="150"/>
      <c r="L498" s="149"/>
      <c r="M498" s="149"/>
      <c r="N498" s="149"/>
      <c r="O498" s="150"/>
      <c r="P498" s="150"/>
      <c r="Q498" s="149"/>
      <c r="R498" s="149"/>
      <c r="S498" s="149"/>
      <c r="T498" s="150"/>
      <c r="U498" s="150"/>
      <c r="V498" s="150"/>
      <c r="W498" s="150"/>
      <c r="X498" s="150"/>
      <c r="Y498" s="150"/>
      <c r="Z498" s="150"/>
      <c r="AA498" s="150"/>
      <c r="AB498" s="150"/>
      <c r="AC498" s="149"/>
      <c r="AD498" s="149"/>
      <c r="AE498" s="149"/>
      <c r="AF498" s="150"/>
      <c r="AG498" s="150"/>
      <c r="AH498" s="149"/>
      <c r="AI498" s="149"/>
      <c r="AJ498" s="149"/>
      <c r="AK498" s="150"/>
      <c r="AL498" s="150"/>
      <c r="AM498" s="149"/>
      <c r="AN498" s="149"/>
      <c r="AO498" s="149"/>
      <c r="AP498" s="150"/>
      <c r="AQ498" s="150"/>
      <c r="AR498" s="150"/>
      <c r="AS498" s="150"/>
      <c r="AT498" s="150"/>
      <c r="AU498" s="150"/>
      <c r="AV498" s="150"/>
      <c r="AW498" s="150"/>
      <c r="AX498" s="150"/>
      <c r="AY498" s="151"/>
      <c r="AZ498" s="151"/>
      <c r="BA498" s="151"/>
      <c r="BB498" s="151"/>
      <c r="BC498" s="151"/>
      <c r="BD498" s="151"/>
      <c r="BE498" s="151"/>
      <c r="BF498" s="151"/>
      <c r="BG498" s="151"/>
      <c r="BH498" s="151"/>
      <c r="BI498" s="151"/>
    </row>
    <row r="499" spans="1:61" x14ac:dyDescent="0.25">
      <c r="A499" s="149"/>
      <c r="B499" s="149"/>
      <c r="C499" s="149"/>
      <c r="D499" s="149"/>
      <c r="E499" s="150"/>
      <c r="F499" s="150"/>
      <c r="G499" s="149"/>
      <c r="H499" s="149"/>
      <c r="I499" s="149"/>
      <c r="J499" s="150"/>
      <c r="K499" s="150"/>
      <c r="L499" s="149"/>
      <c r="M499" s="149"/>
      <c r="N499" s="149"/>
      <c r="O499" s="150"/>
      <c r="P499" s="150"/>
      <c r="Q499" s="149"/>
      <c r="R499" s="149"/>
      <c r="S499" s="149"/>
      <c r="T499" s="150"/>
      <c r="U499" s="150"/>
      <c r="V499" s="150"/>
      <c r="W499" s="150"/>
      <c r="X499" s="150"/>
      <c r="Y499" s="150"/>
      <c r="Z499" s="150"/>
      <c r="AA499" s="150"/>
      <c r="AB499" s="150"/>
      <c r="AC499" s="149"/>
      <c r="AD499" s="149"/>
      <c r="AE499" s="149"/>
      <c r="AF499" s="150"/>
      <c r="AG499" s="150"/>
      <c r="AH499" s="149"/>
      <c r="AI499" s="149"/>
      <c r="AJ499" s="149"/>
      <c r="AK499" s="150"/>
      <c r="AL499" s="150"/>
      <c r="AM499" s="149"/>
      <c r="AN499" s="149"/>
      <c r="AO499" s="149"/>
      <c r="AP499" s="150"/>
      <c r="AQ499" s="150"/>
      <c r="AR499" s="150"/>
      <c r="AS499" s="150"/>
      <c r="AT499" s="150"/>
      <c r="AU499" s="150"/>
      <c r="AV499" s="150"/>
      <c r="AW499" s="150"/>
      <c r="AX499" s="150"/>
      <c r="AY499" s="151"/>
      <c r="AZ499" s="151"/>
      <c r="BA499" s="151"/>
      <c r="BB499" s="151"/>
      <c r="BC499" s="151"/>
      <c r="BD499" s="151"/>
      <c r="BE499" s="151"/>
      <c r="BF499" s="151"/>
      <c r="BG499" s="151"/>
      <c r="BH499" s="151"/>
      <c r="BI499" s="151"/>
    </row>
    <row r="500" spans="1:61" x14ac:dyDescent="0.25">
      <c r="A500" s="149"/>
      <c r="B500" s="149"/>
      <c r="C500" s="149"/>
      <c r="D500" s="149"/>
      <c r="E500" s="150"/>
      <c r="F500" s="150"/>
      <c r="G500" s="149"/>
      <c r="H500" s="149"/>
      <c r="I500" s="149"/>
      <c r="J500" s="150"/>
      <c r="K500" s="150"/>
      <c r="L500" s="149"/>
      <c r="M500" s="149"/>
      <c r="N500" s="149"/>
      <c r="O500" s="150"/>
      <c r="P500" s="150"/>
      <c r="Q500" s="149"/>
      <c r="R500" s="149"/>
      <c r="S500" s="149"/>
      <c r="T500" s="150"/>
      <c r="U500" s="150"/>
      <c r="V500" s="150"/>
      <c r="W500" s="150"/>
      <c r="X500" s="150"/>
      <c r="Y500" s="150"/>
      <c r="Z500" s="150"/>
      <c r="AA500" s="150"/>
      <c r="AB500" s="150"/>
      <c r="AC500" s="149"/>
      <c r="AD500" s="149"/>
      <c r="AE500" s="149"/>
      <c r="AF500" s="150"/>
      <c r="AG500" s="150"/>
      <c r="AH500" s="149"/>
      <c r="AI500" s="149"/>
      <c r="AJ500" s="149"/>
      <c r="AK500" s="150"/>
      <c r="AL500" s="150"/>
      <c r="AM500" s="149"/>
      <c r="AN500" s="149"/>
      <c r="AO500" s="149"/>
      <c r="AP500" s="150"/>
      <c r="AQ500" s="150"/>
      <c r="AR500" s="150"/>
      <c r="AS500" s="150"/>
      <c r="AT500" s="150"/>
      <c r="AU500" s="150"/>
      <c r="AV500" s="150"/>
      <c r="AW500" s="150"/>
      <c r="AX500" s="150"/>
      <c r="AY500" s="151"/>
      <c r="AZ500" s="151"/>
      <c r="BA500" s="151"/>
      <c r="BB500" s="151"/>
      <c r="BC500" s="151"/>
      <c r="BD500" s="151"/>
      <c r="BE500" s="151"/>
      <c r="BF500" s="151"/>
      <c r="BG500" s="151"/>
      <c r="BH500" s="151"/>
      <c r="BI500" s="151"/>
    </row>
    <row r="501" spans="1:61" x14ac:dyDescent="0.25">
      <c r="A501" s="149"/>
      <c r="B501" s="149"/>
      <c r="C501" s="149"/>
      <c r="D501" s="149"/>
      <c r="E501" s="150"/>
      <c r="F501" s="150"/>
      <c r="G501" s="149"/>
      <c r="H501" s="149"/>
      <c r="I501" s="149"/>
      <c r="J501" s="150"/>
      <c r="K501" s="150"/>
      <c r="L501" s="149"/>
      <c r="M501" s="149"/>
      <c r="N501" s="149"/>
      <c r="O501" s="150"/>
      <c r="P501" s="150"/>
      <c r="Q501" s="149"/>
      <c r="R501" s="149"/>
      <c r="S501" s="149"/>
      <c r="T501" s="150"/>
      <c r="U501" s="150"/>
      <c r="V501" s="150"/>
      <c r="W501" s="150"/>
      <c r="X501" s="150"/>
      <c r="Y501" s="150"/>
      <c r="Z501" s="150"/>
      <c r="AA501" s="150"/>
      <c r="AB501" s="150"/>
      <c r="AC501" s="149"/>
      <c r="AD501" s="149"/>
      <c r="AE501" s="149"/>
      <c r="AF501" s="150"/>
      <c r="AG501" s="150"/>
      <c r="AH501" s="149"/>
      <c r="AI501" s="149"/>
      <c r="AJ501" s="149"/>
      <c r="AK501" s="150"/>
      <c r="AL501" s="150"/>
      <c r="AM501" s="149"/>
      <c r="AN501" s="149"/>
      <c r="AO501" s="149"/>
      <c r="AP501" s="150"/>
      <c r="AQ501" s="150"/>
      <c r="AR501" s="150"/>
      <c r="AS501" s="150"/>
      <c r="AT501" s="150"/>
      <c r="AU501" s="150"/>
      <c r="AV501" s="150"/>
      <c r="AW501" s="150"/>
      <c r="AX501" s="150"/>
      <c r="AY501" s="151"/>
      <c r="AZ501" s="151"/>
      <c r="BA501" s="151"/>
      <c r="BB501" s="151"/>
      <c r="BC501" s="151"/>
      <c r="BD501" s="151"/>
      <c r="BE501" s="151"/>
      <c r="BF501" s="151"/>
      <c r="BG501" s="151"/>
      <c r="BH501" s="151"/>
      <c r="BI501" s="151"/>
    </row>
    <row r="502" spans="1:61" x14ac:dyDescent="0.25">
      <c r="A502" s="149"/>
      <c r="B502" s="149"/>
      <c r="C502" s="149"/>
      <c r="D502" s="149"/>
      <c r="E502" s="150"/>
      <c r="F502" s="150"/>
      <c r="G502" s="149"/>
      <c r="H502" s="149"/>
      <c r="I502" s="149"/>
      <c r="J502" s="150"/>
      <c r="K502" s="150"/>
      <c r="L502" s="149"/>
      <c r="M502" s="149"/>
      <c r="N502" s="149"/>
      <c r="O502" s="150"/>
      <c r="P502" s="150"/>
      <c r="Q502" s="149"/>
      <c r="R502" s="149"/>
      <c r="S502" s="149"/>
      <c r="T502" s="150"/>
      <c r="U502" s="150"/>
      <c r="V502" s="150"/>
      <c r="W502" s="150"/>
      <c r="X502" s="150"/>
      <c r="Y502" s="150"/>
      <c r="Z502" s="150"/>
      <c r="AA502" s="150"/>
      <c r="AB502" s="150"/>
      <c r="AC502" s="149"/>
      <c r="AD502" s="149"/>
      <c r="AE502" s="149"/>
      <c r="AF502" s="150"/>
      <c r="AG502" s="150"/>
      <c r="AH502" s="149"/>
      <c r="AI502" s="149"/>
      <c r="AJ502" s="149"/>
      <c r="AK502" s="150"/>
      <c r="AL502" s="150"/>
      <c r="AM502" s="149"/>
      <c r="AN502" s="149"/>
      <c r="AO502" s="149"/>
      <c r="AP502" s="150"/>
      <c r="AQ502" s="150"/>
      <c r="AR502" s="150"/>
      <c r="AS502" s="150"/>
      <c r="AT502" s="150"/>
      <c r="AU502" s="150"/>
      <c r="AV502" s="150"/>
      <c r="AW502" s="150"/>
      <c r="AX502" s="150"/>
      <c r="AY502" s="151"/>
      <c r="AZ502" s="151"/>
      <c r="BA502" s="151"/>
      <c r="BB502" s="151"/>
      <c r="BC502" s="151"/>
      <c r="BD502" s="151"/>
      <c r="BE502" s="151"/>
      <c r="BF502" s="151"/>
      <c r="BG502" s="151"/>
      <c r="BH502" s="151"/>
      <c r="BI502" s="151"/>
    </row>
    <row r="503" spans="1:61" x14ac:dyDescent="0.25">
      <c r="A503" s="149"/>
      <c r="B503" s="149"/>
      <c r="C503" s="149"/>
      <c r="D503" s="149"/>
      <c r="E503" s="150"/>
      <c r="F503" s="150"/>
      <c r="G503" s="149"/>
      <c r="H503" s="149"/>
      <c r="I503" s="149"/>
      <c r="J503" s="150"/>
      <c r="K503" s="150"/>
      <c r="L503" s="149"/>
      <c r="M503" s="149"/>
      <c r="N503" s="149"/>
      <c r="O503" s="150"/>
      <c r="P503" s="150"/>
      <c r="Q503" s="149"/>
      <c r="R503" s="149"/>
      <c r="S503" s="149"/>
      <c r="T503" s="150"/>
      <c r="U503" s="150"/>
      <c r="V503" s="150"/>
      <c r="W503" s="150"/>
      <c r="X503" s="150"/>
      <c r="Y503" s="150"/>
      <c r="Z503" s="150"/>
      <c r="AA503" s="150"/>
      <c r="AB503" s="150"/>
      <c r="AC503" s="149"/>
      <c r="AD503" s="149"/>
      <c r="AE503" s="149"/>
      <c r="AF503" s="150"/>
      <c r="AG503" s="150"/>
      <c r="AH503" s="149"/>
      <c r="AI503" s="149"/>
      <c r="AJ503" s="149"/>
      <c r="AK503" s="150"/>
      <c r="AL503" s="150"/>
      <c r="AM503" s="149"/>
      <c r="AN503" s="149"/>
      <c r="AO503" s="149"/>
      <c r="AP503" s="150"/>
      <c r="AQ503" s="150"/>
      <c r="AR503" s="150"/>
      <c r="AS503" s="150"/>
      <c r="AT503" s="150"/>
      <c r="AU503" s="150"/>
      <c r="AV503" s="150"/>
      <c r="AW503" s="150"/>
      <c r="AX503" s="150"/>
      <c r="AY503" s="151"/>
      <c r="AZ503" s="151"/>
      <c r="BA503" s="151"/>
      <c r="BB503" s="151"/>
      <c r="BC503" s="151"/>
      <c r="BD503" s="151"/>
      <c r="BE503" s="151"/>
      <c r="BF503" s="151"/>
      <c r="BG503" s="151"/>
      <c r="BH503" s="151"/>
      <c r="BI503" s="151"/>
    </row>
    <row r="504" spans="1:61" x14ac:dyDescent="0.25">
      <c r="A504" s="149"/>
      <c r="B504" s="149"/>
      <c r="C504" s="149"/>
      <c r="D504" s="149"/>
      <c r="E504" s="150"/>
      <c r="F504" s="150"/>
      <c r="G504" s="149"/>
      <c r="H504" s="149"/>
      <c r="I504" s="149"/>
      <c r="J504" s="150"/>
      <c r="K504" s="150"/>
      <c r="L504" s="149"/>
      <c r="M504" s="149"/>
      <c r="N504" s="149"/>
      <c r="O504" s="150"/>
      <c r="P504" s="150"/>
      <c r="Q504" s="149"/>
      <c r="R504" s="149"/>
      <c r="S504" s="149"/>
      <c r="T504" s="150"/>
      <c r="U504" s="150"/>
      <c r="V504" s="150"/>
      <c r="W504" s="150"/>
      <c r="X504" s="150"/>
      <c r="Y504" s="150"/>
      <c r="Z504" s="150"/>
      <c r="AA504" s="150"/>
      <c r="AB504" s="150"/>
      <c r="AC504" s="149"/>
      <c r="AD504" s="149"/>
      <c r="AE504" s="149"/>
      <c r="AF504" s="150"/>
      <c r="AG504" s="150"/>
      <c r="AH504" s="149"/>
      <c r="AI504" s="149"/>
      <c r="AJ504" s="149"/>
      <c r="AK504" s="150"/>
      <c r="AL504" s="150"/>
      <c r="AM504" s="149"/>
      <c r="AN504" s="149"/>
      <c r="AO504" s="149"/>
      <c r="AP504" s="150"/>
      <c r="AQ504" s="150"/>
      <c r="AR504" s="150"/>
      <c r="AS504" s="150"/>
      <c r="AT504" s="150"/>
      <c r="AU504" s="150"/>
      <c r="AV504" s="150"/>
      <c r="AW504" s="150"/>
      <c r="AX504" s="150"/>
      <c r="AY504" s="151"/>
      <c r="AZ504" s="151"/>
      <c r="BA504" s="151"/>
      <c r="BB504" s="151"/>
      <c r="BC504" s="151"/>
      <c r="BD504" s="151"/>
      <c r="BE504" s="151"/>
      <c r="BF504" s="151"/>
      <c r="BG504" s="151"/>
      <c r="BH504" s="151"/>
      <c r="BI504" s="151"/>
    </row>
    <row r="505" spans="1:61" x14ac:dyDescent="0.25">
      <c r="A505" s="149"/>
      <c r="B505" s="149"/>
      <c r="C505" s="149"/>
      <c r="D505" s="149"/>
      <c r="E505" s="150"/>
      <c r="F505" s="150"/>
      <c r="G505" s="149"/>
      <c r="H505" s="149"/>
      <c r="I505" s="149"/>
      <c r="J505" s="150"/>
      <c r="K505" s="150"/>
      <c r="L505" s="149"/>
      <c r="M505" s="149"/>
      <c r="N505" s="149"/>
      <c r="O505" s="150"/>
      <c r="P505" s="150"/>
      <c r="Q505" s="149"/>
      <c r="R505" s="149"/>
      <c r="S505" s="149"/>
      <c r="T505" s="150"/>
      <c r="U505" s="150"/>
      <c r="V505" s="150"/>
      <c r="W505" s="150"/>
      <c r="X505" s="150"/>
      <c r="Y505" s="150"/>
      <c r="Z505" s="150"/>
      <c r="AA505" s="150"/>
      <c r="AB505" s="150"/>
      <c r="AC505" s="149"/>
      <c r="AD505" s="149"/>
      <c r="AE505" s="149"/>
      <c r="AF505" s="150"/>
      <c r="AG505" s="150"/>
      <c r="AH505" s="149"/>
      <c r="AI505" s="149"/>
      <c r="AJ505" s="149"/>
      <c r="AK505" s="150"/>
      <c r="AL505" s="150"/>
      <c r="AM505" s="149"/>
      <c r="AN505" s="149"/>
      <c r="AO505" s="149"/>
      <c r="AP505" s="150"/>
      <c r="AQ505" s="150"/>
      <c r="AR505" s="150"/>
      <c r="AS505" s="150"/>
      <c r="AT505" s="150"/>
      <c r="AU505" s="150"/>
      <c r="AV505" s="150"/>
      <c r="AW505" s="150"/>
      <c r="AX505" s="150"/>
      <c r="AY505" s="151"/>
      <c r="AZ505" s="151"/>
      <c r="BA505" s="151"/>
      <c r="BB505" s="151"/>
      <c r="BC505" s="151"/>
      <c r="BD505" s="151"/>
      <c r="BE505" s="151"/>
      <c r="BF505" s="151"/>
      <c r="BG505" s="151"/>
      <c r="BH505" s="151"/>
      <c r="BI505" s="151"/>
    </row>
    <row r="506" spans="1:61" x14ac:dyDescent="0.25">
      <c r="A506" s="149"/>
      <c r="B506" s="149"/>
      <c r="C506" s="149"/>
      <c r="D506" s="149"/>
      <c r="E506" s="150"/>
      <c r="F506" s="150"/>
      <c r="G506" s="149"/>
      <c r="H506" s="149"/>
      <c r="I506" s="149"/>
      <c r="J506" s="150"/>
      <c r="K506" s="150"/>
      <c r="L506" s="149"/>
      <c r="M506" s="149"/>
      <c r="N506" s="149"/>
      <c r="O506" s="150"/>
      <c r="P506" s="150"/>
      <c r="Q506" s="149"/>
      <c r="R506" s="149"/>
      <c r="S506" s="149"/>
      <c r="T506" s="150"/>
      <c r="U506" s="150"/>
      <c r="V506" s="150"/>
      <c r="W506" s="150"/>
      <c r="X506" s="150"/>
      <c r="Y506" s="150"/>
      <c r="Z506" s="150"/>
      <c r="AA506" s="150"/>
      <c r="AB506" s="150"/>
      <c r="AC506" s="149"/>
      <c r="AD506" s="149"/>
      <c r="AE506" s="149"/>
      <c r="AF506" s="150"/>
      <c r="AG506" s="150"/>
      <c r="AH506" s="149"/>
      <c r="AI506" s="149"/>
      <c r="AJ506" s="149"/>
      <c r="AK506" s="150"/>
      <c r="AL506" s="150"/>
      <c r="AM506" s="149"/>
      <c r="AN506" s="149"/>
      <c r="AO506" s="149"/>
      <c r="AP506" s="150"/>
      <c r="AQ506" s="150"/>
      <c r="AR506" s="150"/>
      <c r="AS506" s="150"/>
      <c r="AT506" s="150"/>
      <c r="AU506" s="150"/>
      <c r="AV506" s="150"/>
      <c r="AW506" s="150"/>
      <c r="AX506" s="150"/>
      <c r="AY506" s="151"/>
      <c r="AZ506" s="151"/>
      <c r="BA506" s="151"/>
      <c r="BB506" s="151"/>
      <c r="BC506" s="151"/>
      <c r="BD506" s="151"/>
      <c r="BE506" s="151"/>
      <c r="BF506" s="151"/>
      <c r="BG506" s="151"/>
      <c r="BH506" s="151"/>
      <c r="BI506" s="151"/>
    </row>
    <row r="507" spans="1:61" x14ac:dyDescent="0.25">
      <c r="A507" s="149"/>
      <c r="B507" s="149"/>
      <c r="C507" s="149"/>
      <c r="D507" s="149"/>
      <c r="E507" s="150"/>
      <c r="F507" s="150"/>
      <c r="G507" s="149"/>
      <c r="H507" s="149"/>
      <c r="I507" s="149"/>
      <c r="J507" s="150"/>
      <c r="K507" s="150"/>
      <c r="L507" s="149"/>
      <c r="M507" s="149"/>
      <c r="N507" s="149"/>
      <c r="O507" s="150"/>
      <c r="P507" s="150"/>
      <c r="Q507" s="149"/>
      <c r="R507" s="149"/>
      <c r="S507" s="149"/>
      <c r="T507" s="150"/>
      <c r="U507" s="150"/>
      <c r="V507" s="150"/>
      <c r="W507" s="150"/>
      <c r="X507" s="150"/>
      <c r="Y507" s="150"/>
      <c r="Z507" s="150"/>
      <c r="AA507" s="150"/>
      <c r="AB507" s="150"/>
      <c r="AC507" s="149"/>
      <c r="AD507" s="149"/>
      <c r="AE507" s="149"/>
      <c r="AF507" s="150"/>
      <c r="AG507" s="150"/>
      <c r="AH507" s="149"/>
      <c r="AI507" s="149"/>
      <c r="AJ507" s="149"/>
      <c r="AK507" s="150"/>
      <c r="AL507" s="150"/>
      <c r="AM507" s="149"/>
      <c r="AN507" s="149"/>
      <c r="AO507" s="149"/>
      <c r="AP507" s="150"/>
      <c r="AQ507" s="150"/>
      <c r="AR507" s="150"/>
      <c r="AS507" s="150"/>
      <c r="AT507" s="150"/>
      <c r="AU507" s="150"/>
      <c r="AV507" s="150"/>
      <c r="AW507" s="150"/>
      <c r="AX507" s="150"/>
      <c r="AY507" s="151"/>
      <c r="AZ507" s="151"/>
      <c r="BA507" s="151"/>
      <c r="BB507" s="151"/>
      <c r="BC507" s="151"/>
      <c r="BD507" s="151"/>
      <c r="BE507" s="151"/>
      <c r="BF507" s="151"/>
      <c r="BG507" s="151"/>
      <c r="BH507" s="151"/>
      <c r="BI507" s="151"/>
    </row>
    <row r="508" spans="1:61" x14ac:dyDescent="0.25">
      <c r="A508" s="149"/>
      <c r="B508" s="149"/>
      <c r="C508" s="149"/>
      <c r="D508" s="149"/>
      <c r="E508" s="150"/>
      <c r="F508" s="150"/>
      <c r="G508" s="149"/>
      <c r="H508" s="149"/>
      <c r="I508" s="149"/>
      <c r="J508" s="150"/>
      <c r="K508" s="150"/>
      <c r="L508" s="149"/>
      <c r="M508" s="149"/>
      <c r="N508" s="149"/>
      <c r="O508" s="150"/>
      <c r="P508" s="150"/>
      <c r="Q508" s="149"/>
      <c r="R508" s="149"/>
      <c r="S508" s="149"/>
      <c r="T508" s="150"/>
      <c r="U508" s="150"/>
      <c r="V508" s="150"/>
      <c r="W508" s="150"/>
      <c r="X508" s="150"/>
      <c r="Y508" s="150"/>
      <c r="Z508" s="150"/>
      <c r="AA508" s="150"/>
      <c r="AB508" s="150"/>
      <c r="AC508" s="149"/>
      <c r="AD508" s="149"/>
      <c r="AE508" s="149"/>
      <c r="AF508" s="150"/>
      <c r="AG508" s="150"/>
      <c r="AH508" s="149"/>
      <c r="AI508" s="149"/>
      <c r="AJ508" s="149"/>
      <c r="AK508" s="150"/>
      <c r="AL508" s="150"/>
      <c r="AM508" s="149"/>
      <c r="AN508" s="149"/>
      <c r="AO508" s="149"/>
      <c r="AP508" s="150"/>
      <c r="AQ508" s="150"/>
      <c r="AR508" s="150"/>
      <c r="AS508" s="150"/>
      <c r="AT508" s="150"/>
      <c r="AU508" s="150"/>
      <c r="AV508" s="150"/>
      <c r="AW508" s="150"/>
      <c r="AX508" s="150"/>
      <c r="AY508" s="151"/>
      <c r="AZ508" s="151"/>
      <c r="BA508" s="151"/>
      <c r="BB508" s="151"/>
      <c r="BC508" s="151"/>
      <c r="BD508" s="151"/>
      <c r="BE508" s="151"/>
      <c r="BF508" s="151"/>
      <c r="BG508" s="151"/>
      <c r="BH508" s="151"/>
      <c r="BI508" s="151"/>
    </row>
    <row r="509" spans="1:61" x14ac:dyDescent="0.25">
      <c r="A509" s="149"/>
      <c r="B509" s="149"/>
      <c r="C509" s="149"/>
      <c r="D509" s="149"/>
      <c r="E509" s="150"/>
      <c r="F509" s="150"/>
      <c r="G509" s="149"/>
      <c r="H509" s="149"/>
      <c r="I509" s="149"/>
      <c r="J509" s="150"/>
      <c r="K509" s="150"/>
      <c r="L509" s="149"/>
      <c r="M509" s="149"/>
      <c r="N509" s="149"/>
      <c r="O509" s="150"/>
      <c r="P509" s="150"/>
      <c r="Q509" s="149"/>
      <c r="R509" s="149"/>
      <c r="S509" s="149"/>
      <c r="T509" s="150"/>
      <c r="U509" s="150"/>
      <c r="V509" s="150"/>
      <c r="W509" s="150"/>
      <c r="X509" s="150"/>
      <c r="Y509" s="150"/>
      <c r="Z509" s="150"/>
      <c r="AA509" s="150"/>
      <c r="AB509" s="150"/>
      <c r="AC509" s="149"/>
      <c r="AD509" s="149"/>
      <c r="AE509" s="149"/>
      <c r="AF509" s="150"/>
      <c r="AG509" s="150"/>
      <c r="AH509" s="149"/>
      <c r="AI509" s="149"/>
      <c r="AJ509" s="149"/>
      <c r="AK509" s="150"/>
      <c r="AL509" s="150"/>
      <c r="AM509" s="149"/>
      <c r="AN509" s="149"/>
      <c r="AO509" s="149"/>
      <c r="AP509" s="150"/>
      <c r="AQ509" s="150"/>
      <c r="AR509" s="150"/>
      <c r="AS509" s="150"/>
      <c r="AT509" s="150"/>
      <c r="AU509" s="150"/>
      <c r="AV509" s="150"/>
      <c r="AW509" s="150"/>
      <c r="AX509" s="150"/>
      <c r="AY509" s="151"/>
      <c r="AZ509" s="151"/>
      <c r="BA509" s="151"/>
      <c r="BB509" s="151"/>
      <c r="BC509" s="151"/>
      <c r="BD509" s="151"/>
      <c r="BE509" s="151"/>
      <c r="BF509" s="151"/>
      <c r="BG509" s="151"/>
      <c r="BH509" s="151"/>
      <c r="BI509" s="151"/>
    </row>
    <row r="510" spans="1:61" x14ac:dyDescent="0.25">
      <c r="A510" s="149"/>
      <c r="B510" s="149"/>
      <c r="C510" s="149"/>
      <c r="D510" s="149"/>
      <c r="E510" s="150"/>
      <c r="F510" s="150"/>
      <c r="G510" s="149"/>
      <c r="H510" s="149"/>
      <c r="I510" s="149"/>
      <c r="J510" s="150"/>
      <c r="K510" s="150"/>
      <c r="L510" s="149"/>
      <c r="M510" s="149"/>
      <c r="N510" s="149"/>
      <c r="O510" s="150"/>
      <c r="P510" s="150"/>
      <c r="Q510" s="149"/>
      <c r="R510" s="149"/>
      <c r="S510" s="149"/>
      <c r="T510" s="150"/>
      <c r="U510" s="150"/>
      <c r="V510" s="150"/>
      <c r="W510" s="150"/>
      <c r="X510" s="150"/>
      <c r="Y510" s="150"/>
      <c r="Z510" s="150"/>
      <c r="AA510" s="150"/>
      <c r="AB510" s="150"/>
      <c r="AC510" s="149"/>
      <c r="AD510" s="149"/>
      <c r="AE510" s="149"/>
      <c r="AF510" s="150"/>
      <c r="AG510" s="150"/>
      <c r="AH510" s="149"/>
      <c r="AI510" s="149"/>
      <c r="AJ510" s="149"/>
      <c r="AK510" s="150"/>
      <c r="AL510" s="150"/>
      <c r="AM510" s="149"/>
      <c r="AN510" s="149"/>
      <c r="AO510" s="149"/>
      <c r="AP510" s="150"/>
      <c r="AQ510" s="150"/>
      <c r="AR510" s="150"/>
      <c r="AS510" s="150"/>
      <c r="AT510" s="150"/>
      <c r="AU510" s="150"/>
      <c r="AV510" s="150"/>
      <c r="AW510" s="150"/>
      <c r="AX510" s="150"/>
      <c r="AY510" s="151"/>
      <c r="AZ510" s="151"/>
      <c r="BA510" s="151"/>
      <c r="BB510" s="151"/>
      <c r="BC510" s="151"/>
      <c r="BD510" s="151"/>
      <c r="BE510" s="151"/>
      <c r="BF510" s="151"/>
      <c r="BG510" s="151"/>
      <c r="BH510" s="151"/>
      <c r="BI510" s="151"/>
    </row>
    <row r="511" spans="1:61" x14ac:dyDescent="0.25">
      <c r="A511" s="149"/>
      <c r="B511" s="149"/>
      <c r="C511" s="149"/>
      <c r="D511" s="149"/>
      <c r="E511" s="150"/>
      <c r="F511" s="150"/>
      <c r="G511" s="149"/>
      <c r="H511" s="149"/>
      <c r="I511" s="149"/>
      <c r="J511" s="150"/>
      <c r="K511" s="150"/>
      <c r="L511" s="149"/>
      <c r="M511" s="149"/>
      <c r="N511" s="149"/>
      <c r="O511" s="150"/>
      <c r="P511" s="150"/>
      <c r="Q511" s="149"/>
      <c r="R511" s="149"/>
      <c r="S511" s="149"/>
      <c r="T511" s="150"/>
      <c r="U511" s="150"/>
      <c r="V511" s="150"/>
      <c r="W511" s="150"/>
      <c r="X511" s="150"/>
      <c r="Y511" s="150"/>
      <c r="Z511" s="150"/>
      <c r="AA511" s="150"/>
      <c r="AB511" s="150"/>
      <c r="AC511" s="149"/>
      <c r="AD511" s="149"/>
      <c r="AE511" s="149"/>
      <c r="AF511" s="150"/>
      <c r="AG511" s="150"/>
      <c r="AH511" s="149"/>
      <c r="AI511" s="149"/>
      <c r="AJ511" s="149"/>
      <c r="AK511" s="150"/>
      <c r="AL511" s="150"/>
      <c r="AM511" s="149"/>
      <c r="AN511" s="149"/>
      <c r="AO511" s="149"/>
      <c r="AP511" s="150"/>
      <c r="AQ511" s="150"/>
      <c r="AR511" s="150"/>
      <c r="AS511" s="150"/>
      <c r="AT511" s="150"/>
      <c r="AU511" s="150"/>
      <c r="AV511" s="150"/>
      <c r="AW511" s="150"/>
      <c r="AX511" s="150"/>
      <c r="AY511" s="151"/>
      <c r="AZ511" s="151"/>
      <c r="BA511" s="151"/>
      <c r="BB511" s="151"/>
      <c r="BC511" s="151"/>
      <c r="BD511" s="151"/>
      <c r="BE511" s="151"/>
      <c r="BF511" s="151"/>
      <c r="BG511" s="151"/>
      <c r="BH511" s="151"/>
      <c r="BI511" s="151"/>
    </row>
    <row r="512" spans="1:61" x14ac:dyDescent="0.25">
      <c r="A512" s="149"/>
      <c r="B512" s="149"/>
      <c r="C512" s="149"/>
      <c r="D512" s="149"/>
      <c r="E512" s="150"/>
      <c r="F512" s="150"/>
      <c r="G512" s="149"/>
      <c r="H512" s="149"/>
      <c r="I512" s="149"/>
      <c r="J512" s="150"/>
      <c r="K512" s="150"/>
      <c r="L512" s="149"/>
      <c r="M512" s="149"/>
      <c r="N512" s="149"/>
      <c r="O512" s="150"/>
      <c r="P512" s="150"/>
      <c r="Q512" s="149"/>
      <c r="R512" s="149"/>
      <c r="S512" s="149"/>
      <c r="T512" s="150"/>
      <c r="U512" s="150"/>
      <c r="V512" s="150"/>
      <c r="W512" s="150"/>
      <c r="X512" s="150"/>
      <c r="Y512" s="150"/>
      <c r="Z512" s="150"/>
      <c r="AA512" s="150"/>
      <c r="AB512" s="150"/>
      <c r="AC512" s="149"/>
      <c r="AD512" s="149"/>
      <c r="AE512" s="149"/>
      <c r="AF512" s="150"/>
      <c r="AG512" s="150"/>
      <c r="AH512" s="149"/>
      <c r="AI512" s="149"/>
      <c r="AJ512" s="149"/>
      <c r="AK512" s="150"/>
      <c r="AL512" s="150"/>
      <c r="AM512" s="149"/>
      <c r="AN512" s="149"/>
      <c r="AO512" s="149"/>
      <c r="AP512" s="150"/>
      <c r="AQ512" s="150"/>
      <c r="AR512" s="150"/>
      <c r="AS512" s="150"/>
      <c r="AT512" s="150"/>
      <c r="AU512" s="150"/>
      <c r="AV512" s="150"/>
      <c r="AW512" s="150"/>
      <c r="AX512" s="150"/>
      <c r="AY512" s="151"/>
      <c r="AZ512" s="151"/>
      <c r="BA512" s="151"/>
      <c r="BB512" s="151"/>
      <c r="BC512" s="151"/>
      <c r="BD512" s="151"/>
      <c r="BE512" s="151"/>
      <c r="BF512" s="151"/>
      <c r="BG512" s="151"/>
      <c r="BH512" s="151"/>
      <c r="BI512" s="151"/>
    </row>
    <row r="513" spans="1:61" x14ac:dyDescent="0.25">
      <c r="A513" s="149"/>
      <c r="B513" s="149"/>
      <c r="C513" s="149"/>
      <c r="D513" s="149"/>
      <c r="E513" s="150"/>
      <c r="F513" s="150"/>
      <c r="G513" s="149"/>
      <c r="H513" s="149"/>
      <c r="I513" s="149"/>
      <c r="J513" s="150"/>
      <c r="K513" s="150"/>
      <c r="L513" s="149"/>
      <c r="M513" s="149"/>
      <c r="N513" s="149"/>
      <c r="O513" s="150"/>
      <c r="P513" s="150"/>
      <c r="Q513" s="149"/>
      <c r="R513" s="149"/>
      <c r="S513" s="149"/>
      <c r="T513" s="150"/>
      <c r="U513" s="150"/>
      <c r="V513" s="150"/>
      <c r="W513" s="150"/>
      <c r="X513" s="150"/>
      <c r="Y513" s="150"/>
      <c r="Z513" s="150"/>
      <c r="AA513" s="150"/>
      <c r="AB513" s="150"/>
      <c r="AC513" s="149"/>
      <c r="AD513" s="149"/>
      <c r="AE513" s="149"/>
      <c r="AF513" s="150"/>
      <c r="AG513" s="150"/>
      <c r="AH513" s="149"/>
      <c r="AI513" s="149"/>
      <c r="AJ513" s="149"/>
      <c r="AK513" s="150"/>
      <c r="AL513" s="150"/>
      <c r="AM513" s="149"/>
      <c r="AN513" s="149"/>
      <c r="AO513" s="149"/>
      <c r="AP513" s="150"/>
      <c r="AQ513" s="150"/>
      <c r="AR513" s="150"/>
      <c r="AS513" s="150"/>
      <c r="AT513" s="150"/>
      <c r="AU513" s="150"/>
      <c r="AV513" s="150"/>
      <c r="AW513" s="150"/>
      <c r="AX513" s="150"/>
      <c r="AY513" s="151"/>
      <c r="AZ513" s="151"/>
      <c r="BA513" s="151"/>
      <c r="BB513" s="151"/>
      <c r="BC513" s="151"/>
      <c r="BD513" s="151"/>
      <c r="BE513" s="151"/>
      <c r="BF513" s="151"/>
      <c r="BG513" s="151"/>
      <c r="BH513" s="151"/>
      <c r="BI513" s="151"/>
    </row>
    <row r="514" spans="1:61" x14ac:dyDescent="0.25">
      <c r="A514" s="149"/>
      <c r="B514" s="149"/>
      <c r="C514" s="149"/>
      <c r="D514" s="149"/>
      <c r="E514" s="150"/>
      <c r="F514" s="150"/>
      <c r="G514" s="149"/>
      <c r="H514" s="149"/>
      <c r="I514" s="149"/>
      <c r="J514" s="150"/>
      <c r="K514" s="150"/>
      <c r="L514" s="149"/>
      <c r="M514" s="149"/>
      <c r="N514" s="149"/>
      <c r="O514" s="150"/>
      <c r="P514" s="150"/>
      <c r="Q514" s="149"/>
      <c r="R514" s="149"/>
      <c r="S514" s="149"/>
      <c r="T514" s="150"/>
      <c r="U514" s="150"/>
      <c r="V514" s="150"/>
      <c r="W514" s="150"/>
      <c r="X514" s="150"/>
      <c r="Y514" s="150"/>
      <c r="Z514" s="150"/>
      <c r="AA514" s="150"/>
      <c r="AB514" s="150"/>
      <c r="AC514" s="149"/>
      <c r="AD514" s="149"/>
      <c r="AE514" s="149"/>
      <c r="AF514" s="150"/>
      <c r="AG514" s="150"/>
      <c r="AH514" s="149"/>
      <c r="AI514" s="149"/>
      <c r="AJ514" s="149"/>
      <c r="AK514" s="150"/>
      <c r="AL514" s="150"/>
      <c r="AM514" s="149"/>
      <c r="AN514" s="149"/>
      <c r="AO514" s="149"/>
      <c r="AP514" s="150"/>
      <c r="AQ514" s="150"/>
      <c r="AR514" s="150"/>
      <c r="AS514" s="150"/>
      <c r="AT514" s="150"/>
      <c r="AU514" s="150"/>
      <c r="AV514" s="150"/>
      <c r="AW514" s="150"/>
      <c r="AX514" s="150"/>
      <c r="AY514" s="151"/>
      <c r="AZ514" s="151"/>
      <c r="BA514" s="151"/>
      <c r="BB514" s="151"/>
      <c r="BC514" s="151"/>
      <c r="BD514" s="151"/>
      <c r="BE514" s="151"/>
      <c r="BF514" s="151"/>
      <c r="BG514" s="151"/>
      <c r="BH514" s="151"/>
      <c r="BI514" s="151"/>
    </row>
    <row r="515" spans="1:61" x14ac:dyDescent="0.25">
      <c r="A515" s="149"/>
      <c r="B515" s="149"/>
      <c r="C515" s="149"/>
      <c r="D515" s="149"/>
      <c r="E515" s="150"/>
      <c r="F515" s="150"/>
      <c r="G515" s="149"/>
      <c r="H515" s="149"/>
      <c r="I515" s="149"/>
      <c r="J515" s="150"/>
      <c r="K515" s="150"/>
      <c r="L515" s="149"/>
      <c r="M515" s="149"/>
      <c r="N515" s="149"/>
      <c r="O515" s="150"/>
      <c r="P515" s="150"/>
      <c r="Q515" s="149"/>
      <c r="R515" s="149"/>
      <c r="S515" s="149"/>
      <c r="T515" s="150"/>
      <c r="U515" s="150"/>
      <c r="V515" s="150"/>
      <c r="W515" s="150"/>
      <c r="X515" s="150"/>
      <c r="Y515" s="150"/>
      <c r="Z515" s="150"/>
      <c r="AA515" s="150"/>
      <c r="AB515" s="150"/>
      <c r="AC515" s="149"/>
      <c r="AD515" s="149"/>
      <c r="AE515" s="149"/>
      <c r="AF515" s="150"/>
      <c r="AG515" s="150"/>
      <c r="AH515" s="149"/>
      <c r="AI515" s="149"/>
      <c r="AJ515" s="149"/>
      <c r="AK515" s="150"/>
      <c r="AL515" s="150"/>
      <c r="AM515" s="149"/>
      <c r="AN515" s="149"/>
      <c r="AO515" s="149"/>
      <c r="AP515" s="150"/>
      <c r="AQ515" s="150"/>
      <c r="AR515" s="150"/>
      <c r="AS515" s="150"/>
      <c r="AT515" s="150"/>
      <c r="AU515" s="150"/>
      <c r="AV515" s="150"/>
      <c r="AW515" s="150"/>
      <c r="AX515" s="150"/>
      <c r="AY515" s="151"/>
      <c r="AZ515" s="151"/>
      <c r="BA515" s="151"/>
      <c r="BB515" s="151"/>
      <c r="BC515" s="151"/>
      <c r="BD515" s="151"/>
      <c r="BE515" s="151"/>
      <c r="BF515" s="151"/>
      <c r="BG515" s="151"/>
      <c r="BH515" s="151"/>
      <c r="BI515" s="151"/>
    </row>
    <row r="516" spans="1:61" x14ac:dyDescent="0.25">
      <c r="A516" s="149"/>
      <c r="B516" s="149"/>
      <c r="C516" s="149"/>
      <c r="D516" s="149"/>
      <c r="E516" s="150"/>
      <c r="F516" s="150"/>
      <c r="G516" s="149"/>
      <c r="H516" s="149"/>
      <c r="I516" s="149"/>
      <c r="J516" s="150"/>
      <c r="K516" s="150"/>
      <c r="L516" s="149"/>
      <c r="M516" s="149"/>
      <c r="N516" s="149"/>
      <c r="O516" s="150"/>
      <c r="P516" s="150"/>
      <c r="Q516" s="149"/>
      <c r="R516" s="149"/>
      <c r="S516" s="149"/>
      <c r="T516" s="150"/>
      <c r="U516" s="150"/>
      <c r="V516" s="150"/>
      <c r="W516" s="150"/>
      <c r="X516" s="150"/>
      <c r="Y516" s="150"/>
      <c r="Z516" s="150"/>
      <c r="AA516" s="150"/>
      <c r="AB516" s="150"/>
      <c r="AC516" s="149"/>
      <c r="AD516" s="149"/>
      <c r="AE516" s="149"/>
      <c r="AF516" s="150"/>
      <c r="AG516" s="150"/>
      <c r="AH516" s="149"/>
      <c r="AI516" s="149"/>
      <c r="AJ516" s="149"/>
      <c r="AK516" s="150"/>
      <c r="AL516" s="150"/>
      <c r="AM516" s="149"/>
      <c r="AN516" s="149"/>
      <c r="AO516" s="149"/>
      <c r="AP516" s="150"/>
      <c r="AQ516" s="150"/>
      <c r="AR516" s="150"/>
      <c r="AS516" s="150"/>
      <c r="AT516" s="150"/>
      <c r="AU516" s="150"/>
      <c r="AV516" s="150"/>
      <c r="AW516" s="150"/>
      <c r="AX516" s="150"/>
      <c r="AY516" s="151"/>
      <c r="AZ516" s="151"/>
      <c r="BA516" s="151"/>
      <c r="BB516" s="151"/>
      <c r="BC516" s="151"/>
      <c r="BD516" s="151"/>
      <c r="BE516" s="151"/>
      <c r="BF516" s="151"/>
      <c r="BG516" s="151"/>
      <c r="BH516" s="151"/>
      <c r="BI516" s="151"/>
    </row>
    <row r="517" spans="1:61" x14ac:dyDescent="0.25">
      <c r="A517" s="149"/>
      <c r="B517" s="149"/>
      <c r="C517" s="149"/>
      <c r="D517" s="149"/>
      <c r="E517" s="150"/>
      <c r="F517" s="150"/>
      <c r="G517" s="149"/>
      <c r="H517" s="149"/>
      <c r="I517" s="149"/>
      <c r="J517" s="150"/>
      <c r="K517" s="150"/>
      <c r="L517" s="149"/>
      <c r="M517" s="149"/>
      <c r="N517" s="149"/>
      <c r="O517" s="150"/>
      <c r="P517" s="150"/>
      <c r="Q517" s="149"/>
      <c r="R517" s="149"/>
      <c r="S517" s="149"/>
      <c r="T517" s="150"/>
      <c r="U517" s="150"/>
      <c r="V517" s="150"/>
      <c r="W517" s="150"/>
      <c r="X517" s="150"/>
      <c r="Y517" s="150"/>
      <c r="Z517" s="150"/>
      <c r="AA517" s="150"/>
      <c r="AB517" s="150"/>
      <c r="AC517" s="149"/>
      <c r="AD517" s="149"/>
      <c r="AE517" s="149"/>
      <c r="AF517" s="150"/>
      <c r="AG517" s="150"/>
      <c r="AH517" s="149"/>
      <c r="AI517" s="149"/>
      <c r="AJ517" s="149"/>
      <c r="AK517" s="150"/>
      <c r="AL517" s="150"/>
      <c r="AM517" s="149"/>
      <c r="AN517" s="149"/>
      <c r="AO517" s="149"/>
      <c r="AP517" s="150"/>
      <c r="AQ517" s="150"/>
      <c r="AR517" s="150"/>
      <c r="AS517" s="150"/>
      <c r="AT517" s="150"/>
      <c r="AU517" s="150"/>
      <c r="AV517" s="150"/>
      <c r="AW517" s="150"/>
      <c r="AX517" s="150"/>
      <c r="AY517" s="151"/>
      <c r="AZ517" s="151"/>
      <c r="BA517" s="151"/>
      <c r="BB517" s="151"/>
      <c r="BC517" s="151"/>
      <c r="BD517" s="151"/>
      <c r="BE517" s="151"/>
      <c r="BF517" s="151"/>
      <c r="BG517" s="151"/>
      <c r="BH517" s="151"/>
      <c r="BI517" s="151"/>
    </row>
    <row r="518" spans="1:61" x14ac:dyDescent="0.25">
      <c r="A518" s="149"/>
      <c r="B518" s="149"/>
      <c r="C518" s="149"/>
      <c r="D518" s="149"/>
      <c r="E518" s="150"/>
      <c r="F518" s="150"/>
      <c r="G518" s="149"/>
      <c r="H518" s="149"/>
      <c r="I518" s="149"/>
      <c r="J518" s="150"/>
      <c r="K518" s="150"/>
      <c r="L518" s="149"/>
      <c r="M518" s="149"/>
      <c r="N518" s="149"/>
      <c r="O518" s="150"/>
      <c r="P518" s="150"/>
      <c r="Q518" s="149"/>
      <c r="R518" s="149"/>
      <c r="S518" s="149"/>
      <c r="T518" s="150"/>
      <c r="U518" s="150"/>
      <c r="V518" s="150"/>
      <c r="W518" s="150"/>
      <c r="X518" s="150"/>
      <c r="Y518" s="150"/>
      <c r="Z518" s="150"/>
      <c r="AA518" s="150"/>
      <c r="AB518" s="150"/>
      <c r="AC518" s="149"/>
      <c r="AD518" s="149"/>
      <c r="AE518" s="149"/>
      <c r="AF518" s="150"/>
      <c r="AG518" s="150"/>
      <c r="AH518" s="149"/>
      <c r="AI518" s="149"/>
      <c r="AJ518" s="149"/>
      <c r="AK518" s="150"/>
      <c r="AL518" s="150"/>
      <c r="AM518" s="149"/>
      <c r="AN518" s="149"/>
      <c r="AO518" s="149"/>
      <c r="AP518" s="150"/>
      <c r="AQ518" s="150"/>
      <c r="AR518" s="150"/>
      <c r="AS518" s="150"/>
      <c r="AT518" s="150"/>
      <c r="AU518" s="150"/>
      <c r="AV518" s="150"/>
      <c r="AW518" s="150"/>
      <c r="AX518" s="150"/>
      <c r="AY518" s="151"/>
      <c r="AZ518" s="151"/>
      <c r="BA518" s="151"/>
      <c r="BB518" s="151"/>
      <c r="BC518" s="151"/>
      <c r="BD518" s="151"/>
      <c r="BE518" s="151"/>
      <c r="BF518" s="151"/>
      <c r="BG518" s="151"/>
      <c r="BH518" s="151"/>
      <c r="BI518" s="151"/>
    </row>
    <row r="519" spans="1:61" x14ac:dyDescent="0.25">
      <c r="A519" s="149"/>
      <c r="B519" s="149"/>
      <c r="C519" s="149"/>
      <c r="D519" s="149"/>
      <c r="E519" s="150"/>
      <c r="F519" s="150"/>
      <c r="G519" s="149"/>
      <c r="H519" s="149"/>
      <c r="I519" s="149"/>
      <c r="J519" s="150"/>
      <c r="K519" s="150"/>
      <c r="L519" s="149"/>
      <c r="M519" s="149"/>
      <c r="N519" s="149"/>
      <c r="O519" s="150"/>
      <c r="P519" s="150"/>
      <c r="Q519" s="149"/>
      <c r="R519" s="149"/>
      <c r="S519" s="149"/>
      <c r="T519" s="150"/>
      <c r="U519" s="150"/>
      <c r="V519" s="150"/>
      <c r="W519" s="150"/>
      <c r="X519" s="150"/>
      <c r="Y519" s="150"/>
      <c r="Z519" s="150"/>
      <c r="AA519" s="150"/>
      <c r="AB519" s="150"/>
      <c r="AC519" s="149"/>
      <c r="AD519" s="149"/>
      <c r="AE519" s="149"/>
      <c r="AF519" s="150"/>
      <c r="AG519" s="150"/>
      <c r="AH519" s="149"/>
      <c r="AI519" s="149"/>
      <c r="AJ519" s="149"/>
      <c r="AK519" s="150"/>
      <c r="AL519" s="150"/>
      <c r="AM519" s="149"/>
      <c r="AN519" s="149"/>
      <c r="AO519" s="149"/>
      <c r="AP519" s="150"/>
      <c r="AQ519" s="150"/>
      <c r="AR519" s="150"/>
      <c r="AS519" s="150"/>
      <c r="AT519" s="150"/>
      <c r="AU519" s="150"/>
      <c r="AV519" s="150"/>
      <c r="AW519" s="150"/>
      <c r="AX519" s="150"/>
      <c r="AY519" s="151"/>
      <c r="AZ519" s="151"/>
      <c r="BA519" s="151"/>
      <c r="BB519" s="151"/>
      <c r="BC519" s="151"/>
      <c r="BD519" s="151"/>
      <c r="BE519" s="151"/>
      <c r="BF519" s="151"/>
      <c r="BG519" s="151"/>
      <c r="BH519" s="151"/>
      <c r="BI519" s="151"/>
    </row>
    <row r="520" spans="1:61" x14ac:dyDescent="0.25">
      <c r="A520" s="149"/>
      <c r="B520" s="149"/>
      <c r="C520" s="149"/>
      <c r="D520" s="149"/>
      <c r="E520" s="150"/>
      <c r="F520" s="150"/>
      <c r="G520" s="149"/>
      <c r="H520" s="149"/>
      <c r="I520" s="149"/>
      <c r="J520" s="150"/>
      <c r="K520" s="150"/>
      <c r="L520" s="149"/>
      <c r="M520" s="149"/>
      <c r="N520" s="149"/>
      <c r="O520" s="150"/>
      <c r="P520" s="150"/>
      <c r="Q520" s="149"/>
      <c r="R520" s="149"/>
      <c r="S520" s="149"/>
      <c r="T520" s="150"/>
      <c r="U520" s="150"/>
      <c r="V520" s="150"/>
      <c r="W520" s="150"/>
      <c r="X520" s="150"/>
      <c r="Y520" s="150"/>
      <c r="Z520" s="150"/>
      <c r="AA520" s="150"/>
      <c r="AB520" s="150"/>
      <c r="AC520" s="149"/>
      <c r="AD520" s="149"/>
      <c r="AE520" s="149"/>
      <c r="AF520" s="150"/>
      <c r="AG520" s="150"/>
      <c r="AH520" s="149"/>
      <c r="AI520" s="149"/>
      <c r="AJ520" s="149"/>
      <c r="AK520" s="150"/>
      <c r="AL520" s="150"/>
      <c r="AM520" s="149"/>
      <c r="AN520" s="149"/>
      <c r="AO520" s="149"/>
      <c r="AP520" s="150"/>
      <c r="AQ520" s="150"/>
      <c r="AR520" s="150"/>
      <c r="AS520" s="150"/>
      <c r="AT520" s="150"/>
      <c r="AU520" s="150"/>
      <c r="AV520" s="150"/>
      <c r="AW520" s="150"/>
      <c r="AX520" s="150"/>
      <c r="AY520" s="151"/>
      <c r="AZ520" s="151"/>
      <c r="BA520" s="151"/>
      <c r="BB520" s="151"/>
      <c r="BC520" s="151"/>
      <c r="BD520" s="151"/>
      <c r="BE520" s="151"/>
      <c r="BF520" s="151"/>
      <c r="BG520" s="151"/>
      <c r="BH520" s="151"/>
      <c r="BI520" s="151"/>
    </row>
    <row r="521" spans="1:61" x14ac:dyDescent="0.25">
      <c r="A521" s="149"/>
      <c r="B521" s="149"/>
      <c r="C521" s="149"/>
      <c r="D521" s="149"/>
      <c r="E521" s="150"/>
      <c r="F521" s="150"/>
      <c r="G521" s="149"/>
      <c r="H521" s="149"/>
      <c r="I521" s="149"/>
      <c r="J521" s="150"/>
      <c r="K521" s="150"/>
      <c r="L521" s="149"/>
      <c r="M521" s="149"/>
      <c r="N521" s="149"/>
      <c r="O521" s="150"/>
      <c r="P521" s="150"/>
      <c r="Q521" s="149"/>
      <c r="R521" s="149"/>
      <c r="S521" s="149"/>
      <c r="T521" s="150"/>
      <c r="U521" s="150"/>
      <c r="V521" s="150"/>
      <c r="W521" s="150"/>
      <c r="X521" s="150"/>
      <c r="Y521" s="150"/>
      <c r="Z521" s="150"/>
      <c r="AA521" s="150"/>
      <c r="AB521" s="150"/>
      <c r="AC521" s="149"/>
      <c r="AD521" s="149"/>
      <c r="AE521" s="149"/>
      <c r="AF521" s="150"/>
      <c r="AG521" s="150"/>
      <c r="AH521" s="149"/>
      <c r="AI521" s="149"/>
      <c r="AJ521" s="149"/>
      <c r="AK521" s="150"/>
      <c r="AL521" s="150"/>
      <c r="AM521" s="149"/>
      <c r="AN521" s="149"/>
      <c r="AO521" s="149"/>
      <c r="AP521" s="150"/>
      <c r="AQ521" s="150"/>
      <c r="AR521" s="150"/>
      <c r="AS521" s="150"/>
      <c r="AT521" s="150"/>
      <c r="AU521" s="150"/>
      <c r="AV521" s="150"/>
      <c r="AW521" s="150"/>
      <c r="AX521" s="150"/>
      <c r="AY521" s="151"/>
      <c r="AZ521" s="151"/>
      <c r="BA521" s="151"/>
      <c r="BB521" s="151"/>
      <c r="BC521" s="151"/>
      <c r="BD521" s="151"/>
      <c r="BE521" s="151"/>
      <c r="BF521" s="151"/>
      <c r="BG521" s="151"/>
      <c r="BH521" s="151"/>
      <c r="BI521" s="151"/>
    </row>
    <row r="522" spans="1:61" x14ac:dyDescent="0.25">
      <c r="A522" s="149"/>
      <c r="B522" s="149"/>
      <c r="C522" s="149"/>
      <c r="D522" s="149"/>
      <c r="E522" s="150"/>
      <c r="F522" s="150"/>
      <c r="G522" s="149"/>
      <c r="H522" s="149"/>
      <c r="I522" s="149"/>
      <c r="J522" s="150"/>
      <c r="K522" s="150"/>
      <c r="L522" s="149"/>
      <c r="M522" s="149"/>
      <c r="N522" s="149"/>
      <c r="O522" s="150"/>
      <c r="P522" s="150"/>
      <c r="Q522" s="149"/>
      <c r="R522" s="149"/>
      <c r="S522" s="149"/>
      <c r="T522" s="150"/>
      <c r="U522" s="150"/>
      <c r="V522" s="150"/>
      <c r="W522" s="150"/>
      <c r="X522" s="150"/>
      <c r="Y522" s="150"/>
      <c r="Z522" s="150"/>
      <c r="AA522" s="150"/>
      <c r="AB522" s="150"/>
      <c r="AC522" s="149"/>
      <c r="AD522" s="149"/>
      <c r="AE522" s="149"/>
      <c r="AF522" s="150"/>
      <c r="AG522" s="150"/>
      <c r="AH522" s="149"/>
      <c r="AI522" s="149"/>
      <c r="AJ522" s="149"/>
      <c r="AK522" s="150"/>
      <c r="AL522" s="150"/>
      <c r="AM522" s="149"/>
      <c r="AN522" s="149"/>
      <c r="AO522" s="149"/>
      <c r="AP522" s="150"/>
      <c r="AQ522" s="150"/>
      <c r="AR522" s="150"/>
      <c r="AS522" s="150"/>
      <c r="AT522" s="150"/>
      <c r="AU522" s="150"/>
      <c r="AV522" s="150"/>
      <c r="AW522" s="150"/>
      <c r="AX522" s="150"/>
      <c r="AY522" s="151"/>
      <c r="AZ522" s="151"/>
      <c r="BA522" s="151"/>
      <c r="BB522" s="151"/>
      <c r="BC522" s="151"/>
      <c r="BD522" s="151"/>
      <c r="BE522" s="151"/>
      <c r="BF522" s="151"/>
      <c r="BG522" s="151"/>
      <c r="BH522" s="151"/>
      <c r="BI522" s="151"/>
    </row>
    <row r="523" spans="1:61" x14ac:dyDescent="0.25">
      <c r="A523" s="149"/>
      <c r="B523" s="149"/>
      <c r="C523" s="149"/>
      <c r="D523" s="149"/>
      <c r="E523" s="150"/>
      <c r="F523" s="150"/>
      <c r="G523" s="149"/>
      <c r="H523" s="149"/>
      <c r="I523" s="149"/>
      <c r="J523" s="150"/>
      <c r="K523" s="150"/>
      <c r="L523" s="149"/>
      <c r="M523" s="149"/>
      <c r="N523" s="149"/>
      <c r="O523" s="150"/>
      <c r="P523" s="150"/>
      <c r="Q523" s="149"/>
      <c r="R523" s="149"/>
      <c r="S523" s="149"/>
      <c r="T523" s="150"/>
      <c r="U523" s="150"/>
      <c r="V523" s="150"/>
      <c r="W523" s="150"/>
      <c r="X523" s="150"/>
      <c r="Y523" s="150"/>
      <c r="Z523" s="150"/>
      <c r="AA523" s="150"/>
      <c r="AB523" s="150"/>
      <c r="AC523" s="149"/>
      <c r="AD523" s="149"/>
      <c r="AE523" s="149"/>
      <c r="AF523" s="150"/>
      <c r="AG523" s="150"/>
      <c r="AH523" s="149"/>
      <c r="AI523" s="149"/>
      <c r="AJ523" s="149"/>
      <c r="AK523" s="150"/>
      <c r="AL523" s="150"/>
      <c r="AM523" s="149"/>
      <c r="AN523" s="149"/>
      <c r="AO523" s="149"/>
      <c r="AP523" s="150"/>
      <c r="AQ523" s="150"/>
      <c r="AR523" s="150"/>
      <c r="AS523" s="150"/>
      <c r="AT523" s="150"/>
      <c r="AU523" s="150"/>
      <c r="AV523" s="150"/>
      <c r="AW523" s="150"/>
      <c r="AX523" s="150"/>
      <c r="AY523" s="151"/>
      <c r="AZ523" s="151"/>
      <c r="BA523" s="151"/>
      <c r="BB523" s="151"/>
      <c r="BC523" s="151"/>
      <c r="BD523" s="151"/>
      <c r="BE523" s="151"/>
      <c r="BF523" s="151"/>
      <c r="BG523" s="151"/>
      <c r="BH523" s="151"/>
      <c r="BI523" s="151"/>
    </row>
    <row r="524" spans="1:61" x14ac:dyDescent="0.25">
      <c r="A524" s="149"/>
      <c r="B524" s="149"/>
      <c r="C524" s="149"/>
      <c r="D524" s="149"/>
      <c r="E524" s="150"/>
      <c r="F524" s="150"/>
      <c r="G524" s="149"/>
      <c r="H524" s="149"/>
      <c r="I524" s="149"/>
      <c r="J524" s="150"/>
      <c r="K524" s="150"/>
      <c r="L524" s="149"/>
      <c r="M524" s="149"/>
      <c r="N524" s="149"/>
      <c r="O524" s="150"/>
      <c r="P524" s="150"/>
      <c r="Q524" s="149"/>
      <c r="R524" s="149"/>
      <c r="S524" s="149"/>
      <c r="T524" s="150"/>
      <c r="U524" s="150"/>
      <c r="V524" s="150"/>
      <c r="W524" s="150"/>
      <c r="X524" s="150"/>
      <c r="Y524" s="150"/>
      <c r="Z524" s="150"/>
      <c r="AA524" s="150"/>
      <c r="AB524" s="150"/>
      <c r="AC524" s="149"/>
      <c r="AD524" s="149"/>
      <c r="AE524" s="149"/>
      <c r="AF524" s="150"/>
      <c r="AG524" s="150"/>
      <c r="AH524" s="149"/>
      <c r="AI524" s="149"/>
      <c r="AJ524" s="149"/>
      <c r="AK524" s="150"/>
      <c r="AL524" s="150"/>
      <c r="AM524" s="149"/>
      <c r="AN524" s="149"/>
      <c r="AO524" s="149"/>
      <c r="AP524" s="150"/>
      <c r="AQ524" s="150"/>
      <c r="AR524" s="150"/>
      <c r="AS524" s="150"/>
      <c r="AT524" s="150"/>
      <c r="AU524" s="150"/>
      <c r="AV524" s="150"/>
      <c r="AW524" s="150"/>
      <c r="AX524" s="150"/>
      <c r="AY524" s="151"/>
      <c r="AZ524" s="151"/>
      <c r="BA524" s="151"/>
      <c r="BB524" s="151"/>
      <c r="BC524" s="151"/>
      <c r="BD524" s="151"/>
      <c r="BE524" s="151"/>
      <c r="BF524" s="151"/>
      <c r="BG524" s="151"/>
      <c r="BH524" s="151"/>
      <c r="BI524" s="151"/>
    </row>
    <row r="525" spans="1:61" x14ac:dyDescent="0.25">
      <c r="A525" s="149"/>
      <c r="B525" s="149"/>
      <c r="C525" s="149"/>
      <c r="D525" s="149"/>
      <c r="E525" s="150"/>
      <c r="F525" s="150"/>
      <c r="G525" s="149"/>
      <c r="H525" s="149"/>
      <c r="I525" s="149"/>
      <c r="J525" s="150"/>
      <c r="K525" s="150"/>
      <c r="L525" s="149"/>
      <c r="M525" s="149"/>
      <c r="N525" s="149"/>
      <c r="O525" s="150"/>
      <c r="P525" s="150"/>
      <c r="Q525" s="149"/>
      <c r="R525" s="149"/>
      <c r="S525" s="149"/>
      <c r="T525" s="150"/>
      <c r="U525" s="150"/>
      <c r="V525" s="150"/>
      <c r="W525" s="150"/>
      <c r="X525" s="150"/>
      <c r="Y525" s="150"/>
      <c r="Z525" s="150"/>
      <c r="AA525" s="150"/>
      <c r="AB525" s="150"/>
      <c r="AC525" s="149"/>
      <c r="AD525" s="149"/>
      <c r="AE525" s="149"/>
      <c r="AF525" s="150"/>
      <c r="AG525" s="150"/>
      <c r="AH525" s="149"/>
      <c r="AI525" s="149"/>
      <c r="AJ525" s="149"/>
      <c r="AK525" s="150"/>
      <c r="AL525" s="150"/>
      <c r="AM525" s="149"/>
      <c r="AN525" s="149"/>
      <c r="AO525" s="149"/>
      <c r="AP525" s="150"/>
      <c r="AQ525" s="150"/>
      <c r="AR525" s="150"/>
      <c r="AS525" s="150"/>
      <c r="AT525" s="150"/>
      <c r="AU525" s="150"/>
      <c r="AV525" s="150"/>
      <c r="AW525" s="150"/>
      <c r="AX525" s="150"/>
      <c r="AY525" s="151"/>
      <c r="AZ525" s="151"/>
      <c r="BA525" s="151"/>
      <c r="BB525" s="151"/>
      <c r="BC525" s="151"/>
      <c r="BD525" s="151"/>
      <c r="BE525" s="151"/>
      <c r="BF525" s="151"/>
      <c r="BG525" s="151"/>
      <c r="BH525" s="151"/>
      <c r="BI525" s="151"/>
    </row>
    <row r="526" spans="1:61" x14ac:dyDescent="0.25">
      <c r="A526" s="149"/>
      <c r="B526" s="149"/>
      <c r="C526" s="149"/>
      <c r="D526" s="149"/>
      <c r="E526" s="150"/>
      <c r="F526" s="150"/>
      <c r="G526" s="149"/>
      <c r="H526" s="149"/>
      <c r="I526" s="149"/>
      <c r="J526" s="150"/>
      <c r="K526" s="150"/>
      <c r="L526" s="149"/>
      <c r="M526" s="149"/>
      <c r="N526" s="149"/>
      <c r="O526" s="150"/>
      <c r="P526" s="150"/>
      <c r="Q526" s="149"/>
      <c r="R526" s="149"/>
      <c r="S526" s="149"/>
      <c r="T526" s="150"/>
      <c r="U526" s="150"/>
      <c r="V526" s="150"/>
      <c r="W526" s="150"/>
      <c r="X526" s="150"/>
      <c r="Y526" s="150"/>
      <c r="Z526" s="150"/>
      <c r="AA526" s="150"/>
      <c r="AB526" s="150"/>
      <c r="AC526" s="149"/>
      <c r="AD526" s="149"/>
      <c r="AE526" s="149"/>
      <c r="AF526" s="150"/>
      <c r="AG526" s="150"/>
      <c r="AH526" s="149"/>
      <c r="AI526" s="149"/>
      <c r="AJ526" s="149"/>
      <c r="AK526" s="150"/>
      <c r="AL526" s="150"/>
      <c r="AM526" s="149"/>
      <c r="AN526" s="149"/>
      <c r="AO526" s="149"/>
      <c r="AP526" s="150"/>
      <c r="AQ526" s="150"/>
      <c r="AR526" s="150"/>
      <c r="AS526" s="150"/>
      <c r="AT526" s="150"/>
      <c r="AU526" s="150"/>
      <c r="AV526" s="150"/>
      <c r="AW526" s="150"/>
      <c r="AX526" s="150"/>
      <c r="AY526" s="151"/>
      <c r="AZ526" s="151"/>
      <c r="BA526" s="151"/>
      <c r="BB526" s="151"/>
      <c r="BC526" s="151"/>
      <c r="BD526" s="151"/>
      <c r="BE526" s="151"/>
      <c r="BF526" s="151"/>
      <c r="BG526" s="151"/>
      <c r="BH526" s="151"/>
      <c r="BI526" s="151"/>
    </row>
    <row r="527" spans="1:61" x14ac:dyDescent="0.25">
      <c r="A527" s="149"/>
      <c r="B527" s="149"/>
      <c r="C527" s="149"/>
      <c r="D527" s="149"/>
      <c r="E527" s="150"/>
      <c r="F527" s="150"/>
      <c r="G527" s="149"/>
      <c r="H527" s="149"/>
      <c r="I527" s="149"/>
      <c r="J527" s="150"/>
      <c r="K527" s="150"/>
      <c r="L527" s="149"/>
      <c r="M527" s="149"/>
      <c r="N527" s="149"/>
      <c r="O527" s="150"/>
      <c r="P527" s="150"/>
      <c r="Q527" s="149"/>
      <c r="R527" s="149"/>
      <c r="S527" s="149"/>
      <c r="T527" s="150"/>
      <c r="U527" s="150"/>
      <c r="V527" s="150"/>
      <c r="W527" s="150"/>
      <c r="X527" s="150"/>
      <c r="Y527" s="150"/>
      <c r="Z527" s="150"/>
      <c r="AA527" s="150"/>
      <c r="AB527" s="150"/>
      <c r="AC527" s="149"/>
      <c r="AD527" s="149"/>
      <c r="AE527" s="149"/>
      <c r="AF527" s="150"/>
      <c r="AG527" s="150"/>
      <c r="AH527" s="149"/>
      <c r="AI527" s="149"/>
      <c r="AJ527" s="149"/>
      <c r="AK527" s="150"/>
      <c r="AL527" s="150"/>
      <c r="AM527" s="149"/>
      <c r="AN527" s="149"/>
      <c r="AO527" s="149"/>
      <c r="AP527" s="150"/>
      <c r="AQ527" s="150"/>
      <c r="AR527" s="150"/>
      <c r="AS527" s="150"/>
      <c r="AT527" s="150"/>
      <c r="AU527" s="150"/>
      <c r="AV527" s="150"/>
      <c r="AW527" s="150"/>
      <c r="AX527" s="150"/>
      <c r="AY527" s="151"/>
      <c r="AZ527" s="151"/>
      <c r="BA527" s="151"/>
      <c r="BB527" s="151"/>
      <c r="BC527" s="151"/>
      <c r="BD527" s="151"/>
      <c r="BE527" s="151"/>
      <c r="BF527" s="151"/>
      <c r="BG527" s="151"/>
      <c r="BH527" s="151"/>
      <c r="BI527" s="151"/>
    </row>
    <row r="528" spans="1:61" x14ac:dyDescent="0.25">
      <c r="A528" s="149"/>
      <c r="B528" s="149"/>
      <c r="C528" s="149"/>
      <c r="D528" s="149"/>
      <c r="E528" s="150"/>
      <c r="F528" s="150"/>
      <c r="G528" s="149"/>
      <c r="H528" s="149"/>
      <c r="I528" s="149"/>
      <c r="J528" s="150"/>
      <c r="K528" s="150"/>
      <c r="L528" s="149"/>
      <c r="M528" s="149"/>
      <c r="N528" s="149"/>
      <c r="O528" s="150"/>
      <c r="P528" s="150"/>
      <c r="Q528" s="149"/>
      <c r="R528" s="149"/>
      <c r="S528" s="149"/>
      <c r="T528" s="150"/>
      <c r="U528" s="150"/>
      <c r="V528" s="150"/>
      <c r="W528" s="150"/>
      <c r="X528" s="150"/>
      <c r="Y528" s="150"/>
      <c r="Z528" s="150"/>
      <c r="AA528" s="150"/>
      <c r="AB528" s="150"/>
      <c r="AC528" s="149"/>
      <c r="AD528" s="149"/>
      <c r="AE528" s="149"/>
      <c r="AF528" s="150"/>
      <c r="AG528" s="150"/>
      <c r="AH528" s="149"/>
      <c r="AI528" s="149"/>
      <c r="AJ528" s="149"/>
      <c r="AK528" s="150"/>
      <c r="AL528" s="150"/>
      <c r="AM528" s="149"/>
      <c r="AN528" s="149"/>
      <c r="AO528" s="149"/>
      <c r="AP528" s="150"/>
      <c r="AQ528" s="150"/>
      <c r="AR528" s="150"/>
      <c r="AS528" s="150"/>
      <c r="AT528" s="150"/>
      <c r="AU528" s="150"/>
      <c r="AV528" s="150"/>
      <c r="AW528" s="150"/>
      <c r="AX528" s="150"/>
      <c r="AY528" s="151"/>
      <c r="AZ528" s="151"/>
      <c r="BA528" s="151"/>
      <c r="BB528" s="151"/>
      <c r="BC528" s="151"/>
      <c r="BD528" s="151"/>
      <c r="BE528" s="151"/>
      <c r="BF528" s="151"/>
      <c r="BG528" s="151"/>
      <c r="BH528" s="151"/>
      <c r="BI528" s="151"/>
    </row>
    <row r="529" spans="1:61" x14ac:dyDescent="0.25">
      <c r="A529" s="149"/>
      <c r="B529" s="149"/>
      <c r="C529" s="149"/>
      <c r="D529" s="149"/>
      <c r="E529" s="150"/>
      <c r="F529" s="150"/>
      <c r="G529" s="149"/>
      <c r="H529" s="149"/>
      <c r="I529" s="149"/>
      <c r="J529" s="150"/>
      <c r="K529" s="150"/>
      <c r="L529" s="149"/>
      <c r="M529" s="149"/>
      <c r="N529" s="149"/>
      <c r="O529" s="150"/>
      <c r="P529" s="150"/>
      <c r="Q529" s="149"/>
      <c r="R529" s="149"/>
      <c r="S529" s="149"/>
      <c r="T529" s="150"/>
      <c r="U529" s="150"/>
      <c r="V529" s="150"/>
      <c r="W529" s="150"/>
      <c r="X529" s="150"/>
      <c r="Y529" s="150"/>
      <c r="Z529" s="150"/>
      <c r="AA529" s="150"/>
      <c r="AB529" s="150"/>
      <c r="AC529" s="149"/>
      <c r="AD529" s="149"/>
      <c r="AE529" s="149"/>
      <c r="AF529" s="150"/>
      <c r="AG529" s="150"/>
      <c r="AH529" s="149"/>
      <c r="AI529" s="149"/>
      <c r="AJ529" s="149"/>
      <c r="AK529" s="150"/>
      <c r="AL529" s="150"/>
      <c r="AM529" s="149"/>
      <c r="AN529" s="149"/>
      <c r="AO529" s="149"/>
      <c r="AP529" s="150"/>
      <c r="AQ529" s="150"/>
      <c r="AR529" s="150"/>
      <c r="AS529" s="150"/>
      <c r="AT529" s="150"/>
      <c r="AU529" s="150"/>
      <c r="AV529" s="150"/>
      <c r="AW529" s="150"/>
      <c r="AX529" s="150"/>
      <c r="AY529" s="151"/>
      <c r="AZ529" s="151"/>
      <c r="BA529" s="151"/>
      <c r="BB529" s="151"/>
      <c r="BC529" s="151"/>
      <c r="BD529" s="151"/>
      <c r="BE529" s="151"/>
      <c r="BF529" s="151"/>
      <c r="BG529" s="151"/>
      <c r="BH529" s="151"/>
      <c r="BI529" s="151"/>
    </row>
    <row r="530" spans="1:61" x14ac:dyDescent="0.25">
      <c r="A530" s="149"/>
      <c r="B530" s="149"/>
      <c r="C530" s="149"/>
      <c r="D530" s="149"/>
      <c r="E530" s="150"/>
      <c r="F530" s="150"/>
      <c r="G530" s="149"/>
      <c r="H530" s="149"/>
      <c r="I530" s="149"/>
      <c r="J530" s="150"/>
      <c r="K530" s="150"/>
      <c r="L530" s="149"/>
      <c r="M530" s="149"/>
      <c r="N530" s="149"/>
      <c r="O530" s="150"/>
      <c r="P530" s="150"/>
      <c r="Q530" s="149"/>
      <c r="R530" s="149"/>
      <c r="S530" s="149"/>
      <c r="T530" s="150"/>
      <c r="U530" s="150"/>
      <c r="V530" s="150"/>
      <c r="W530" s="150"/>
      <c r="X530" s="150"/>
      <c r="Y530" s="150"/>
      <c r="Z530" s="150"/>
      <c r="AA530" s="150"/>
      <c r="AB530" s="150"/>
      <c r="AC530" s="149"/>
      <c r="AD530" s="149"/>
      <c r="AE530" s="149"/>
      <c r="AF530" s="150"/>
      <c r="AG530" s="150"/>
      <c r="AH530" s="149"/>
      <c r="AI530" s="149"/>
      <c r="AJ530" s="149"/>
      <c r="AK530" s="150"/>
      <c r="AL530" s="150"/>
      <c r="AM530" s="149"/>
      <c r="AN530" s="149"/>
      <c r="AO530" s="149"/>
      <c r="AP530" s="150"/>
      <c r="AQ530" s="150"/>
      <c r="AR530" s="150"/>
      <c r="AS530" s="150"/>
      <c r="AT530" s="150"/>
      <c r="AU530" s="150"/>
      <c r="AV530" s="150"/>
      <c r="AW530" s="150"/>
      <c r="AX530" s="150"/>
      <c r="AY530" s="151"/>
      <c r="AZ530" s="151"/>
      <c r="BA530" s="151"/>
      <c r="BB530" s="151"/>
      <c r="BC530" s="151"/>
      <c r="BD530" s="151"/>
      <c r="BE530" s="151"/>
      <c r="BF530" s="151"/>
      <c r="BG530" s="151"/>
      <c r="BH530" s="151"/>
      <c r="BI530" s="151"/>
    </row>
    <row r="531" spans="1:61" x14ac:dyDescent="0.25">
      <c r="A531" s="149"/>
      <c r="B531" s="149"/>
      <c r="C531" s="149"/>
      <c r="D531" s="149"/>
      <c r="E531" s="150"/>
      <c r="F531" s="150"/>
      <c r="G531" s="149"/>
      <c r="H531" s="149"/>
      <c r="I531" s="149"/>
      <c r="J531" s="150"/>
      <c r="K531" s="150"/>
      <c r="L531" s="149"/>
      <c r="M531" s="149"/>
      <c r="N531" s="149"/>
      <c r="O531" s="150"/>
      <c r="P531" s="150"/>
      <c r="Q531" s="149"/>
      <c r="R531" s="149"/>
      <c r="S531" s="149"/>
      <c r="T531" s="150"/>
      <c r="U531" s="150"/>
      <c r="V531" s="150"/>
      <c r="W531" s="150"/>
      <c r="X531" s="150"/>
      <c r="Y531" s="150"/>
      <c r="Z531" s="150"/>
      <c r="AA531" s="150"/>
      <c r="AB531" s="150"/>
      <c r="AC531" s="149"/>
      <c r="AD531" s="149"/>
      <c r="AE531" s="149"/>
      <c r="AF531" s="150"/>
      <c r="AG531" s="150"/>
      <c r="AH531" s="149"/>
      <c r="AI531" s="149"/>
      <c r="AJ531" s="149"/>
      <c r="AK531" s="150"/>
      <c r="AL531" s="150"/>
      <c r="AM531" s="149"/>
      <c r="AN531" s="149"/>
      <c r="AO531" s="149"/>
      <c r="AP531" s="150"/>
      <c r="AQ531" s="150"/>
      <c r="AR531" s="150"/>
      <c r="AS531" s="150"/>
      <c r="AT531" s="150"/>
      <c r="AU531" s="150"/>
      <c r="AV531" s="150"/>
      <c r="AW531" s="150"/>
      <c r="AX531" s="150"/>
      <c r="AY531" s="151"/>
      <c r="AZ531" s="151"/>
      <c r="BA531" s="151"/>
      <c r="BB531" s="151"/>
      <c r="BC531" s="151"/>
      <c r="BD531" s="151"/>
      <c r="BE531" s="151"/>
      <c r="BF531" s="151"/>
      <c r="BG531" s="151"/>
      <c r="BH531" s="151"/>
      <c r="BI531" s="151"/>
    </row>
    <row r="532" spans="1:61" x14ac:dyDescent="0.25">
      <c r="A532" s="149"/>
      <c r="B532" s="149"/>
      <c r="C532" s="149"/>
      <c r="D532" s="149"/>
      <c r="E532" s="150"/>
      <c r="F532" s="150"/>
      <c r="G532" s="149"/>
      <c r="H532" s="149"/>
      <c r="I532" s="149"/>
      <c r="J532" s="150"/>
      <c r="K532" s="150"/>
      <c r="L532" s="149"/>
      <c r="M532" s="149"/>
      <c r="N532" s="149"/>
      <c r="O532" s="150"/>
      <c r="P532" s="150"/>
      <c r="Q532" s="149"/>
      <c r="R532" s="149"/>
      <c r="S532" s="149"/>
      <c r="T532" s="150"/>
      <c r="U532" s="150"/>
      <c r="V532" s="150"/>
      <c r="W532" s="150"/>
      <c r="X532" s="150"/>
      <c r="Y532" s="150"/>
      <c r="Z532" s="150"/>
      <c r="AA532" s="150"/>
      <c r="AB532" s="150"/>
      <c r="AC532" s="149"/>
      <c r="AD532" s="149"/>
      <c r="AE532" s="149"/>
      <c r="AF532" s="150"/>
      <c r="AG532" s="150"/>
      <c r="AH532" s="149"/>
      <c r="AI532" s="149"/>
      <c r="AJ532" s="149"/>
      <c r="AK532" s="150"/>
      <c r="AL532" s="150"/>
      <c r="AM532" s="149"/>
      <c r="AN532" s="149"/>
      <c r="AO532" s="149"/>
      <c r="AP532" s="150"/>
      <c r="AQ532" s="150"/>
      <c r="AR532" s="150"/>
      <c r="AS532" s="150"/>
      <c r="AT532" s="150"/>
      <c r="AU532" s="150"/>
      <c r="AV532" s="150"/>
      <c r="AW532" s="150"/>
      <c r="AX532" s="150"/>
      <c r="AY532" s="151"/>
      <c r="AZ532" s="151"/>
      <c r="BA532" s="151"/>
      <c r="BB532" s="151"/>
      <c r="BC532" s="151"/>
      <c r="BD532" s="151"/>
      <c r="BE532" s="151"/>
      <c r="BF532" s="151"/>
      <c r="BG532" s="151"/>
      <c r="BH532" s="151"/>
      <c r="BI532" s="151"/>
    </row>
    <row r="533" spans="1:61" x14ac:dyDescent="0.25">
      <c r="A533" s="149"/>
      <c r="B533" s="149"/>
      <c r="C533" s="149"/>
      <c r="D533" s="149"/>
      <c r="E533" s="150"/>
      <c r="F533" s="150"/>
      <c r="G533" s="149"/>
      <c r="H533" s="149"/>
      <c r="I533" s="149"/>
      <c r="J533" s="150"/>
      <c r="K533" s="150"/>
      <c r="L533" s="149"/>
      <c r="M533" s="149"/>
      <c r="N533" s="149"/>
      <c r="O533" s="150"/>
      <c r="P533" s="150"/>
      <c r="Q533" s="149"/>
      <c r="R533" s="149"/>
      <c r="S533" s="149"/>
      <c r="T533" s="150"/>
      <c r="U533" s="150"/>
      <c r="V533" s="150"/>
      <c r="W533" s="150"/>
      <c r="X533" s="150"/>
      <c r="Y533" s="150"/>
      <c r="Z533" s="150"/>
      <c r="AA533" s="150"/>
      <c r="AB533" s="150"/>
      <c r="AC533" s="149"/>
      <c r="AD533" s="149"/>
      <c r="AE533" s="149"/>
      <c r="AF533" s="150"/>
      <c r="AG533" s="150"/>
      <c r="AH533" s="149"/>
      <c r="AI533" s="149"/>
      <c r="AJ533" s="149"/>
      <c r="AK533" s="150"/>
      <c r="AL533" s="150"/>
      <c r="AM533" s="149"/>
      <c r="AN533" s="149"/>
      <c r="AO533" s="149"/>
      <c r="AP533" s="150"/>
      <c r="AQ533" s="150"/>
      <c r="AR533" s="150"/>
      <c r="AS533" s="150"/>
      <c r="AT533" s="150"/>
      <c r="AU533" s="150"/>
      <c r="AV533" s="150"/>
      <c r="AW533" s="150"/>
      <c r="AX533" s="150"/>
      <c r="AY533" s="151"/>
      <c r="AZ533" s="151"/>
      <c r="BA533" s="151"/>
      <c r="BB533" s="151"/>
      <c r="BC533" s="151"/>
      <c r="BD533" s="151"/>
      <c r="BE533" s="151"/>
      <c r="BF533" s="151"/>
      <c r="BG533" s="151"/>
      <c r="BH533" s="151"/>
      <c r="BI533" s="151"/>
    </row>
    <row r="534" spans="1:61" x14ac:dyDescent="0.25">
      <c r="A534" s="149"/>
      <c r="B534" s="149"/>
      <c r="C534" s="149"/>
      <c r="D534" s="149"/>
      <c r="E534" s="150"/>
      <c r="F534" s="150"/>
      <c r="G534" s="149"/>
      <c r="H534" s="149"/>
      <c r="I534" s="149"/>
      <c r="J534" s="150"/>
      <c r="K534" s="150"/>
      <c r="L534" s="149"/>
      <c r="M534" s="149"/>
      <c r="N534" s="149"/>
      <c r="O534" s="150"/>
      <c r="P534" s="150"/>
      <c r="Q534" s="149"/>
      <c r="R534" s="149"/>
      <c r="S534" s="149"/>
      <c r="T534" s="150"/>
      <c r="U534" s="150"/>
      <c r="V534" s="150"/>
      <c r="W534" s="150"/>
      <c r="X534" s="150"/>
      <c r="Y534" s="150"/>
      <c r="Z534" s="150"/>
      <c r="AA534" s="150"/>
      <c r="AB534" s="150"/>
      <c r="AC534" s="149"/>
      <c r="AD534" s="149"/>
      <c r="AE534" s="149"/>
      <c r="AF534" s="150"/>
      <c r="AG534" s="150"/>
      <c r="AH534" s="149"/>
      <c r="AI534" s="149"/>
      <c r="AJ534" s="149"/>
      <c r="AK534" s="150"/>
      <c r="AL534" s="150"/>
      <c r="AM534" s="149"/>
      <c r="AN534" s="149"/>
      <c r="AO534" s="149"/>
      <c r="AP534" s="150"/>
      <c r="AQ534" s="150"/>
      <c r="AR534" s="150"/>
      <c r="AS534" s="150"/>
      <c r="AT534" s="150"/>
      <c r="AU534" s="150"/>
      <c r="AV534" s="150"/>
      <c r="AW534" s="150"/>
      <c r="AX534" s="150"/>
      <c r="AY534" s="151"/>
      <c r="AZ534" s="151"/>
      <c r="BA534" s="151"/>
      <c r="BB534" s="151"/>
      <c r="BC534" s="151"/>
      <c r="BD534" s="151"/>
      <c r="BE534" s="151"/>
      <c r="BF534" s="151"/>
      <c r="BG534" s="151"/>
      <c r="BH534" s="151"/>
      <c r="BI534" s="151"/>
    </row>
    <row r="535" spans="1:61" x14ac:dyDescent="0.25">
      <c r="A535" s="149"/>
      <c r="B535" s="149"/>
      <c r="C535" s="149"/>
      <c r="D535" s="149"/>
      <c r="E535" s="150"/>
      <c r="F535" s="150"/>
      <c r="G535" s="149"/>
      <c r="H535" s="149"/>
      <c r="I535" s="149"/>
      <c r="J535" s="150"/>
      <c r="K535" s="150"/>
      <c r="L535" s="149"/>
      <c r="M535" s="149"/>
      <c r="N535" s="149"/>
      <c r="O535" s="150"/>
      <c r="P535" s="150"/>
      <c r="Q535" s="149"/>
      <c r="R535" s="149"/>
      <c r="S535" s="149"/>
      <c r="T535" s="150"/>
      <c r="U535" s="150"/>
      <c r="V535" s="150"/>
      <c r="W535" s="150"/>
      <c r="X535" s="150"/>
      <c r="Y535" s="150"/>
      <c r="Z535" s="150"/>
      <c r="AA535" s="150"/>
      <c r="AB535" s="150"/>
      <c r="AC535" s="149"/>
      <c r="AD535" s="149"/>
      <c r="AE535" s="149"/>
      <c r="AF535" s="150"/>
      <c r="AG535" s="150"/>
      <c r="AH535" s="149"/>
      <c r="AI535" s="149"/>
      <c r="AJ535" s="149"/>
      <c r="AK535" s="150"/>
      <c r="AL535" s="150"/>
      <c r="AM535" s="149"/>
      <c r="AN535" s="149"/>
      <c r="AO535" s="149"/>
      <c r="AP535" s="150"/>
      <c r="AQ535" s="150"/>
      <c r="AR535" s="150"/>
      <c r="AS535" s="150"/>
      <c r="AT535" s="150"/>
      <c r="AU535" s="150"/>
      <c r="AV535" s="150"/>
      <c r="AW535" s="150"/>
      <c r="AX535" s="150"/>
      <c r="AY535" s="151"/>
      <c r="AZ535" s="151"/>
      <c r="BA535" s="151"/>
      <c r="BB535" s="151"/>
      <c r="BC535" s="151"/>
      <c r="BD535" s="151"/>
      <c r="BE535" s="151"/>
      <c r="BF535" s="151"/>
      <c r="BG535" s="151"/>
      <c r="BH535" s="151"/>
      <c r="BI535" s="151"/>
    </row>
    <row r="536" spans="1:61" x14ac:dyDescent="0.25">
      <c r="A536" s="149"/>
      <c r="B536" s="149"/>
      <c r="C536" s="149"/>
      <c r="D536" s="149"/>
      <c r="E536" s="150"/>
      <c r="F536" s="150"/>
      <c r="G536" s="149"/>
      <c r="H536" s="149"/>
      <c r="I536" s="149"/>
      <c r="J536" s="150"/>
      <c r="K536" s="150"/>
      <c r="L536" s="149"/>
      <c r="M536" s="149"/>
      <c r="N536" s="149"/>
      <c r="O536" s="150"/>
      <c r="P536" s="150"/>
      <c r="Q536" s="149"/>
      <c r="R536" s="149"/>
      <c r="S536" s="149"/>
      <c r="T536" s="150"/>
      <c r="U536" s="150"/>
      <c r="V536" s="150"/>
      <c r="W536" s="150"/>
      <c r="X536" s="150"/>
      <c r="Y536" s="150"/>
      <c r="Z536" s="150"/>
      <c r="AA536" s="150"/>
      <c r="AB536" s="150"/>
      <c r="AC536" s="149"/>
      <c r="AD536" s="149"/>
      <c r="AE536" s="149"/>
      <c r="AF536" s="150"/>
      <c r="AG536" s="150"/>
      <c r="AH536" s="149"/>
      <c r="AI536" s="149"/>
      <c r="AJ536" s="149"/>
      <c r="AK536" s="150"/>
      <c r="AL536" s="150"/>
      <c r="AM536" s="149"/>
      <c r="AN536" s="149"/>
      <c r="AO536" s="149"/>
      <c r="AP536" s="150"/>
      <c r="AQ536" s="150"/>
      <c r="AR536" s="150"/>
      <c r="AS536" s="150"/>
      <c r="AT536" s="150"/>
      <c r="AU536" s="150"/>
      <c r="AV536" s="150"/>
      <c r="AW536" s="150"/>
      <c r="AX536" s="150"/>
      <c r="AY536" s="151"/>
      <c r="AZ536" s="151"/>
      <c r="BA536" s="151"/>
      <c r="BB536" s="151"/>
      <c r="BC536" s="151"/>
      <c r="BD536" s="151"/>
      <c r="BE536" s="151"/>
      <c r="BF536" s="151"/>
      <c r="BG536" s="151"/>
      <c r="BH536" s="151"/>
      <c r="BI536" s="151"/>
    </row>
    <row r="537" spans="1:61" x14ac:dyDescent="0.25">
      <c r="A537" s="149"/>
      <c r="B537" s="149"/>
      <c r="C537" s="149"/>
      <c r="D537" s="149"/>
      <c r="E537" s="150"/>
      <c r="F537" s="150"/>
      <c r="G537" s="149"/>
      <c r="H537" s="149"/>
      <c r="I537" s="149"/>
      <c r="J537" s="150"/>
      <c r="K537" s="150"/>
      <c r="L537" s="149"/>
      <c r="M537" s="149"/>
      <c r="N537" s="149"/>
      <c r="O537" s="150"/>
      <c r="P537" s="150"/>
      <c r="Q537" s="149"/>
      <c r="R537" s="149"/>
      <c r="S537" s="149"/>
      <c r="T537" s="150"/>
      <c r="U537" s="150"/>
      <c r="V537" s="150"/>
      <c r="W537" s="150"/>
      <c r="X537" s="150"/>
      <c r="Y537" s="150"/>
      <c r="Z537" s="150"/>
      <c r="AA537" s="150"/>
      <c r="AB537" s="150"/>
      <c r="AC537" s="149"/>
      <c r="AD537" s="149"/>
      <c r="AE537" s="149"/>
      <c r="AF537" s="150"/>
      <c r="AG537" s="150"/>
      <c r="AH537" s="149"/>
      <c r="AI537" s="149"/>
      <c r="AJ537" s="149"/>
      <c r="AK537" s="150"/>
      <c r="AL537" s="150"/>
      <c r="AM537" s="149"/>
      <c r="AN537" s="149"/>
      <c r="AO537" s="149"/>
      <c r="AP537" s="150"/>
      <c r="AQ537" s="150"/>
      <c r="AR537" s="150"/>
      <c r="AS537" s="150"/>
      <c r="AT537" s="150"/>
      <c r="AU537" s="150"/>
      <c r="AV537" s="150"/>
      <c r="AW537" s="150"/>
      <c r="AX537" s="150"/>
      <c r="AY537" s="151"/>
      <c r="AZ537" s="151"/>
      <c r="BA537" s="151"/>
      <c r="BB537" s="151"/>
      <c r="BC537" s="151"/>
      <c r="BD537" s="151"/>
      <c r="BE537" s="151"/>
      <c r="BF537" s="151"/>
      <c r="BG537" s="151"/>
      <c r="BH537" s="151"/>
      <c r="BI537" s="151"/>
    </row>
    <row r="538" spans="1:61" x14ac:dyDescent="0.25">
      <c r="A538" s="149"/>
      <c r="B538" s="149"/>
      <c r="C538" s="149"/>
      <c r="D538" s="149"/>
      <c r="E538" s="150"/>
      <c r="F538" s="150"/>
      <c r="G538" s="149"/>
      <c r="H538" s="149"/>
      <c r="I538" s="149"/>
      <c r="J538" s="150"/>
      <c r="K538" s="150"/>
      <c r="L538" s="149"/>
      <c r="M538" s="149"/>
      <c r="N538" s="149"/>
      <c r="O538" s="150"/>
      <c r="P538" s="150"/>
      <c r="Q538" s="149"/>
      <c r="R538" s="149"/>
      <c r="S538" s="149"/>
      <c r="T538" s="150"/>
      <c r="U538" s="150"/>
      <c r="V538" s="150"/>
      <c r="W538" s="150"/>
      <c r="X538" s="150"/>
      <c r="Y538" s="150"/>
      <c r="Z538" s="150"/>
      <c r="AA538" s="150"/>
      <c r="AB538" s="150"/>
      <c r="AC538" s="149"/>
      <c r="AD538" s="149"/>
      <c r="AE538" s="149"/>
      <c r="AF538" s="150"/>
      <c r="AG538" s="150"/>
      <c r="AH538" s="149"/>
      <c r="AI538" s="149"/>
      <c r="AJ538" s="149"/>
      <c r="AK538" s="150"/>
      <c r="AL538" s="150"/>
      <c r="AM538" s="149"/>
      <c r="AN538" s="149"/>
      <c r="AO538" s="149"/>
      <c r="AP538" s="150"/>
      <c r="AQ538" s="150"/>
      <c r="AR538" s="150"/>
      <c r="AS538" s="150"/>
      <c r="AT538" s="150"/>
      <c r="AU538" s="150"/>
      <c r="AV538" s="150"/>
      <c r="AW538" s="150"/>
      <c r="AX538" s="150"/>
      <c r="AY538" s="151"/>
      <c r="AZ538" s="151"/>
      <c r="BA538" s="151"/>
      <c r="BB538" s="151"/>
      <c r="BC538" s="151"/>
      <c r="BD538" s="151"/>
      <c r="BE538" s="151"/>
      <c r="BF538" s="151"/>
      <c r="BG538" s="151"/>
      <c r="BH538" s="151"/>
      <c r="BI538" s="151"/>
    </row>
    <row r="539" spans="1:61" x14ac:dyDescent="0.25">
      <c r="A539" s="149"/>
      <c r="B539" s="149"/>
      <c r="C539" s="149"/>
      <c r="D539" s="149"/>
      <c r="E539" s="150"/>
      <c r="F539" s="150"/>
      <c r="G539" s="149"/>
      <c r="H539" s="149"/>
      <c r="I539" s="149"/>
      <c r="J539" s="150"/>
      <c r="K539" s="150"/>
      <c r="L539" s="149"/>
      <c r="M539" s="149"/>
      <c r="N539" s="149"/>
      <c r="O539" s="150"/>
      <c r="P539" s="150"/>
      <c r="Q539" s="149"/>
      <c r="R539" s="149"/>
      <c r="S539" s="149"/>
      <c r="T539" s="150"/>
      <c r="U539" s="150"/>
      <c r="V539" s="150"/>
      <c r="W539" s="150"/>
      <c r="X539" s="150"/>
      <c r="Y539" s="150"/>
      <c r="Z539" s="150"/>
      <c r="AA539" s="150"/>
      <c r="AB539" s="150"/>
      <c r="AC539" s="149"/>
      <c r="AD539" s="149"/>
      <c r="AE539" s="149"/>
      <c r="AF539" s="150"/>
      <c r="AG539" s="150"/>
      <c r="AH539" s="149"/>
      <c r="AI539" s="149"/>
      <c r="AJ539" s="149"/>
      <c r="AK539" s="150"/>
      <c r="AL539" s="150"/>
      <c r="AM539" s="149"/>
      <c r="AN539" s="149"/>
      <c r="AO539" s="149"/>
      <c r="AP539" s="150"/>
      <c r="AQ539" s="150"/>
      <c r="AR539" s="150"/>
      <c r="AS539" s="150"/>
      <c r="AT539" s="150"/>
      <c r="AU539" s="150"/>
      <c r="AV539" s="150"/>
      <c r="AW539" s="150"/>
      <c r="AX539" s="150"/>
      <c r="AY539" s="151"/>
      <c r="AZ539" s="151"/>
      <c r="BA539" s="151"/>
      <c r="BB539" s="151"/>
      <c r="BC539" s="151"/>
      <c r="BD539" s="151"/>
      <c r="BE539" s="151"/>
      <c r="BF539" s="151"/>
      <c r="BG539" s="151"/>
      <c r="BH539" s="151"/>
      <c r="BI539" s="151"/>
    </row>
    <row r="540" spans="1:61" x14ac:dyDescent="0.25">
      <c r="A540" s="149"/>
      <c r="B540" s="149"/>
      <c r="C540" s="149"/>
      <c r="D540" s="149"/>
      <c r="E540" s="150"/>
      <c r="F540" s="150"/>
      <c r="G540" s="149"/>
      <c r="H540" s="149"/>
      <c r="I540" s="149"/>
      <c r="J540" s="150"/>
      <c r="K540" s="150"/>
      <c r="L540" s="149"/>
      <c r="M540" s="149"/>
      <c r="N540" s="149"/>
      <c r="O540" s="150"/>
      <c r="P540" s="150"/>
      <c r="Q540" s="149"/>
      <c r="R540" s="149"/>
      <c r="S540" s="149"/>
      <c r="T540" s="150"/>
      <c r="U540" s="150"/>
      <c r="V540" s="150"/>
      <c r="W540" s="150"/>
      <c r="X540" s="150"/>
      <c r="Y540" s="150"/>
      <c r="Z540" s="150"/>
      <c r="AA540" s="150"/>
      <c r="AB540" s="150"/>
      <c r="AC540" s="149"/>
      <c r="AD540" s="149"/>
      <c r="AE540" s="149"/>
      <c r="AF540" s="150"/>
      <c r="AG540" s="150"/>
      <c r="AH540" s="149"/>
      <c r="AI540" s="149"/>
      <c r="AJ540" s="149"/>
      <c r="AK540" s="150"/>
      <c r="AL540" s="150"/>
      <c r="AM540" s="149"/>
      <c r="AN540" s="149"/>
      <c r="AO540" s="149"/>
      <c r="AP540" s="150"/>
      <c r="AQ540" s="150"/>
      <c r="AR540" s="150"/>
      <c r="AS540" s="150"/>
      <c r="AT540" s="150"/>
      <c r="AU540" s="150"/>
      <c r="AV540" s="150"/>
      <c r="AW540" s="150"/>
      <c r="AX540" s="150"/>
      <c r="AY540" s="151"/>
      <c r="AZ540" s="151"/>
      <c r="BA540" s="151"/>
      <c r="BB540" s="151"/>
      <c r="BC540" s="151"/>
      <c r="BD540" s="151"/>
      <c r="BE540" s="151"/>
      <c r="BF540" s="151"/>
      <c r="BG540" s="151"/>
      <c r="BH540" s="151"/>
      <c r="BI540" s="151"/>
    </row>
    <row r="541" spans="1:61" x14ac:dyDescent="0.25">
      <c r="A541" s="149"/>
      <c r="B541" s="149"/>
      <c r="C541" s="149"/>
      <c r="D541" s="149"/>
      <c r="E541" s="150"/>
      <c r="F541" s="150"/>
      <c r="G541" s="149"/>
      <c r="H541" s="149"/>
      <c r="I541" s="149"/>
      <c r="J541" s="150"/>
      <c r="K541" s="150"/>
      <c r="L541" s="149"/>
      <c r="M541" s="149"/>
      <c r="N541" s="149"/>
      <c r="O541" s="150"/>
      <c r="P541" s="150"/>
      <c r="Q541" s="149"/>
      <c r="R541" s="149"/>
      <c r="S541" s="149"/>
      <c r="T541" s="150"/>
      <c r="U541" s="150"/>
      <c r="V541" s="150"/>
      <c r="W541" s="150"/>
      <c r="X541" s="150"/>
      <c r="Y541" s="150"/>
      <c r="Z541" s="150"/>
      <c r="AA541" s="150"/>
      <c r="AB541" s="150"/>
      <c r="AC541" s="149"/>
      <c r="AD541" s="149"/>
      <c r="AE541" s="149"/>
      <c r="AF541" s="150"/>
      <c r="AG541" s="150"/>
      <c r="AH541" s="149"/>
      <c r="AI541" s="149"/>
      <c r="AJ541" s="149"/>
      <c r="AK541" s="150"/>
      <c r="AL541" s="150"/>
      <c r="AM541" s="149"/>
      <c r="AN541" s="149"/>
      <c r="AO541" s="149"/>
      <c r="AP541" s="150"/>
      <c r="AQ541" s="150"/>
      <c r="AR541" s="150"/>
      <c r="AS541" s="150"/>
      <c r="AT541" s="150"/>
      <c r="AU541" s="150"/>
      <c r="AV541" s="150"/>
      <c r="AW541" s="150"/>
      <c r="AX541" s="150"/>
      <c r="AY541" s="151"/>
      <c r="AZ541" s="151"/>
      <c r="BA541" s="151"/>
      <c r="BB541" s="151"/>
      <c r="BC541" s="151"/>
      <c r="BD541" s="151"/>
      <c r="BE541" s="151"/>
      <c r="BF541" s="151"/>
      <c r="BG541" s="151"/>
      <c r="BH541" s="151"/>
      <c r="BI541" s="151"/>
    </row>
    <row r="542" spans="1:61" x14ac:dyDescent="0.25">
      <c r="A542" s="149"/>
      <c r="B542" s="149"/>
      <c r="C542" s="149"/>
      <c r="D542" s="149"/>
      <c r="E542" s="150"/>
      <c r="F542" s="150"/>
      <c r="G542" s="149"/>
      <c r="H542" s="149"/>
      <c r="I542" s="149"/>
      <c r="J542" s="150"/>
      <c r="K542" s="150"/>
      <c r="L542" s="149"/>
      <c r="M542" s="149"/>
      <c r="N542" s="149"/>
      <c r="O542" s="150"/>
      <c r="P542" s="150"/>
      <c r="Q542" s="149"/>
      <c r="R542" s="149"/>
      <c r="S542" s="149"/>
      <c r="T542" s="150"/>
      <c r="U542" s="150"/>
      <c r="V542" s="150"/>
      <c r="W542" s="150"/>
      <c r="X542" s="150"/>
      <c r="Y542" s="150"/>
      <c r="Z542" s="150"/>
      <c r="AA542" s="150"/>
      <c r="AB542" s="150"/>
      <c r="AC542" s="149"/>
      <c r="AD542" s="149"/>
      <c r="AE542" s="149"/>
      <c r="AF542" s="150"/>
      <c r="AG542" s="150"/>
      <c r="AH542" s="149"/>
      <c r="AI542" s="149"/>
      <c r="AJ542" s="149"/>
      <c r="AK542" s="150"/>
      <c r="AL542" s="150"/>
      <c r="AM542" s="149"/>
      <c r="AN542" s="149"/>
      <c r="AO542" s="149"/>
      <c r="AP542" s="150"/>
      <c r="AQ542" s="150"/>
      <c r="AR542" s="150"/>
      <c r="AS542" s="150"/>
      <c r="AT542" s="150"/>
      <c r="AU542" s="150"/>
      <c r="AV542" s="150"/>
      <c r="AW542" s="150"/>
      <c r="AX542" s="150"/>
      <c r="AY542" s="151"/>
      <c r="AZ542" s="151"/>
      <c r="BA542" s="151"/>
      <c r="BB542" s="151"/>
      <c r="BC542" s="151"/>
      <c r="BD542" s="151"/>
      <c r="BE542" s="151"/>
      <c r="BF542" s="151"/>
      <c r="BG542" s="151"/>
      <c r="BH542" s="151"/>
      <c r="BI542" s="151"/>
    </row>
    <row r="543" spans="1:61" x14ac:dyDescent="0.25">
      <c r="A543" s="149"/>
      <c r="B543" s="149"/>
      <c r="C543" s="149"/>
      <c r="D543" s="149"/>
      <c r="E543" s="150"/>
      <c r="F543" s="150"/>
      <c r="G543" s="149"/>
      <c r="H543" s="149"/>
      <c r="I543" s="149"/>
      <c r="J543" s="150"/>
      <c r="K543" s="150"/>
      <c r="L543" s="149"/>
      <c r="M543" s="149"/>
      <c r="N543" s="149"/>
      <c r="O543" s="150"/>
      <c r="P543" s="150"/>
      <c r="Q543" s="149"/>
      <c r="R543" s="149"/>
      <c r="S543" s="149"/>
      <c r="T543" s="150"/>
      <c r="U543" s="150"/>
      <c r="V543" s="150"/>
      <c r="W543" s="150"/>
      <c r="X543" s="150"/>
      <c r="Y543" s="150"/>
      <c r="Z543" s="150"/>
      <c r="AA543" s="150"/>
      <c r="AB543" s="150"/>
      <c r="AC543" s="149"/>
      <c r="AD543" s="149"/>
      <c r="AE543" s="149"/>
      <c r="AF543" s="150"/>
      <c r="AG543" s="150"/>
      <c r="AH543" s="149"/>
      <c r="AI543" s="149"/>
      <c r="AJ543" s="149"/>
      <c r="AK543" s="150"/>
      <c r="AL543" s="150"/>
      <c r="AM543" s="149"/>
      <c r="AN543" s="149"/>
      <c r="AO543" s="149"/>
      <c r="AP543" s="150"/>
      <c r="AQ543" s="150"/>
      <c r="AR543" s="150"/>
      <c r="AS543" s="150"/>
      <c r="AT543" s="150"/>
      <c r="AU543" s="150"/>
      <c r="AV543" s="150"/>
      <c r="AW543" s="150"/>
      <c r="AX543" s="150"/>
      <c r="AY543" s="151"/>
      <c r="AZ543" s="151"/>
      <c r="BA543" s="151"/>
      <c r="BB543" s="151"/>
      <c r="BC543" s="151"/>
      <c r="BD543" s="151"/>
      <c r="BE543" s="151"/>
      <c r="BF543" s="151"/>
      <c r="BG543" s="151"/>
      <c r="BH543" s="151"/>
      <c r="BI543" s="151"/>
    </row>
    <row r="544" spans="1:61" x14ac:dyDescent="0.25">
      <c r="A544" s="149"/>
      <c r="B544" s="149"/>
      <c r="C544" s="149"/>
      <c r="D544" s="149"/>
      <c r="E544" s="150"/>
      <c r="F544" s="150"/>
      <c r="G544" s="149"/>
      <c r="H544" s="149"/>
      <c r="I544" s="149"/>
      <c r="J544" s="150"/>
      <c r="K544" s="150"/>
      <c r="L544" s="149"/>
      <c r="M544" s="149"/>
      <c r="N544" s="149"/>
      <c r="O544" s="150"/>
      <c r="P544" s="150"/>
      <c r="Q544" s="149"/>
      <c r="R544" s="149"/>
      <c r="S544" s="149"/>
      <c r="T544" s="150"/>
      <c r="U544" s="150"/>
      <c r="V544" s="150"/>
      <c r="W544" s="150"/>
      <c r="X544" s="150"/>
      <c r="Y544" s="150"/>
      <c r="Z544" s="150"/>
      <c r="AA544" s="150"/>
      <c r="AB544" s="150"/>
      <c r="AC544" s="149"/>
      <c r="AD544" s="149"/>
      <c r="AE544" s="149"/>
      <c r="AF544" s="150"/>
      <c r="AG544" s="150"/>
      <c r="AH544" s="149"/>
      <c r="AI544" s="149"/>
      <c r="AJ544" s="149"/>
      <c r="AK544" s="150"/>
      <c r="AL544" s="150"/>
      <c r="AM544" s="149"/>
      <c r="AN544" s="149"/>
      <c r="AO544" s="149"/>
      <c r="AP544" s="150"/>
      <c r="AQ544" s="150"/>
      <c r="AR544" s="150"/>
      <c r="AS544" s="150"/>
      <c r="AT544" s="150"/>
      <c r="AU544" s="150"/>
      <c r="AV544" s="150"/>
      <c r="AW544" s="150"/>
      <c r="AX544" s="150"/>
      <c r="AY544" s="151"/>
      <c r="AZ544" s="151"/>
      <c r="BA544" s="151"/>
      <c r="BB544" s="151"/>
      <c r="BC544" s="151"/>
      <c r="BD544" s="151"/>
      <c r="BE544" s="151"/>
      <c r="BF544" s="151"/>
      <c r="BG544" s="151"/>
      <c r="BH544" s="151"/>
      <c r="BI544" s="151"/>
    </row>
    <row r="545" spans="1:61" x14ac:dyDescent="0.25">
      <c r="A545" s="149"/>
      <c r="B545" s="149"/>
      <c r="C545" s="149"/>
      <c r="D545" s="149"/>
      <c r="E545" s="150"/>
      <c r="F545" s="150"/>
      <c r="G545" s="149"/>
      <c r="H545" s="149"/>
      <c r="I545" s="149"/>
      <c r="J545" s="150"/>
      <c r="K545" s="150"/>
      <c r="L545" s="149"/>
      <c r="M545" s="149"/>
      <c r="N545" s="149"/>
      <c r="O545" s="150"/>
      <c r="P545" s="150"/>
      <c r="Q545" s="149"/>
      <c r="R545" s="149"/>
      <c r="S545" s="149"/>
      <c r="T545" s="150"/>
      <c r="U545" s="150"/>
      <c r="V545" s="150"/>
      <c r="W545" s="150"/>
      <c r="X545" s="150"/>
      <c r="Y545" s="150"/>
      <c r="Z545" s="150"/>
      <c r="AA545" s="150"/>
      <c r="AB545" s="150"/>
      <c r="AC545" s="149"/>
      <c r="AD545" s="149"/>
      <c r="AE545" s="149"/>
      <c r="AF545" s="150"/>
      <c r="AG545" s="150"/>
      <c r="AH545" s="149"/>
      <c r="AI545" s="149"/>
      <c r="AJ545" s="149"/>
      <c r="AK545" s="150"/>
      <c r="AL545" s="150"/>
      <c r="AM545" s="149"/>
      <c r="AN545" s="149"/>
      <c r="AO545" s="149"/>
      <c r="AP545" s="150"/>
      <c r="AQ545" s="150"/>
      <c r="AR545" s="150"/>
      <c r="AS545" s="150"/>
      <c r="AT545" s="150"/>
      <c r="AU545" s="150"/>
      <c r="AV545" s="150"/>
      <c r="AW545" s="150"/>
      <c r="AX545" s="150"/>
      <c r="AY545" s="151"/>
      <c r="AZ545" s="151"/>
      <c r="BA545" s="151"/>
      <c r="BB545" s="151"/>
      <c r="BC545" s="151"/>
      <c r="BD545" s="151"/>
      <c r="BE545" s="151"/>
      <c r="BF545" s="151"/>
      <c r="BG545" s="151"/>
      <c r="BH545" s="151"/>
      <c r="BI545" s="151"/>
    </row>
    <row r="546" spans="1:61" x14ac:dyDescent="0.25">
      <c r="A546" s="149"/>
      <c r="B546" s="149"/>
      <c r="C546" s="149"/>
      <c r="D546" s="149"/>
      <c r="E546" s="150"/>
      <c r="F546" s="150"/>
      <c r="G546" s="149"/>
      <c r="H546" s="149"/>
      <c r="I546" s="149"/>
      <c r="J546" s="150"/>
      <c r="K546" s="150"/>
      <c r="L546" s="149"/>
      <c r="M546" s="149"/>
      <c r="N546" s="149"/>
      <c r="O546" s="150"/>
      <c r="P546" s="150"/>
      <c r="Q546" s="149"/>
      <c r="R546" s="149"/>
      <c r="S546" s="149"/>
      <c r="T546" s="150"/>
      <c r="U546" s="150"/>
      <c r="V546" s="150"/>
      <c r="W546" s="150"/>
      <c r="X546" s="150"/>
      <c r="Y546" s="150"/>
      <c r="Z546" s="150"/>
      <c r="AA546" s="150"/>
      <c r="AB546" s="150"/>
      <c r="AC546" s="149"/>
      <c r="AD546" s="149"/>
      <c r="AE546" s="149"/>
      <c r="AF546" s="150"/>
      <c r="AG546" s="150"/>
      <c r="AH546" s="149"/>
      <c r="AI546" s="149"/>
      <c r="AJ546" s="149"/>
      <c r="AK546" s="150"/>
      <c r="AL546" s="150"/>
      <c r="AM546" s="149"/>
      <c r="AN546" s="149"/>
      <c r="AO546" s="149"/>
      <c r="AP546" s="150"/>
      <c r="AQ546" s="150"/>
      <c r="AR546" s="150"/>
      <c r="AS546" s="150"/>
      <c r="AT546" s="150"/>
      <c r="AU546" s="150"/>
      <c r="AV546" s="150"/>
      <c r="AW546" s="150"/>
      <c r="AX546" s="150"/>
      <c r="AY546" s="151"/>
      <c r="AZ546" s="151"/>
      <c r="BA546" s="151"/>
      <c r="BB546" s="151"/>
      <c r="BC546" s="151"/>
      <c r="BD546" s="151"/>
      <c r="BE546" s="151"/>
      <c r="BF546" s="151"/>
      <c r="BG546" s="151"/>
      <c r="BH546" s="151"/>
      <c r="BI546" s="151"/>
    </row>
    <row r="547" spans="1:61" x14ac:dyDescent="0.25">
      <c r="A547" s="149"/>
      <c r="B547" s="149"/>
      <c r="C547" s="149"/>
      <c r="D547" s="149"/>
      <c r="E547" s="150"/>
      <c r="F547" s="150"/>
      <c r="G547" s="149"/>
      <c r="H547" s="149"/>
      <c r="I547" s="149"/>
      <c r="J547" s="150"/>
      <c r="K547" s="150"/>
      <c r="L547" s="149"/>
      <c r="M547" s="149"/>
      <c r="N547" s="149"/>
      <c r="O547" s="150"/>
      <c r="P547" s="150"/>
      <c r="Q547" s="149"/>
      <c r="R547" s="149"/>
      <c r="S547" s="149"/>
      <c r="T547" s="150"/>
      <c r="U547" s="150"/>
      <c r="V547" s="150"/>
      <c r="W547" s="150"/>
      <c r="X547" s="150"/>
      <c r="Y547" s="150"/>
      <c r="Z547" s="150"/>
      <c r="AA547" s="150"/>
      <c r="AB547" s="150"/>
      <c r="AC547" s="149"/>
      <c r="AD547" s="149"/>
      <c r="AE547" s="149"/>
      <c r="AF547" s="150"/>
      <c r="AG547" s="150"/>
      <c r="AH547" s="149"/>
      <c r="AI547" s="149"/>
      <c r="AJ547" s="149"/>
      <c r="AK547" s="150"/>
      <c r="AL547" s="150"/>
      <c r="AM547" s="149"/>
      <c r="AN547" s="149"/>
      <c r="AO547" s="149"/>
      <c r="AP547" s="150"/>
      <c r="AQ547" s="150"/>
      <c r="AR547" s="150"/>
      <c r="AS547" s="150"/>
      <c r="AT547" s="150"/>
      <c r="AU547" s="150"/>
      <c r="AV547" s="150"/>
      <c r="AW547" s="150"/>
      <c r="AX547" s="150"/>
      <c r="AY547" s="151"/>
      <c r="AZ547" s="151"/>
      <c r="BA547" s="151"/>
      <c r="BB547" s="151"/>
      <c r="BC547" s="151"/>
      <c r="BD547" s="151"/>
      <c r="BE547" s="151"/>
      <c r="BF547" s="151"/>
      <c r="BG547" s="151"/>
      <c r="BH547" s="151"/>
      <c r="BI547" s="151"/>
    </row>
    <row r="548" spans="1:61" x14ac:dyDescent="0.25">
      <c r="A548" s="149"/>
      <c r="B548" s="149"/>
      <c r="C548" s="149"/>
      <c r="D548" s="149"/>
      <c r="E548" s="150"/>
      <c r="F548" s="150"/>
      <c r="G548" s="149"/>
      <c r="H548" s="149"/>
      <c r="I548" s="149"/>
      <c r="J548" s="150"/>
      <c r="K548" s="150"/>
      <c r="L548" s="149"/>
      <c r="M548" s="149"/>
      <c r="N548" s="149"/>
      <c r="O548" s="150"/>
      <c r="P548" s="150"/>
      <c r="Q548" s="149"/>
      <c r="R548" s="149"/>
      <c r="S548" s="149"/>
      <c r="T548" s="150"/>
      <c r="U548" s="150"/>
      <c r="V548" s="150"/>
      <c r="W548" s="150"/>
      <c r="X548" s="150"/>
      <c r="Y548" s="150"/>
      <c r="Z548" s="150"/>
      <c r="AA548" s="150"/>
      <c r="AB548" s="150"/>
      <c r="AC548" s="149"/>
      <c r="AD548" s="149"/>
      <c r="AE548" s="149"/>
      <c r="AF548" s="150"/>
      <c r="AG548" s="150"/>
      <c r="AH548" s="149"/>
      <c r="AI548" s="149"/>
      <c r="AJ548" s="149"/>
      <c r="AK548" s="150"/>
      <c r="AL548" s="150"/>
      <c r="AM548" s="149"/>
      <c r="AN548" s="149"/>
      <c r="AO548" s="149"/>
      <c r="AP548" s="150"/>
      <c r="AQ548" s="150"/>
      <c r="AR548" s="150"/>
      <c r="AS548" s="150"/>
      <c r="AT548" s="150"/>
      <c r="AU548" s="150"/>
      <c r="AV548" s="150"/>
      <c r="AW548" s="150"/>
      <c r="AX548" s="150"/>
      <c r="AY548" s="151"/>
      <c r="AZ548" s="151"/>
      <c r="BA548" s="151"/>
      <c r="BB548" s="151"/>
      <c r="BC548" s="151"/>
      <c r="BD548" s="151"/>
      <c r="BE548" s="151"/>
      <c r="BF548" s="151"/>
      <c r="BG548" s="151"/>
      <c r="BH548" s="151"/>
      <c r="BI548" s="151"/>
    </row>
    <row r="549" spans="1:61" x14ac:dyDescent="0.25">
      <c r="A549" s="149"/>
      <c r="B549" s="149"/>
      <c r="C549" s="149"/>
      <c r="D549" s="149"/>
      <c r="E549" s="150"/>
      <c r="F549" s="150"/>
      <c r="G549" s="149"/>
      <c r="H549" s="149"/>
      <c r="I549" s="149"/>
      <c r="J549" s="150"/>
      <c r="K549" s="150"/>
      <c r="L549" s="149"/>
      <c r="M549" s="149"/>
      <c r="N549" s="149"/>
      <c r="O549" s="150"/>
      <c r="P549" s="150"/>
      <c r="Q549" s="149"/>
      <c r="R549" s="149"/>
      <c r="S549" s="149"/>
      <c r="T549" s="150"/>
      <c r="U549" s="150"/>
      <c r="V549" s="150"/>
      <c r="W549" s="150"/>
      <c r="X549" s="150"/>
      <c r="Y549" s="150"/>
      <c r="Z549" s="150"/>
      <c r="AA549" s="150"/>
      <c r="AB549" s="150"/>
      <c r="AC549" s="149"/>
      <c r="AD549" s="149"/>
      <c r="AE549" s="149"/>
      <c r="AF549" s="150"/>
      <c r="AG549" s="150"/>
      <c r="AH549" s="149"/>
      <c r="AI549" s="149"/>
      <c r="AJ549" s="149"/>
      <c r="AK549" s="150"/>
      <c r="AL549" s="150"/>
      <c r="AM549" s="149"/>
      <c r="AN549" s="149"/>
      <c r="AO549" s="149"/>
      <c r="AP549" s="150"/>
      <c r="AQ549" s="150"/>
      <c r="AR549" s="150"/>
      <c r="AS549" s="150"/>
      <c r="AT549" s="150"/>
      <c r="AU549" s="150"/>
      <c r="AV549" s="150"/>
      <c r="AW549" s="150"/>
      <c r="AX549" s="150"/>
      <c r="AY549" s="151"/>
      <c r="AZ549" s="151"/>
      <c r="BA549" s="151"/>
      <c r="BB549" s="151"/>
      <c r="BC549" s="151"/>
      <c r="BD549" s="151"/>
      <c r="BE549" s="151"/>
      <c r="BF549" s="151"/>
      <c r="BG549" s="151"/>
      <c r="BH549" s="151"/>
      <c r="BI549" s="151"/>
    </row>
    <row r="550" spans="1:61" x14ac:dyDescent="0.25">
      <c r="A550" s="149"/>
      <c r="B550" s="149"/>
      <c r="C550" s="149"/>
      <c r="D550" s="149"/>
      <c r="E550" s="150"/>
      <c r="F550" s="150"/>
      <c r="G550" s="149"/>
      <c r="H550" s="149"/>
      <c r="I550" s="149"/>
      <c r="J550" s="150"/>
      <c r="K550" s="150"/>
      <c r="L550" s="149"/>
      <c r="M550" s="149"/>
      <c r="N550" s="149"/>
      <c r="O550" s="150"/>
      <c r="P550" s="150"/>
      <c r="Q550" s="149"/>
      <c r="R550" s="149"/>
      <c r="S550" s="149"/>
      <c r="T550" s="150"/>
      <c r="U550" s="150"/>
      <c r="V550" s="150"/>
      <c r="W550" s="150"/>
      <c r="X550" s="150"/>
      <c r="Y550" s="150"/>
      <c r="Z550" s="150"/>
      <c r="AA550" s="150"/>
      <c r="AB550" s="150"/>
      <c r="AC550" s="149"/>
      <c r="AD550" s="149"/>
      <c r="AE550" s="149"/>
      <c r="AF550" s="150"/>
      <c r="AG550" s="150"/>
      <c r="AH550" s="149"/>
      <c r="AI550" s="149"/>
      <c r="AJ550" s="149"/>
      <c r="AK550" s="150"/>
      <c r="AL550" s="150"/>
      <c r="AM550" s="149"/>
      <c r="AN550" s="149"/>
      <c r="AO550" s="149"/>
      <c r="AP550" s="150"/>
      <c r="AQ550" s="150"/>
      <c r="AR550" s="150"/>
      <c r="AS550" s="150"/>
      <c r="AT550" s="150"/>
      <c r="AU550" s="150"/>
      <c r="AV550" s="150"/>
      <c r="AW550" s="150"/>
      <c r="AX550" s="150"/>
      <c r="AY550" s="151"/>
      <c r="AZ550" s="151"/>
      <c r="BA550" s="151"/>
      <c r="BB550" s="151"/>
      <c r="BC550" s="151"/>
      <c r="BD550" s="151"/>
      <c r="BE550" s="151"/>
      <c r="BF550" s="151"/>
      <c r="BG550" s="151"/>
      <c r="BH550" s="151"/>
      <c r="BI550" s="151"/>
    </row>
    <row r="551" spans="1:61" x14ac:dyDescent="0.25">
      <c r="A551" s="149"/>
      <c r="B551" s="149"/>
      <c r="C551" s="149"/>
      <c r="D551" s="149"/>
      <c r="E551" s="150"/>
      <c r="F551" s="150"/>
      <c r="G551" s="149"/>
      <c r="H551" s="149"/>
      <c r="I551" s="149"/>
      <c r="J551" s="150"/>
      <c r="K551" s="150"/>
      <c r="L551" s="149"/>
      <c r="M551" s="149"/>
      <c r="N551" s="149"/>
      <c r="O551" s="150"/>
      <c r="P551" s="150"/>
      <c r="Q551" s="149"/>
      <c r="R551" s="149"/>
      <c r="S551" s="149"/>
      <c r="T551" s="150"/>
      <c r="U551" s="150"/>
      <c r="V551" s="150"/>
      <c r="W551" s="150"/>
      <c r="X551" s="150"/>
      <c r="Y551" s="150"/>
      <c r="Z551" s="150"/>
      <c r="AA551" s="150"/>
      <c r="AB551" s="150"/>
      <c r="AC551" s="149"/>
      <c r="AD551" s="149"/>
      <c r="AE551" s="149"/>
      <c r="AF551" s="150"/>
      <c r="AG551" s="150"/>
      <c r="AH551" s="149"/>
      <c r="AI551" s="149"/>
      <c r="AJ551" s="149"/>
      <c r="AK551" s="150"/>
      <c r="AL551" s="150"/>
      <c r="AM551" s="149"/>
      <c r="AN551" s="149"/>
      <c r="AO551" s="149"/>
      <c r="AP551" s="150"/>
      <c r="AQ551" s="150"/>
      <c r="AR551" s="150"/>
      <c r="AS551" s="150"/>
      <c r="AT551" s="150"/>
      <c r="AU551" s="150"/>
      <c r="AV551" s="150"/>
      <c r="AW551" s="150"/>
      <c r="AX551" s="150"/>
      <c r="AY551" s="151"/>
      <c r="AZ551" s="151"/>
      <c r="BA551" s="151"/>
      <c r="BB551" s="151"/>
      <c r="BC551" s="151"/>
      <c r="BD551" s="151"/>
      <c r="BE551" s="151"/>
      <c r="BF551" s="151"/>
      <c r="BG551" s="151"/>
      <c r="BH551" s="151"/>
      <c r="BI551" s="151"/>
    </row>
    <row r="552" spans="1:61" x14ac:dyDescent="0.25">
      <c r="A552" s="149"/>
      <c r="B552" s="149"/>
      <c r="C552" s="149"/>
      <c r="D552" s="149"/>
      <c r="E552" s="150"/>
      <c r="F552" s="150"/>
      <c r="G552" s="149"/>
      <c r="H552" s="149"/>
      <c r="I552" s="149"/>
      <c r="J552" s="150"/>
      <c r="K552" s="150"/>
      <c r="L552" s="149"/>
      <c r="M552" s="149"/>
      <c r="N552" s="149"/>
      <c r="O552" s="150"/>
      <c r="P552" s="150"/>
      <c r="Q552" s="149"/>
      <c r="R552" s="149"/>
      <c r="S552" s="149"/>
      <c r="T552" s="150"/>
      <c r="U552" s="150"/>
      <c r="V552" s="150"/>
      <c r="W552" s="150"/>
      <c r="X552" s="150"/>
      <c r="Y552" s="150"/>
      <c r="Z552" s="150"/>
      <c r="AA552" s="150"/>
      <c r="AB552" s="150"/>
      <c r="AC552" s="149"/>
      <c r="AD552" s="149"/>
      <c r="AE552" s="149"/>
      <c r="AF552" s="150"/>
      <c r="AG552" s="150"/>
      <c r="AH552" s="149"/>
      <c r="AI552" s="149"/>
      <c r="AJ552" s="149"/>
      <c r="AK552" s="150"/>
      <c r="AL552" s="150"/>
      <c r="AM552" s="149"/>
      <c r="AN552" s="149"/>
      <c r="AO552" s="149"/>
      <c r="AP552" s="150"/>
      <c r="AQ552" s="150"/>
      <c r="AR552" s="150"/>
      <c r="AS552" s="150"/>
      <c r="AT552" s="150"/>
      <c r="AU552" s="150"/>
      <c r="AV552" s="150"/>
      <c r="AW552" s="150"/>
      <c r="AX552" s="150"/>
      <c r="AY552" s="151"/>
      <c r="AZ552" s="151"/>
      <c r="BA552" s="151"/>
      <c r="BB552" s="151"/>
      <c r="BC552" s="151"/>
      <c r="BD552" s="151"/>
      <c r="BE552" s="151"/>
      <c r="BF552" s="151"/>
      <c r="BG552" s="151"/>
      <c r="BH552" s="151"/>
      <c r="BI552" s="151"/>
    </row>
    <row r="553" spans="1:61" x14ac:dyDescent="0.25">
      <c r="A553" s="149"/>
      <c r="B553" s="149"/>
      <c r="C553" s="149"/>
      <c r="D553" s="149"/>
      <c r="E553" s="150"/>
      <c r="F553" s="150"/>
      <c r="G553" s="149"/>
      <c r="H553" s="149"/>
      <c r="I553" s="149"/>
      <c r="J553" s="150"/>
      <c r="K553" s="150"/>
      <c r="L553" s="149"/>
      <c r="M553" s="149"/>
      <c r="N553" s="149"/>
      <c r="O553" s="150"/>
      <c r="P553" s="150"/>
      <c r="Q553" s="149"/>
      <c r="R553" s="149"/>
      <c r="S553" s="149"/>
      <c r="T553" s="150"/>
      <c r="U553" s="150"/>
      <c r="V553" s="150"/>
      <c r="W553" s="150"/>
      <c r="X553" s="150"/>
      <c r="Y553" s="150"/>
      <c r="Z553" s="150"/>
      <c r="AA553" s="150"/>
      <c r="AB553" s="150"/>
      <c r="AC553" s="149"/>
      <c r="AD553" s="149"/>
      <c r="AE553" s="149"/>
      <c r="AF553" s="150"/>
      <c r="AG553" s="150"/>
      <c r="AH553" s="149"/>
      <c r="AI553" s="149"/>
      <c r="AJ553" s="149"/>
      <c r="AK553" s="150"/>
      <c r="AL553" s="150"/>
      <c r="AM553" s="149"/>
      <c r="AN553" s="149"/>
      <c r="AO553" s="149"/>
      <c r="AP553" s="150"/>
      <c r="AQ553" s="150"/>
      <c r="AR553" s="150"/>
      <c r="AS553" s="150"/>
      <c r="AT553" s="150"/>
      <c r="AU553" s="150"/>
      <c r="AV553" s="150"/>
      <c r="AW553" s="150"/>
      <c r="AX553" s="150"/>
      <c r="AY553" s="151"/>
      <c r="AZ553" s="151"/>
      <c r="BA553" s="151"/>
      <c r="BB553" s="151"/>
      <c r="BC553" s="151"/>
      <c r="BD553" s="151"/>
      <c r="BE553" s="151"/>
      <c r="BF553" s="151"/>
      <c r="BG553" s="151"/>
      <c r="BH553" s="151"/>
      <c r="BI553" s="151"/>
    </row>
    <row r="554" spans="1:61" x14ac:dyDescent="0.25">
      <c r="A554" s="149"/>
      <c r="B554" s="149"/>
      <c r="C554" s="149"/>
      <c r="D554" s="149"/>
      <c r="E554" s="150"/>
      <c r="F554" s="150"/>
      <c r="G554" s="149"/>
      <c r="H554" s="149"/>
      <c r="I554" s="149"/>
      <c r="J554" s="150"/>
      <c r="K554" s="150"/>
      <c r="L554" s="149"/>
      <c r="M554" s="149"/>
      <c r="N554" s="149"/>
      <c r="O554" s="150"/>
      <c r="P554" s="150"/>
      <c r="Q554" s="149"/>
      <c r="R554" s="149"/>
      <c r="S554" s="149"/>
      <c r="T554" s="150"/>
      <c r="U554" s="150"/>
      <c r="V554" s="150"/>
      <c r="W554" s="150"/>
      <c r="X554" s="150"/>
      <c r="Y554" s="150"/>
      <c r="Z554" s="150"/>
      <c r="AA554" s="150"/>
      <c r="AB554" s="150"/>
      <c r="AC554" s="149"/>
      <c r="AD554" s="149"/>
      <c r="AE554" s="149"/>
      <c r="AF554" s="150"/>
      <c r="AG554" s="150"/>
      <c r="AH554" s="149"/>
      <c r="AI554" s="149"/>
      <c r="AJ554" s="149"/>
      <c r="AK554" s="150"/>
      <c r="AL554" s="150"/>
      <c r="AM554" s="149"/>
      <c r="AN554" s="149"/>
      <c r="AO554" s="149"/>
      <c r="AP554" s="150"/>
      <c r="AQ554" s="150"/>
      <c r="AR554" s="150"/>
      <c r="AS554" s="150"/>
      <c r="AT554" s="150"/>
      <c r="AU554" s="150"/>
      <c r="AV554" s="150"/>
      <c r="AW554" s="150"/>
      <c r="AX554" s="150"/>
      <c r="AY554" s="151"/>
      <c r="AZ554" s="151"/>
      <c r="BA554" s="151"/>
      <c r="BB554" s="151"/>
      <c r="BC554" s="151"/>
      <c r="BD554" s="151"/>
      <c r="BE554" s="151"/>
      <c r="BF554" s="151"/>
      <c r="BG554" s="151"/>
      <c r="BH554" s="151"/>
      <c r="BI554" s="151"/>
    </row>
    <row r="555" spans="1:61" x14ac:dyDescent="0.25">
      <c r="A555" s="149"/>
      <c r="B555" s="149"/>
      <c r="C555" s="149"/>
      <c r="D555" s="149"/>
      <c r="E555" s="150"/>
      <c r="F555" s="150"/>
      <c r="G555" s="149"/>
      <c r="H555" s="149"/>
      <c r="I555" s="149"/>
      <c r="J555" s="150"/>
      <c r="K555" s="150"/>
      <c r="L555" s="149"/>
      <c r="M555" s="149"/>
      <c r="N555" s="149"/>
      <c r="O555" s="150"/>
      <c r="P555" s="150"/>
      <c r="Q555" s="149"/>
      <c r="R555" s="149"/>
      <c r="S555" s="149"/>
      <c r="T555" s="150"/>
      <c r="U555" s="150"/>
      <c r="V555" s="150"/>
      <c r="W555" s="150"/>
      <c r="X555" s="150"/>
      <c r="Y555" s="150"/>
      <c r="Z555" s="150"/>
      <c r="AA555" s="150"/>
      <c r="AB555" s="150"/>
      <c r="AC555" s="149"/>
      <c r="AD555" s="149"/>
      <c r="AE555" s="149"/>
      <c r="AF555" s="150"/>
      <c r="AG555" s="150"/>
      <c r="AH555" s="149"/>
      <c r="AI555" s="149"/>
      <c r="AJ555" s="149"/>
      <c r="AK555" s="150"/>
      <c r="AL555" s="150"/>
      <c r="AM555" s="149"/>
      <c r="AN555" s="149"/>
      <c r="AO555" s="149"/>
      <c r="AP555" s="150"/>
      <c r="AQ555" s="150"/>
      <c r="AR555" s="150"/>
      <c r="AS555" s="150"/>
      <c r="AT555" s="150"/>
      <c r="AU555" s="150"/>
      <c r="AV555" s="150"/>
      <c r="AW555" s="150"/>
      <c r="AX555" s="150"/>
      <c r="AY555" s="151"/>
      <c r="AZ555" s="151"/>
      <c r="BA555" s="151"/>
      <c r="BB555" s="151"/>
      <c r="BC555" s="151"/>
      <c r="BD555" s="151"/>
      <c r="BE555" s="151"/>
      <c r="BF555" s="151"/>
      <c r="BG555" s="151"/>
      <c r="BH555" s="151"/>
      <c r="BI555" s="151"/>
    </row>
    <row r="556" spans="1:61" x14ac:dyDescent="0.25">
      <c r="A556" s="149"/>
      <c r="B556" s="149"/>
      <c r="C556" s="149"/>
      <c r="D556" s="149"/>
      <c r="E556" s="150"/>
      <c r="F556" s="150"/>
      <c r="G556" s="149"/>
      <c r="H556" s="149"/>
      <c r="I556" s="149"/>
      <c r="J556" s="150"/>
      <c r="K556" s="150"/>
      <c r="L556" s="149"/>
      <c r="M556" s="149"/>
      <c r="N556" s="149"/>
      <c r="O556" s="150"/>
      <c r="P556" s="150"/>
      <c r="Q556" s="149"/>
      <c r="R556" s="149"/>
      <c r="S556" s="149"/>
      <c r="T556" s="150"/>
      <c r="U556" s="150"/>
      <c r="V556" s="150"/>
      <c r="W556" s="150"/>
      <c r="X556" s="150"/>
      <c r="Y556" s="150"/>
      <c r="Z556" s="150"/>
      <c r="AA556" s="150"/>
      <c r="AB556" s="150"/>
      <c r="AC556" s="149"/>
      <c r="AD556" s="149"/>
      <c r="AE556" s="149"/>
      <c r="AF556" s="150"/>
      <c r="AG556" s="150"/>
      <c r="AH556" s="149"/>
      <c r="AI556" s="149"/>
      <c r="AJ556" s="149"/>
      <c r="AK556" s="150"/>
      <c r="AL556" s="150"/>
      <c r="AM556" s="149"/>
      <c r="AN556" s="149"/>
      <c r="AO556" s="149"/>
      <c r="AP556" s="150"/>
      <c r="AQ556" s="150"/>
      <c r="AR556" s="150"/>
      <c r="AS556" s="150"/>
      <c r="AT556" s="150"/>
      <c r="AU556" s="150"/>
      <c r="AV556" s="150"/>
      <c r="AW556" s="150"/>
      <c r="AX556" s="150"/>
      <c r="AY556" s="151"/>
      <c r="AZ556" s="151"/>
      <c r="BA556" s="151"/>
      <c r="BB556" s="151"/>
      <c r="BC556" s="151"/>
      <c r="BD556" s="151"/>
      <c r="BE556" s="151"/>
      <c r="BF556" s="151"/>
      <c r="BG556" s="151"/>
      <c r="BH556" s="151"/>
      <c r="BI556" s="151"/>
    </row>
    <row r="557" spans="1:61" x14ac:dyDescent="0.25">
      <c r="A557" s="149"/>
      <c r="B557" s="149"/>
      <c r="C557" s="149"/>
      <c r="D557" s="149"/>
      <c r="E557" s="150"/>
      <c r="F557" s="150"/>
      <c r="G557" s="149"/>
      <c r="H557" s="149"/>
      <c r="I557" s="149"/>
      <c r="J557" s="150"/>
      <c r="K557" s="150"/>
      <c r="L557" s="149"/>
      <c r="M557" s="149"/>
      <c r="N557" s="149"/>
      <c r="O557" s="150"/>
      <c r="P557" s="150"/>
      <c r="Q557" s="149"/>
      <c r="R557" s="149"/>
      <c r="S557" s="149"/>
      <c r="T557" s="150"/>
      <c r="U557" s="150"/>
      <c r="V557" s="150"/>
      <c r="W557" s="150"/>
      <c r="X557" s="150"/>
      <c r="Y557" s="150"/>
      <c r="Z557" s="150"/>
      <c r="AA557" s="150"/>
      <c r="AB557" s="150"/>
      <c r="AC557" s="149"/>
      <c r="AD557" s="149"/>
      <c r="AE557" s="149"/>
      <c r="AF557" s="150"/>
      <c r="AG557" s="150"/>
      <c r="AH557" s="149"/>
      <c r="AI557" s="149"/>
      <c r="AJ557" s="149"/>
      <c r="AK557" s="150"/>
      <c r="AL557" s="150"/>
      <c r="AM557" s="149"/>
      <c r="AN557" s="149"/>
      <c r="AO557" s="149"/>
      <c r="AP557" s="150"/>
      <c r="AQ557" s="150"/>
      <c r="AR557" s="150"/>
      <c r="AS557" s="150"/>
      <c r="AT557" s="150"/>
      <c r="AU557" s="150"/>
      <c r="AV557" s="150"/>
      <c r="AW557" s="150"/>
      <c r="AX557" s="150"/>
      <c r="AY557" s="151"/>
      <c r="AZ557" s="151"/>
      <c r="BA557" s="151"/>
      <c r="BB557" s="151"/>
      <c r="BC557" s="151"/>
      <c r="BD557" s="151"/>
      <c r="BE557" s="151"/>
      <c r="BF557" s="151"/>
      <c r="BG557" s="151"/>
      <c r="BH557" s="151"/>
      <c r="BI557" s="151"/>
    </row>
    <row r="558" spans="1:61" x14ac:dyDescent="0.25">
      <c r="A558" s="149"/>
      <c r="B558" s="149"/>
      <c r="C558" s="149"/>
      <c r="D558" s="149"/>
      <c r="E558" s="150"/>
      <c r="F558" s="150"/>
      <c r="G558" s="149"/>
      <c r="H558" s="149"/>
      <c r="I558" s="149"/>
      <c r="J558" s="150"/>
      <c r="K558" s="150"/>
      <c r="L558" s="149"/>
      <c r="M558" s="149"/>
      <c r="N558" s="149"/>
      <c r="O558" s="150"/>
      <c r="P558" s="150"/>
      <c r="Q558" s="149"/>
      <c r="R558" s="149"/>
      <c r="S558" s="149"/>
      <c r="T558" s="150"/>
      <c r="U558" s="150"/>
      <c r="V558" s="150"/>
      <c r="W558" s="150"/>
      <c r="X558" s="150"/>
      <c r="Y558" s="150"/>
      <c r="Z558" s="150"/>
      <c r="AA558" s="150"/>
      <c r="AB558" s="150"/>
      <c r="AC558" s="149"/>
      <c r="AD558" s="149"/>
      <c r="AE558" s="149"/>
      <c r="AF558" s="150"/>
      <c r="AG558" s="150"/>
      <c r="AH558" s="149"/>
      <c r="AI558" s="149"/>
      <c r="AJ558" s="149"/>
      <c r="AK558" s="150"/>
      <c r="AL558" s="150"/>
      <c r="AM558" s="149"/>
      <c r="AN558" s="149"/>
      <c r="AO558" s="149"/>
      <c r="AP558" s="150"/>
      <c r="AQ558" s="150"/>
      <c r="AR558" s="150"/>
      <c r="AS558" s="150"/>
      <c r="AT558" s="150"/>
      <c r="AU558" s="150"/>
      <c r="AV558" s="150"/>
      <c r="AW558" s="150"/>
      <c r="AX558" s="150"/>
      <c r="AY558" s="151"/>
      <c r="AZ558" s="151"/>
      <c r="BA558" s="151"/>
      <c r="BB558" s="151"/>
      <c r="BC558" s="151"/>
      <c r="BD558" s="151"/>
      <c r="BE558" s="151"/>
      <c r="BF558" s="151"/>
      <c r="BG558" s="151"/>
      <c r="BH558" s="151"/>
      <c r="BI558" s="151"/>
    </row>
    <row r="559" spans="1:61" x14ac:dyDescent="0.25">
      <c r="A559" s="149"/>
      <c r="B559" s="149"/>
      <c r="C559" s="149"/>
      <c r="D559" s="149"/>
      <c r="E559" s="150"/>
      <c r="F559" s="150"/>
      <c r="G559" s="149"/>
      <c r="H559" s="149"/>
      <c r="I559" s="149"/>
      <c r="J559" s="150"/>
      <c r="K559" s="150"/>
      <c r="L559" s="149"/>
      <c r="M559" s="149"/>
      <c r="N559" s="149"/>
      <c r="O559" s="150"/>
      <c r="P559" s="150"/>
      <c r="Q559" s="149"/>
      <c r="R559" s="149"/>
      <c r="S559" s="149"/>
      <c r="T559" s="150"/>
      <c r="U559" s="150"/>
      <c r="V559" s="150"/>
      <c r="W559" s="150"/>
      <c r="X559" s="150"/>
      <c r="Y559" s="150"/>
      <c r="Z559" s="150"/>
      <c r="AA559" s="150"/>
      <c r="AB559" s="150"/>
      <c r="AC559" s="149"/>
      <c r="AD559" s="149"/>
      <c r="AE559" s="149"/>
      <c r="AF559" s="150"/>
      <c r="AG559" s="150"/>
      <c r="AH559" s="149"/>
      <c r="AI559" s="149"/>
      <c r="AJ559" s="149"/>
      <c r="AK559" s="150"/>
      <c r="AL559" s="150"/>
      <c r="AM559" s="149"/>
      <c r="AN559" s="149"/>
      <c r="AO559" s="149"/>
      <c r="AP559" s="150"/>
      <c r="AQ559" s="150"/>
      <c r="AR559" s="150"/>
      <c r="AS559" s="150"/>
      <c r="AT559" s="150"/>
      <c r="AU559" s="150"/>
      <c r="AV559" s="150"/>
      <c r="AW559" s="150"/>
      <c r="AX559" s="150"/>
      <c r="AY559" s="151"/>
      <c r="AZ559" s="151"/>
      <c r="BA559" s="151"/>
      <c r="BB559" s="151"/>
      <c r="BC559" s="151"/>
      <c r="BD559" s="151"/>
      <c r="BE559" s="151"/>
      <c r="BF559" s="151"/>
      <c r="BG559" s="151"/>
      <c r="BH559" s="151"/>
      <c r="BI559" s="151"/>
    </row>
    <row r="560" spans="1:61" x14ac:dyDescent="0.25">
      <c r="A560" s="149"/>
      <c r="B560" s="149"/>
      <c r="C560" s="149"/>
      <c r="D560" s="149"/>
      <c r="E560" s="150"/>
      <c r="F560" s="150"/>
      <c r="G560" s="149"/>
      <c r="H560" s="149"/>
      <c r="I560" s="149"/>
      <c r="J560" s="150"/>
      <c r="K560" s="150"/>
      <c r="L560" s="149"/>
      <c r="M560" s="149"/>
      <c r="N560" s="149"/>
      <c r="O560" s="150"/>
      <c r="P560" s="150"/>
      <c r="Q560" s="149"/>
      <c r="R560" s="149"/>
      <c r="S560" s="149"/>
      <c r="T560" s="150"/>
      <c r="U560" s="150"/>
      <c r="V560" s="150"/>
      <c r="W560" s="150"/>
      <c r="X560" s="150"/>
      <c r="Y560" s="150"/>
      <c r="Z560" s="150"/>
      <c r="AA560" s="150"/>
      <c r="AB560" s="150"/>
      <c r="AC560" s="149"/>
      <c r="AD560" s="149"/>
      <c r="AE560" s="149"/>
      <c r="AF560" s="150"/>
      <c r="AG560" s="150"/>
      <c r="AH560" s="149"/>
      <c r="AI560" s="149"/>
      <c r="AJ560" s="149"/>
      <c r="AK560" s="150"/>
      <c r="AL560" s="150"/>
      <c r="AM560" s="149"/>
      <c r="AN560" s="149"/>
      <c r="AO560" s="149"/>
      <c r="AP560" s="150"/>
      <c r="AQ560" s="150"/>
      <c r="AR560" s="150"/>
      <c r="AS560" s="150"/>
      <c r="AT560" s="150"/>
      <c r="AU560" s="150"/>
      <c r="AV560" s="150"/>
      <c r="AW560" s="150"/>
      <c r="AX560" s="150"/>
      <c r="AY560" s="151"/>
      <c r="AZ560" s="151"/>
      <c r="BA560" s="151"/>
      <c r="BB560" s="151"/>
      <c r="BC560" s="151"/>
      <c r="BD560" s="151"/>
      <c r="BE560" s="151"/>
      <c r="BF560" s="151"/>
      <c r="BG560" s="151"/>
      <c r="BH560" s="151"/>
      <c r="BI560" s="151"/>
    </row>
    <row r="561" spans="1:61" x14ac:dyDescent="0.25">
      <c r="A561" s="149"/>
      <c r="B561" s="149"/>
      <c r="C561" s="149"/>
      <c r="D561" s="149"/>
      <c r="E561" s="150"/>
      <c r="F561" s="150"/>
      <c r="G561" s="149"/>
      <c r="H561" s="149"/>
      <c r="I561" s="149"/>
      <c r="J561" s="150"/>
      <c r="K561" s="150"/>
      <c r="L561" s="149"/>
      <c r="M561" s="149"/>
      <c r="N561" s="149"/>
      <c r="O561" s="150"/>
      <c r="P561" s="150"/>
      <c r="Q561" s="149"/>
      <c r="R561" s="149"/>
      <c r="S561" s="149"/>
      <c r="T561" s="150"/>
      <c r="U561" s="150"/>
      <c r="V561" s="150"/>
      <c r="W561" s="150"/>
      <c r="X561" s="150"/>
      <c r="Y561" s="150"/>
      <c r="Z561" s="150"/>
      <c r="AA561" s="150"/>
      <c r="AB561" s="150"/>
      <c r="AC561" s="149"/>
      <c r="AD561" s="149"/>
      <c r="AE561" s="149"/>
      <c r="AF561" s="150"/>
      <c r="AG561" s="150"/>
      <c r="AH561" s="149"/>
      <c r="AI561" s="149"/>
      <c r="AJ561" s="149"/>
      <c r="AK561" s="150"/>
      <c r="AL561" s="150"/>
      <c r="AM561" s="149"/>
      <c r="AN561" s="149"/>
      <c r="AO561" s="149"/>
      <c r="AP561" s="150"/>
      <c r="AQ561" s="150"/>
      <c r="AR561" s="150"/>
      <c r="AS561" s="150"/>
      <c r="AT561" s="150"/>
      <c r="AU561" s="150"/>
      <c r="AV561" s="150"/>
      <c r="AW561" s="150"/>
      <c r="AX561" s="150"/>
      <c r="AY561" s="151"/>
      <c r="AZ561" s="151"/>
      <c r="BA561" s="151"/>
      <c r="BB561" s="151"/>
      <c r="BC561" s="151"/>
      <c r="BD561" s="151"/>
      <c r="BE561" s="151"/>
      <c r="BF561" s="151"/>
      <c r="BG561" s="151"/>
      <c r="BH561" s="151"/>
      <c r="BI561" s="151"/>
    </row>
    <row r="562" spans="1:61" x14ac:dyDescent="0.25">
      <c r="A562" s="149"/>
      <c r="B562" s="149"/>
      <c r="C562" s="149"/>
      <c r="D562" s="149"/>
      <c r="E562" s="150"/>
      <c r="F562" s="150"/>
      <c r="G562" s="149"/>
      <c r="H562" s="149"/>
      <c r="I562" s="149"/>
      <c r="J562" s="150"/>
      <c r="K562" s="150"/>
      <c r="L562" s="149"/>
      <c r="M562" s="149"/>
      <c r="N562" s="149"/>
      <c r="O562" s="150"/>
      <c r="P562" s="150"/>
      <c r="Q562" s="149"/>
      <c r="R562" s="149"/>
      <c r="S562" s="149"/>
      <c r="T562" s="150"/>
      <c r="U562" s="150"/>
      <c r="V562" s="150"/>
      <c r="W562" s="150"/>
      <c r="X562" s="150"/>
      <c r="Y562" s="150"/>
      <c r="Z562" s="150"/>
      <c r="AA562" s="150"/>
      <c r="AB562" s="150"/>
      <c r="AC562" s="149"/>
      <c r="AD562" s="149"/>
      <c r="AE562" s="149"/>
      <c r="AF562" s="150"/>
      <c r="AG562" s="150"/>
      <c r="AH562" s="149"/>
      <c r="AI562" s="149"/>
      <c r="AJ562" s="149"/>
      <c r="AK562" s="150"/>
      <c r="AL562" s="150"/>
      <c r="AM562" s="149"/>
      <c r="AN562" s="149"/>
      <c r="AO562" s="149"/>
      <c r="AP562" s="150"/>
      <c r="AQ562" s="150"/>
      <c r="AR562" s="150"/>
      <c r="AS562" s="150"/>
      <c r="AT562" s="150"/>
      <c r="AU562" s="150"/>
      <c r="AV562" s="150"/>
      <c r="AW562" s="150"/>
      <c r="AX562" s="150"/>
      <c r="AY562" s="151"/>
      <c r="AZ562" s="151"/>
      <c r="BA562" s="151"/>
      <c r="BB562" s="151"/>
      <c r="BC562" s="151"/>
      <c r="BD562" s="151"/>
      <c r="BE562" s="151"/>
      <c r="BF562" s="151"/>
      <c r="BG562" s="151"/>
      <c r="BH562" s="151"/>
      <c r="BI562" s="151"/>
    </row>
    <row r="563" spans="1:61" x14ac:dyDescent="0.25">
      <c r="A563" s="149"/>
      <c r="B563" s="149"/>
      <c r="C563" s="149"/>
      <c r="D563" s="149"/>
      <c r="E563" s="150"/>
      <c r="F563" s="150"/>
      <c r="G563" s="149"/>
      <c r="H563" s="149"/>
      <c r="I563" s="149"/>
      <c r="J563" s="150"/>
      <c r="K563" s="150"/>
      <c r="L563" s="149"/>
      <c r="M563" s="149"/>
      <c r="N563" s="149"/>
      <c r="O563" s="150"/>
      <c r="P563" s="150"/>
      <c r="Q563" s="149"/>
      <c r="R563" s="149"/>
      <c r="S563" s="149"/>
      <c r="T563" s="150"/>
      <c r="U563" s="150"/>
      <c r="V563" s="150"/>
      <c r="W563" s="150"/>
      <c r="X563" s="150"/>
      <c r="Y563" s="150"/>
      <c r="Z563" s="150"/>
      <c r="AA563" s="150"/>
      <c r="AB563" s="150"/>
      <c r="AC563" s="149"/>
      <c r="AD563" s="149"/>
      <c r="AE563" s="149"/>
      <c r="AF563" s="150"/>
      <c r="AG563" s="150"/>
      <c r="AH563" s="149"/>
      <c r="AI563" s="149"/>
      <c r="AJ563" s="149"/>
      <c r="AK563" s="150"/>
      <c r="AL563" s="150"/>
      <c r="AM563" s="149"/>
      <c r="AN563" s="149"/>
      <c r="AO563" s="149"/>
      <c r="AP563" s="150"/>
      <c r="AQ563" s="150"/>
      <c r="AR563" s="150"/>
      <c r="AS563" s="150"/>
      <c r="AT563" s="150"/>
      <c r="AU563" s="150"/>
      <c r="AV563" s="150"/>
      <c r="AW563" s="150"/>
      <c r="AX563" s="150"/>
      <c r="AY563" s="151"/>
      <c r="AZ563" s="151"/>
      <c r="BA563" s="151"/>
      <c r="BB563" s="151"/>
      <c r="BC563" s="151"/>
      <c r="BD563" s="151"/>
      <c r="BE563" s="151"/>
      <c r="BF563" s="151"/>
      <c r="BG563" s="151"/>
      <c r="BH563" s="151"/>
      <c r="BI563" s="151"/>
    </row>
    <row r="564" spans="1:61" x14ac:dyDescent="0.25">
      <c r="A564" s="149"/>
      <c r="B564" s="149"/>
      <c r="C564" s="149"/>
      <c r="D564" s="149"/>
      <c r="E564" s="150"/>
      <c r="F564" s="150"/>
      <c r="G564" s="149"/>
      <c r="H564" s="149"/>
      <c r="I564" s="149"/>
      <c r="J564" s="150"/>
      <c r="K564" s="150"/>
      <c r="L564" s="149"/>
      <c r="M564" s="149"/>
      <c r="N564" s="149"/>
      <c r="O564" s="150"/>
      <c r="P564" s="150"/>
      <c r="Q564" s="149"/>
      <c r="R564" s="149"/>
      <c r="S564" s="149"/>
      <c r="T564" s="150"/>
      <c r="U564" s="150"/>
      <c r="V564" s="150"/>
      <c r="W564" s="150"/>
      <c r="X564" s="150"/>
      <c r="Y564" s="150"/>
      <c r="Z564" s="150"/>
      <c r="AA564" s="150"/>
      <c r="AB564" s="150"/>
      <c r="AC564" s="149"/>
      <c r="AD564" s="149"/>
      <c r="AE564" s="149"/>
      <c r="AF564" s="150"/>
      <c r="AG564" s="150"/>
      <c r="AH564" s="149"/>
      <c r="AI564" s="149"/>
      <c r="AJ564" s="149"/>
      <c r="AK564" s="150"/>
      <c r="AL564" s="150"/>
      <c r="AM564" s="149"/>
      <c r="AN564" s="149"/>
      <c r="AO564" s="149"/>
      <c r="AP564" s="150"/>
      <c r="AQ564" s="150"/>
      <c r="AR564" s="150"/>
      <c r="AS564" s="150"/>
      <c r="AT564" s="150"/>
      <c r="AU564" s="150"/>
      <c r="AV564" s="150"/>
      <c r="AW564" s="150"/>
      <c r="AX564" s="150"/>
      <c r="AY564" s="151"/>
      <c r="AZ564" s="151"/>
      <c r="BA564" s="151"/>
      <c r="BB564" s="151"/>
      <c r="BC564" s="151"/>
      <c r="BD564" s="151"/>
      <c r="BE564" s="151"/>
      <c r="BF564" s="151"/>
      <c r="BG564" s="151"/>
      <c r="BH564" s="151"/>
      <c r="BI564" s="151"/>
    </row>
    <row r="565" spans="1:61" x14ac:dyDescent="0.25">
      <c r="A565" s="149"/>
      <c r="B565" s="149"/>
      <c r="C565" s="149"/>
      <c r="D565" s="149"/>
      <c r="E565" s="150"/>
      <c r="F565" s="150"/>
      <c r="G565" s="149"/>
      <c r="H565" s="149"/>
      <c r="I565" s="149"/>
      <c r="J565" s="150"/>
      <c r="K565" s="150"/>
      <c r="L565" s="149"/>
      <c r="M565" s="149"/>
      <c r="N565" s="149"/>
      <c r="O565" s="150"/>
      <c r="P565" s="150"/>
      <c r="Q565" s="149"/>
      <c r="R565" s="149"/>
      <c r="S565" s="149"/>
      <c r="T565" s="150"/>
      <c r="U565" s="150"/>
      <c r="V565" s="150"/>
      <c r="W565" s="150"/>
      <c r="X565" s="150"/>
      <c r="Y565" s="150"/>
      <c r="Z565" s="150"/>
      <c r="AA565" s="150"/>
      <c r="AB565" s="150"/>
      <c r="AC565" s="149"/>
      <c r="AD565" s="149"/>
      <c r="AE565" s="149"/>
      <c r="AF565" s="150"/>
      <c r="AG565" s="150"/>
      <c r="AH565" s="149"/>
      <c r="AI565" s="149"/>
      <c r="AJ565" s="149"/>
      <c r="AK565" s="150"/>
      <c r="AL565" s="150"/>
      <c r="AM565" s="149"/>
      <c r="AN565" s="149"/>
      <c r="AO565" s="149"/>
      <c r="AP565" s="150"/>
      <c r="AQ565" s="150"/>
      <c r="AR565" s="150"/>
      <c r="AS565" s="150"/>
      <c r="AT565" s="150"/>
      <c r="AU565" s="150"/>
      <c r="AV565" s="150"/>
      <c r="AW565" s="150"/>
      <c r="AX565" s="150"/>
      <c r="AY565" s="151"/>
      <c r="AZ565" s="151"/>
      <c r="BA565" s="151"/>
      <c r="BB565" s="151"/>
      <c r="BC565" s="151"/>
      <c r="BD565" s="151"/>
      <c r="BE565" s="151"/>
      <c r="BF565" s="151"/>
      <c r="BG565" s="151"/>
      <c r="BH565" s="151"/>
      <c r="BI565" s="151"/>
    </row>
    <row r="566" spans="1:61" x14ac:dyDescent="0.25">
      <c r="A566" s="149"/>
      <c r="B566" s="149"/>
      <c r="C566" s="149"/>
      <c r="D566" s="149"/>
      <c r="E566" s="150"/>
      <c r="F566" s="150"/>
      <c r="G566" s="149"/>
      <c r="H566" s="149"/>
      <c r="I566" s="149"/>
      <c r="J566" s="150"/>
      <c r="K566" s="150"/>
      <c r="L566" s="149"/>
      <c r="M566" s="149"/>
      <c r="N566" s="149"/>
      <c r="O566" s="150"/>
      <c r="P566" s="150"/>
      <c r="Q566" s="149"/>
      <c r="R566" s="149"/>
      <c r="S566" s="149"/>
      <c r="T566" s="150"/>
      <c r="U566" s="150"/>
      <c r="V566" s="150"/>
      <c r="W566" s="150"/>
      <c r="X566" s="150"/>
      <c r="Y566" s="150"/>
      <c r="Z566" s="150"/>
      <c r="AA566" s="150"/>
      <c r="AB566" s="150"/>
      <c r="AC566" s="149"/>
      <c r="AD566" s="149"/>
      <c r="AE566" s="149"/>
      <c r="AF566" s="150"/>
      <c r="AG566" s="150"/>
      <c r="AH566" s="149"/>
      <c r="AI566" s="149"/>
      <c r="AJ566" s="149"/>
      <c r="AK566" s="150"/>
      <c r="AL566" s="150"/>
      <c r="AM566" s="149"/>
      <c r="AN566" s="149"/>
      <c r="AO566" s="149"/>
      <c r="AP566" s="150"/>
      <c r="AQ566" s="150"/>
      <c r="AR566" s="150"/>
      <c r="AS566" s="150"/>
      <c r="AT566" s="150"/>
      <c r="AU566" s="150"/>
      <c r="AV566" s="150"/>
      <c r="AW566" s="150"/>
      <c r="AX566" s="150"/>
      <c r="AY566" s="151"/>
      <c r="AZ566" s="151"/>
      <c r="BA566" s="151"/>
      <c r="BB566" s="151"/>
      <c r="BC566" s="151"/>
      <c r="BD566" s="151"/>
      <c r="BE566" s="151"/>
      <c r="BF566" s="151"/>
      <c r="BG566" s="151"/>
      <c r="BH566" s="151"/>
      <c r="BI566" s="151"/>
    </row>
    <row r="567" spans="1:61" x14ac:dyDescent="0.25">
      <c r="A567" s="149"/>
      <c r="B567" s="149"/>
      <c r="C567" s="149"/>
      <c r="D567" s="149"/>
      <c r="E567" s="150"/>
      <c r="F567" s="150"/>
      <c r="G567" s="149"/>
      <c r="H567" s="149"/>
      <c r="I567" s="149"/>
      <c r="J567" s="150"/>
      <c r="K567" s="150"/>
      <c r="L567" s="149"/>
      <c r="M567" s="149"/>
      <c r="N567" s="149"/>
      <c r="O567" s="150"/>
      <c r="P567" s="150"/>
      <c r="Q567" s="149"/>
      <c r="R567" s="149"/>
      <c r="S567" s="149"/>
      <c r="T567" s="150"/>
      <c r="U567" s="150"/>
      <c r="V567" s="150"/>
      <c r="W567" s="150"/>
      <c r="X567" s="150"/>
      <c r="Y567" s="150"/>
      <c r="Z567" s="150"/>
      <c r="AA567" s="150"/>
      <c r="AB567" s="150"/>
      <c r="AC567" s="149"/>
      <c r="AD567" s="149"/>
      <c r="AE567" s="149"/>
      <c r="AF567" s="150"/>
      <c r="AG567" s="150"/>
      <c r="AH567" s="149"/>
      <c r="AI567" s="149"/>
      <c r="AJ567" s="149"/>
      <c r="AK567" s="150"/>
      <c r="AL567" s="150"/>
      <c r="AM567" s="149"/>
      <c r="AN567" s="149"/>
      <c r="AO567" s="149"/>
      <c r="AP567" s="150"/>
      <c r="AQ567" s="150"/>
      <c r="AR567" s="150"/>
      <c r="AS567" s="150"/>
      <c r="AT567" s="150"/>
      <c r="AU567" s="150"/>
      <c r="AV567" s="150"/>
      <c r="AW567" s="150"/>
      <c r="AX567" s="150"/>
      <c r="AY567" s="151"/>
      <c r="AZ567" s="151"/>
      <c r="BA567" s="151"/>
      <c r="BB567" s="151"/>
      <c r="BC567" s="151"/>
      <c r="BD567" s="151"/>
      <c r="BE567" s="151"/>
      <c r="BF567" s="151"/>
      <c r="BG567" s="151"/>
      <c r="BH567" s="151"/>
      <c r="BI567" s="151"/>
    </row>
    <row r="568" spans="1:61" x14ac:dyDescent="0.25">
      <c r="A568" s="149"/>
      <c r="B568" s="149"/>
      <c r="C568" s="149"/>
      <c r="D568" s="149"/>
      <c r="E568" s="150"/>
      <c r="F568" s="150"/>
      <c r="G568" s="149"/>
      <c r="H568" s="149"/>
      <c r="I568" s="149"/>
      <c r="J568" s="150"/>
      <c r="K568" s="150"/>
      <c r="L568" s="149"/>
      <c r="M568" s="149"/>
      <c r="N568" s="149"/>
      <c r="O568" s="150"/>
      <c r="P568" s="150"/>
      <c r="Q568" s="149"/>
      <c r="R568" s="149"/>
      <c r="S568" s="149"/>
      <c r="T568" s="150"/>
      <c r="U568" s="150"/>
      <c r="V568" s="150"/>
      <c r="W568" s="150"/>
      <c r="X568" s="150"/>
      <c r="Y568" s="150"/>
      <c r="Z568" s="150"/>
      <c r="AA568" s="150"/>
      <c r="AB568" s="150"/>
      <c r="AC568" s="149"/>
      <c r="AD568" s="149"/>
      <c r="AE568" s="149"/>
      <c r="AF568" s="150"/>
      <c r="AG568" s="150"/>
      <c r="AH568" s="149"/>
      <c r="AI568" s="149"/>
      <c r="AJ568" s="149"/>
      <c r="AK568" s="150"/>
      <c r="AL568" s="150"/>
      <c r="AM568" s="149"/>
      <c r="AN568" s="149"/>
      <c r="AO568" s="149"/>
      <c r="AP568" s="150"/>
      <c r="AQ568" s="150"/>
      <c r="AR568" s="150"/>
      <c r="AS568" s="150"/>
      <c r="AT568" s="150"/>
      <c r="AU568" s="150"/>
      <c r="AV568" s="150"/>
      <c r="AW568" s="150"/>
      <c r="AX568" s="150"/>
      <c r="AY568" s="151"/>
      <c r="AZ568" s="151"/>
      <c r="BA568" s="151"/>
      <c r="BB568" s="151"/>
      <c r="BC568" s="151"/>
      <c r="BD568" s="151"/>
      <c r="BE568" s="151"/>
      <c r="BF568" s="151"/>
      <c r="BG568" s="151"/>
      <c r="BH568" s="151"/>
      <c r="BI568" s="151"/>
    </row>
    <row r="569" spans="1:61" x14ac:dyDescent="0.25">
      <c r="A569" s="149"/>
      <c r="B569" s="149"/>
      <c r="C569" s="149"/>
      <c r="D569" s="149"/>
      <c r="E569" s="150"/>
      <c r="F569" s="150"/>
      <c r="G569" s="149"/>
      <c r="H569" s="149"/>
      <c r="I569" s="149"/>
      <c r="J569" s="150"/>
      <c r="K569" s="150"/>
      <c r="L569" s="149"/>
      <c r="M569" s="149"/>
      <c r="N569" s="149"/>
      <c r="O569" s="150"/>
      <c r="P569" s="150"/>
      <c r="Q569" s="149"/>
      <c r="R569" s="149"/>
      <c r="S569" s="149"/>
      <c r="T569" s="150"/>
      <c r="U569" s="150"/>
      <c r="V569" s="150"/>
      <c r="W569" s="150"/>
      <c r="X569" s="150"/>
      <c r="Y569" s="150"/>
      <c r="Z569" s="150"/>
      <c r="AA569" s="150"/>
      <c r="AB569" s="150"/>
      <c r="AC569" s="149"/>
      <c r="AD569" s="149"/>
      <c r="AE569" s="149"/>
      <c r="AF569" s="150"/>
      <c r="AG569" s="150"/>
      <c r="AH569" s="149"/>
      <c r="AI569" s="149"/>
      <c r="AJ569" s="149"/>
      <c r="AK569" s="150"/>
      <c r="AL569" s="150"/>
      <c r="AM569" s="149"/>
      <c r="AN569" s="149"/>
      <c r="AO569" s="149"/>
      <c r="AP569" s="150"/>
      <c r="AQ569" s="150"/>
      <c r="AR569" s="150"/>
      <c r="AS569" s="150"/>
      <c r="AT569" s="150"/>
      <c r="AU569" s="150"/>
      <c r="AV569" s="150"/>
      <c r="AW569" s="150"/>
      <c r="AX569" s="150"/>
      <c r="AY569" s="151"/>
      <c r="AZ569" s="151"/>
      <c r="BA569" s="151"/>
      <c r="BB569" s="151"/>
      <c r="BC569" s="151"/>
      <c r="BD569" s="151"/>
      <c r="BE569" s="151"/>
      <c r="BF569" s="151"/>
      <c r="BG569" s="151"/>
      <c r="BH569" s="151"/>
      <c r="BI569" s="151"/>
    </row>
    <row r="570" spans="1:61" x14ac:dyDescent="0.25">
      <c r="A570" s="149"/>
      <c r="B570" s="149"/>
      <c r="C570" s="149"/>
      <c r="D570" s="149"/>
      <c r="E570" s="150"/>
      <c r="F570" s="150"/>
      <c r="G570" s="149"/>
      <c r="H570" s="149"/>
      <c r="I570" s="149"/>
      <c r="J570" s="150"/>
      <c r="K570" s="150"/>
      <c r="L570" s="149"/>
      <c r="M570" s="149"/>
      <c r="N570" s="149"/>
      <c r="O570" s="150"/>
      <c r="P570" s="150"/>
      <c r="Q570" s="149"/>
      <c r="R570" s="149"/>
      <c r="S570" s="149"/>
      <c r="T570" s="150"/>
      <c r="U570" s="150"/>
      <c r="V570" s="150"/>
      <c r="W570" s="150"/>
      <c r="X570" s="150"/>
      <c r="Y570" s="150"/>
      <c r="Z570" s="150"/>
      <c r="AA570" s="150"/>
      <c r="AB570" s="150"/>
      <c r="AC570" s="149"/>
      <c r="AD570" s="149"/>
      <c r="AE570" s="149"/>
      <c r="AF570" s="150"/>
      <c r="AG570" s="150"/>
      <c r="AH570" s="149"/>
      <c r="AI570" s="149"/>
      <c r="AJ570" s="149"/>
      <c r="AK570" s="150"/>
      <c r="AL570" s="150"/>
      <c r="AM570" s="149"/>
      <c r="AN570" s="149"/>
      <c r="AO570" s="149"/>
      <c r="AP570" s="150"/>
      <c r="AQ570" s="150"/>
      <c r="AR570" s="150"/>
      <c r="AS570" s="150"/>
      <c r="AT570" s="150"/>
      <c r="AU570" s="150"/>
      <c r="AV570" s="150"/>
      <c r="AW570" s="150"/>
      <c r="AX570" s="150"/>
      <c r="AY570" s="151"/>
      <c r="AZ570" s="151"/>
      <c r="BA570" s="151"/>
      <c r="BB570" s="151"/>
      <c r="BC570" s="151"/>
      <c r="BD570" s="151"/>
      <c r="BE570" s="151"/>
      <c r="BF570" s="151"/>
      <c r="BG570" s="151"/>
      <c r="BH570" s="151"/>
      <c r="BI570" s="151"/>
    </row>
    <row r="571" spans="1:61" x14ac:dyDescent="0.25">
      <c r="A571" s="149"/>
      <c r="B571" s="149"/>
      <c r="C571" s="149"/>
      <c r="D571" s="149"/>
      <c r="E571" s="150"/>
      <c r="F571" s="150"/>
      <c r="G571" s="149"/>
      <c r="H571" s="149"/>
      <c r="I571" s="149"/>
      <c r="J571" s="150"/>
      <c r="K571" s="150"/>
      <c r="L571" s="149"/>
      <c r="M571" s="149"/>
      <c r="N571" s="149"/>
      <c r="O571" s="150"/>
      <c r="P571" s="150"/>
      <c r="Q571" s="149"/>
      <c r="R571" s="149"/>
      <c r="S571" s="149"/>
      <c r="T571" s="150"/>
      <c r="U571" s="150"/>
      <c r="V571" s="150"/>
      <c r="W571" s="150"/>
      <c r="X571" s="150"/>
      <c r="Y571" s="150"/>
      <c r="Z571" s="150"/>
      <c r="AA571" s="150"/>
      <c r="AB571" s="150"/>
      <c r="AC571" s="149"/>
      <c r="AD571" s="149"/>
      <c r="AE571" s="149"/>
      <c r="AF571" s="150"/>
      <c r="AG571" s="150"/>
      <c r="AH571" s="149"/>
      <c r="AI571" s="149"/>
      <c r="AJ571" s="149"/>
      <c r="AK571" s="150"/>
      <c r="AL571" s="150"/>
      <c r="AM571" s="149"/>
      <c r="AN571" s="149"/>
      <c r="AO571" s="149"/>
      <c r="AP571" s="150"/>
      <c r="AQ571" s="150"/>
      <c r="AR571" s="150"/>
      <c r="AS571" s="150"/>
      <c r="AT571" s="150"/>
      <c r="AU571" s="150"/>
      <c r="AV571" s="150"/>
      <c r="AW571" s="150"/>
      <c r="AX571" s="150"/>
      <c r="AY571" s="151"/>
      <c r="AZ571" s="151"/>
      <c r="BA571" s="151"/>
      <c r="BB571" s="151"/>
      <c r="BC571" s="151"/>
      <c r="BD571" s="151"/>
      <c r="BE571" s="151"/>
      <c r="BF571" s="151"/>
      <c r="BG571" s="151"/>
      <c r="BH571" s="151"/>
      <c r="BI571" s="151"/>
    </row>
    <row r="572" spans="1:61" x14ac:dyDescent="0.25">
      <c r="A572" s="149"/>
      <c r="B572" s="149"/>
      <c r="C572" s="149"/>
      <c r="D572" s="149"/>
      <c r="E572" s="150"/>
      <c r="F572" s="150"/>
      <c r="G572" s="149"/>
      <c r="H572" s="149"/>
      <c r="I572" s="149"/>
      <c r="J572" s="150"/>
      <c r="K572" s="150"/>
      <c r="L572" s="149"/>
      <c r="M572" s="149"/>
      <c r="N572" s="149"/>
      <c r="O572" s="150"/>
      <c r="P572" s="150"/>
      <c r="Q572" s="149"/>
      <c r="R572" s="149"/>
      <c r="S572" s="149"/>
      <c r="T572" s="150"/>
      <c r="U572" s="150"/>
      <c r="V572" s="150"/>
      <c r="W572" s="150"/>
      <c r="X572" s="150"/>
      <c r="Y572" s="150"/>
      <c r="Z572" s="150"/>
      <c r="AA572" s="150"/>
      <c r="AB572" s="150"/>
      <c r="AC572" s="149"/>
      <c r="AD572" s="149"/>
      <c r="AE572" s="149"/>
      <c r="AF572" s="150"/>
      <c r="AG572" s="150"/>
      <c r="AH572" s="149"/>
      <c r="AI572" s="149"/>
      <c r="AJ572" s="149"/>
      <c r="AK572" s="150"/>
      <c r="AL572" s="150"/>
      <c r="AM572" s="149"/>
      <c r="AN572" s="149"/>
      <c r="AO572" s="149"/>
      <c r="AP572" s="150"/>
      <c r="AQ572" s="150"/>
      <c r="AR572" s="150"/>
      <c r="AS572" s="150"/>
      <c r="AT572" s="150"/>
      <c r="AU572" s="150"/>
      <c r="AV572" s="150"/>
      <c r="AW572" s="150"/>
      <c r="AX572" s="150"/>
      <c r="AY572" s="151"/>
      <c r="AZ572" s="151"/>
      <c r="BA572" s="151"/>
      <c r="BB572" s="151"/>
      <c r="BC572" s="151"/>
      <c r="BD572" s="151"/>
      <c r="BE572" s="151"/>
      <c r="BF572" s="151"/>
      <c r="BG572" s="151"/>
      <c r="BH572" s="151"/>
      <c r="BI572" s="151"/>
    </row>
    <row r="573" spans="1:61" x14ac:dyDescent="0.25">
      <c r="A573" s="149"/>
      <c r="B573" s="149"/>
      <c r="C573" s="149"/>
      <c r="D573" s="149"/>
      <c r="E573" s="150"/>
      <c r="F573" s="150"/>
      <c r="G573" s="149"/>
      <c r="H573" s="149"/>
      <c r="I573" s="149"/>
      <c r="J573" s="150"/>
      <c r="K573" s="150"/>
      <c r="L573" s="149"/>
      <c r="M573" s="149"/>
      <c r="N573" s="149"/>
      <c r="O573" s="150"/>
      <c r="P573" s="150"/>
      <c r="Q573" s="149"/>
      <c r="R573" s="149"/>
      <c r="S573" s="149"/>
      <c r="T573" s="150"/>
      <c r="U573" s="150"/>
      <c r="V573" s="150"/>
      <c r="W573" s="150"/>
      <c r="X573" s="150"/>
      <c r="Y573" s="150"/>
      <c r="Z573" s="150"/>
      <c r="AA573" s="150"/>
      <c r="AB573" s="150"/>
      <c r="AC573" s="149"/>
      <c r="AD573" s="149"/>
      <c r="AE573" s="149"/>
      <c r="AF573" s="150"/>
      <c r="AG573" s="150"/>
      <c r="AH573" s="149"/>
      <c r="AI573" s="149"/>
      <c r="AJ573" s="149"/>
      <c r="AK573" s="150"/>
      <c r="AL573" s="150"/>
      <c r="AM573" s="149"/>
      <c r="AN573" s="149"/>
      <c r="AO573" s="149"/>
      <c r="AP573" s="150"/>
      <c r="AQ573" s="150"/>
      <c r="AR573" s="150"/>
      <c r="AS573" s="150"/>
      <c r="AT573" s="150"/>
      <c r="AU573" s="150"/>
      <c r="AV573" s="150"/>
      <c r="AW573" s="150"/>
      <c r="AX573" s="150"/>
      <c r="AY573" s="151"/>
      <c r="AZ573" s="151"/>
      <c r="BA573" s="151"/>
      <c r="BB573" s="151"/>
      <c r="BC573" s="151"/>
      <c r="BD573" s="151"/>
      <c r="BE573" s="151"/>
      <c r="BF573" s="151"/>
      <c r="BG573" s="151"/>
      <c r="BH573" s="151"/>
      <c r="BI573" s="151"/>
    </row>
    <row r="574" spans="1:61" x14ac:dyDescent="0.25">
      <c r="A574" s="149"/>
      <c r="B574" s="149"/>
      <c r="C574" s="149"/>
      <c r="D574" s="149"/>
      <c r="E574" s="150"/>
      <c r="F574" s="150"/>
      <c r="G574" s="149"/>
      <c r="H574" s="149"/>
      <c r="I574" s="149"/>
      <c r="J574" s="150"/>
      <c r="K574" s="150"/>
      <c r="L574" s="149"/>
      <c r="M574" s="149"/>
      <c r="N574" s="149"/>
      <c r="O574" s="150"/>
      <c r="P574" s="150"/>
      <c r="Q574" s="149"/>
      <c r="R574" s="149"/>
      <c r="S574" s="149"/>
      <c r="T574" s="150"/>
      <c r="U574" s="150"/>
      <c r="V574" s="150"/>
      <c r="W574" s="150"/>
      <c r="X574" s="150"/>
      <c r="Y574" s="150"/>
      <c r="Z574" s="150"/>
      <c r="AA574" s="150"/>
      <c r="AB574" s="150"/>
      <c r="AC574" s="149"/>
      <c r="AD574" s="149"/>
      <c r="AE574" s="149"/>
      <c r="AF574" s="150"/>
      <c r="AG574" s="150"/>
      <c r="AH574" s="149"/>
      <c r="AI574" s="149"/>
      <c r="AJ574" s="149"/>
      <c r="AK574" s="150"/>
      <c r="AL574" s="150"/>
      <c r="AM574" s="149"/>
      <c r="AN574" s="149"/>
      <c r="AO574" s="149"/>
      <c r="AP574" s="150"/>
      <c r="AQ574" s="150"/>
      <c r="AR574" s="150"/>
      <c r="AS574" s="150"/>
      <c r="AT574" s="150"/>
      <c r="AU574" s="150"/>
      <c r="AV574" s="150"/>
      <c r="AW574" s="150"/>
      <c r="AX574" s="150"/>
      <c r="AY574" s="151"/>
      <c r="AZ574" s="151"/>
      <c r="BA574" s="151"/>
      <c r="BB574" s="151"/>
      <c r="BC574" s="151"/>
      <c r="BD574" s="151"/>
      <c r="BE574" s="151"/>
      <c r="BF574" s="151"/>
      <c r="BG574" s="151"/>
      <c r="BH574" s="151"/>
      <c r="BI574" s="151"/>
    </row>
    <row r="575" spans="1:61" x14ac:dyDescent="0.25">
      <c r="A575" s="149"/>
      <c r="B575" s="149"/>
      <c r="C575" s="149"/>
      <c r="D575" s="149"/>
      <c r="E575" s="150"/>
      <c r="F575" s="150"/>
      <c r="G575" s="149"/>
      <c r="H575" s="149"/>
      <c r="I575" s="149"/>
      <c r="J575" s="150"/>
      <c r="K575" s="150"/>
      <c r="L575" s="149"/>
      <c r="M575" s="149"/>
      <c r="N575" s="149"/>
      <c r="O575" s="150"/>
      <c r="P575" s="150"/>
      <c r="Q575" s="149"/>
      <c r="R575" s="149"/>
      <c r="S575" s="149"/>
      <c r="T575" s="150"/>
      <c r="U575" s="150"/>
      <c r="V575" s="150"/>
      <c r="W575" s="150"/>
      <c r="X575" s="150"/>
      <c r="Y575" s="150"/>
      <c r="Z575" s="150"/>
      <c r="AA575" s="150"/>
      <c r="AB575" s="150"/>
      <c r="AC575" s="149"/>
      <c r="AD575" s="149"/>
      <c r="AE575" s="149"/>
      <c r="AF575" s="150"/>
      <c r="AG575" s="150"/>
      <c r="AH575" s="149"/>
      <c r="AI575" s="149"/>
      <c r="AJ575" s="149"/>
      <c r="AK575" s="150"/>
      <c r="AL575" s="150"/>
      <c r="AM575" s="149"/>
      <c r="AN575" s="149"/>
      <c r="AO575" s="149"/>
      <c r="AP575" s="150"/>
      <c r="AQ575" s="150"/>
      <c r="AR575" s="150"/>
      <c r="AS575" s="150"/>
      <c r="AT575" s="150"/>
      <c r="AU575" s="150"/>
      <c r="AV575" s="150"/>
      <c r="AW575" s="150"/>
      <c r="AX575" s="150"/>
      <c r="AY575" s="151"/>
      <c r="AZ575" s="151"/>
      <c r="BA575" s="151"/>
      <c r="BB575" s="151"/>
      <c r="BC575" s="151"/>
      <c r="BD575" s="151"/>
      <c r="BE575" s="151"/>
      <c r="BF575" s="151"/>
      <c r="BG575" s="151"/>
      <c r="BH575" s="151"/>
      <c r="BI575" s="151"/>
    </row>
    <row r="576" spans="1:61" x14ac:dyDescent="0.25">
      <c r="A576" s="149"/>
      <c r="B576" s="149"/>
      <c r="C576" s="149"/>
      <c r="D576" s="149"/>
      <c r="E576" s="150"/>
      <c r="F576" s="150"/>
      <c r="G576" s="149"/>
      <c r="H576" s="149"/>
      <c r="I576" s="149"/>
      <c r="J576" s="150"/>
      <c r="K576" s="150"/>
      <c r="L576" s="149"/>
      <c r="M576" s="149"/>
      <c r="N576" s="149"/>
      <c r="O576" s="150"/>
      <c r="P576" s="150"/>
      <c r="Q576" s="149"/>
      <c r="R576" s="149"/>
      <c r="S576" s="149"/>
      <c r="T576" s="150"/>
      <c r="U576" s="150"/>
      <c r="V576" s="150"/>
      <c r="W576" s="150"/>
      <c r="X576" s="150"/>
      <c r="Y576" s="150"/>
      <c r="Z576" s="150"/>
      <c r="AA576" s="150"/>
      <c r="AB576" s="150"/>
      <c r="AC576" s="149"/>
      <c r="AD576" s="149"/>
      <c r="AE576" s="149"/>
      <c r="AF576" s="150"/>
      <c r="AG576" s="150"/>
      <c r="AH576" s="149"/>
      <c r="AI576" s="149"/>
      <c r="AJ576" s="149"/>
      <c r="AK576" s="150"/>
      <c r="AL576" s="150"/>
      <c r="AM576" s="149"/>
      <c r="AN576" s="149"/>
      <c r="AO576" s="149"/>
      <c r="AP576" s="150"/>
      <c r="AQ576" s="150"/>
      <c r="AR576" s="150"/>
      <c r="AS576" s="150"/>
      <c r="AT576" s="150"/>
      <c r="AU576" s="150"/>
      <c r="AV576" s="150"/>
      <c r="AW576" s="150"/>
      <c r="AX576" s="150"/>
      <c r="AY576" s="151"/>
      <c r="AZ576" s="151"/>
      <c r="BA576" s="151"/>
      <c r="BB576" s="151"/>
      <c r="BC576" s="151"/>
      <c r="BD576" s="151"/>
      <c r="BE576" s="151"/>
      <c r="BF576" s="151"/>
      <c r="BG576" s="151"/>
      <c r="BH576" s="151"/>
      <c r="BI576" s="151"/>
    </row>
    <row r="577" spans="1:61" x14ac:dyDescent="0.25">
      <c r="A577" s="149"/>
      <c r="B577" s="149"/>
      <c r="C577" s="149"/>
      <c r="D577" s="149"/>
      <c r="E577" s="150"/>
      <c r="F577" s="150"/>
      <c r="G577" s="149"/>
      <c r="H577" s="149"/>
      <c r="I577" s="149"/>
      <c r="J577" s="150"/>
      <c r="K577" s="150"/>
      <c r="L577" s="149"/>
      <c r="M577" s="149"/>
      <c r="N577" s="149"/>
      <c r="O577" s="150"/>
      <c r="P577" s="150"/>
      <c r="Q577" s="149"/>
      <c r="R577" s="149"/>
      <c r="S577" s="149"/>
      <c r="T577" s="150"/>
      <c r="U577" s="150"/>
      <c r="V577" s="150"/>
      <c r="W577" s="150"/>
      <c r="X577" s="150"/>
      <c r="Y577" s="150"/>
      <c r="Z577" s="150"/>
      <c r="AA577" s="150"/>
      <c r="AB577" s="150"/>
      <c r="AC577" s="149"/>
      <c r="AD577" s="149"/>
      <c r="AE577" s="149"/>
      <c r="AF577" s="150"/>
      <c r="AG577" s="150"/>
      <c r="AH577" s="149"/>
      <c r="AI577" s="149"/>
      <c r="AJ577" s="149"/>
      <c r="AK577" s="150"/>
      <c r="AL577" s="150"/>
      <c r="AM577" s="149"/>
      <c r="AN577" s="149"/>
      <c r="AO577" s="149"/>
      <c r="AP577" s="150"/>
      <c r="AQ577" s="150"/>
      <c r="AR577" s="150"/>
      <c r="AS577" s="150"/>
      <c r="AT577" s="150"/>
      <c r="AU577" s="150"/>
      <c r="AV577" s="150"/>
      <c r="AW577" s="150"/>
      <c r="AX577" s="150"/>
      <c r="AY577" s="151"/>
      <c r="AZ577" s="151"/>
      <c r="BA577" s="151"/>
      <c r="BB577" s="151"/>
      <c r="BC577" s="151"/>
      <c r="BD577" s="151"/>
      <c r="BE577" s="151"/>
      <c r="BF577" s="151"/>
      <c r="BG577" s="151"/>
      <c r="BH577" s="151"/>
      <c r="BI577" s="151"/>
    </row>
    <row r="578" spans="1:61" x14ac:dyDescent="0.25">
      <c r="A578" s="149"/>
      <c r="B578" s="149"/>
      <c r="C578" s="149"/>
      <c r="D578" s="149"/>
      <c r="E578" s="150"/>
      <c r="F578" s="150"/>
      <c r="G578" s="149"/>
      <c r="H578" s="149"/>
      <c r="I578" s="149"/>
      <c r="J578" s="150"/>
      <c r="K578" s="150"/>
      <c r="L578" s="149"/>
      <c r="M578" s="149"/>
      <c r="N578" s="149"/>
      <c r="O578" s="150"/>
      <c r="P578" s="150"/>
      <c r="Q578" s="149"/>
      <c r="R578" s="149"/>
      <c r="S578" s="149"/>
      <c r="T578" s="150"/>
      <c r="U578" s="150"/>
      <c r="V578" s="150"/>
      <c r="W578" s="150"/>
      <c r="X578" s="150"/>
      <c r="Y578" s="150"/>
      <c r="Z578" s="150"/>
      <c r="AA578" s="150"/>
      <c r="AB578" s="150"/>
      <c r="AC578" s="149"/>
      <c r="AD578" s="149"/>
      <c r="AE578" s="149"/>
      <c r="AF578" s="150"/>
      <c r="AG578" s="150"/>
      <c r="AH578" s="149"/>
      <c r="AI578" s="149"/>
      <c r="AJ578" s="149"/>
      <c r="AK578" s="150"/>
      <c r="AL578" s="150"/>
      <c r="AM578" s="149"/>
      <c r="AN578" s="149"/>
      <c r="AO578" s="149"/>
      <c r="AP578" s="150"/>
      <c r="AQ578" s="150"/>
      <c r="AR578" s="150"/>
      <c r="AS578" s="150"/>
      <c r="AT578" s="150"/>
      <c r="AU578" s="150"/>
      <c r="AV578" s="150"/>
      <c r="AW578" s="150"/>
      <c r="AX578" s="150"/>
      <c r="AY578" s="151"/>
      <c r="AZ578" s="151"/>
      <c r="BA578" s="151"/>
      <c r="BB578" s="151"/>
      <c r="BC578" s="151"/>
      <c r="BD578" s="151"/>
      <c r="BE578" s="151"/>
      <c r="BF578" s="151"/>
      <c r="BG578" s="151"/>
      <c r="BH578" s="151"/>
      <c r="BI578" s="151"/>
    </row>
    <row r="579" spans="1:61" x14ac:dyDescent="0.25">
      <c r="A579" s="149"/>
      <c r="B579" s="149"/>
      <c r="C579" s="149"/>
      <c r="D579" s="149"/>
      <c r="E579" s="150"/>
      <c r="F579" s="150"/>
      <c r="G579" s="149"/>
      <c r="H579" s="149"/>
      <c r="I579" s="149"/>
      <c r="J579" s="150"/>
      <c r="K579" s="150"/>
      <c r="L579" s="149"/>
      <c r="M579" s="149"/>
      <c r="N579" s="149"/>
      <c r="O579" s="150"/>
      <c r="P579" s="150"/>
      <c r="Q579" s="149"/>
      <c r="R579" s="149"/>
      <c r="S579" s="149"/>
      <c r="T579" s="150"/>
      <c r="U579" s="150"/>
      <c r="V579" s="150"/>
      <c r="W579" s="150"/>
      <c r="X579" s="150"/>
      <c r="Y579" s="150"/>
      <c r="Z579" s="150"/>
      <c r="AA579" s="150"/>
      <c r="AB579" s="150"/>
      <c r="AC579" s="149"/>
      <c r="AD579" s="149"/>
      <c r="AE579" s="149"/>
      <c r="AF579" s="150"/>
      <c r="AG579" s="150"/>
      <c r="AH579" s="149"/>
      <c r="AI579" s="149"/>
      <c r="AJ579" s="149"/>
      <c r="AK579" s="150"/>
      <c r="AL579" s="150"/>
      <c r="AM579" s="149"/>
      <c r="AN579" s="149"/>
      <c r="AO579" s="149"/>
      <c r="AP579" s="150"/>
      <c r="AQ579" s="150"/>
      <c r="AR579" s="150"/>
      <c r="AS579" s="150"/>
      <c r="AT579" s="150"/>
      <c r="AU579" s="150"/>
      <c r="AV579" s="150"/>
      <c r="AW579" s="150"/>
      <c r="AX579" s="150"/>
      <c r="AY579" s="151"/>
      <c r="AZ579" s="151"/>
      <c r="BA579" s="151"/>
      <c r="BB579" s="151"/>
      <c r="BC579" s="151"/>
      <c r="BD579" s="151"/>
      <c r="BE579" s="151"/>
      <c r="BF579" s="151"/>
      <c r="BG579" s="151"/>
      <c r="BH579" s="151"/>
      <c r="BI579" s="151"/>
    </row>
    <row r="580" spans="1:61" x14ac:dyDescent="0.25">
      <c r="A580" s="149"/>
      <c r="B580" s="149"/>
      <c r="C580" s="149"/>
      <c r="D580" s="149"/>
      <c r="E580" s="150"/>
      <c r="F580" s="150"/>
      <c r="G580" s="149"/>
      <c r="H580" s="149"/>
      <c r="I580" s="149"/>
      <c r="J580" s="150"/>
      <c r="K580" s="150"/>
      <c r="L580" s="149"/>
      <c r="M580" s="149"/>
      <c r="N580" s="149"/>
      <c r="O580" s="150"/>
      <c r="P580" s="150"/>
      <c r="Q580" s="149"/>
      <c r="R580" s="149"/>
      <c r="S580" s="149"/>
      <c r="T580" s="150"/>
      <c r="U580" s="150"/>
      <c r="V580" s="150"/>
      <c r="W580" s="150"/>
      <c r="X580" s="150"/>
      <c r="Y580" s="150"/>
      <c r="Z580" s="150"/>
      <c r="AA580" s="150"/>
      <c r="AB580" s="150"/>
      <c r="AC580" s="149"/>
      <c r="AD580" s="149"/>
      <c r="AE580" s="149"/>
      <c r="AF580" s="150"/>
      <c r="AG580" s="150"/>
      <c r="AH580" s="149"/>
      <c r="AI580" s="149"/>
      <c r="AJ580" s="149"/>
      <c r="AK580" s="150"/>
      <c r="AL580" s="150"/>
      <c r="AM580" s="149"/>
      <c r="AN580" s="149"/>
      <c r="AO580" s="149"/>
      <c r="AP580" s="150"/>
      <c r="AQ580" s="150"/>
      <c r="AR580" s="150"/>
      <c r="AS580" s="150"/>
      <c r="AT580" s="150"/>
      <c r="AU580" s="150"/>
      <c r="AV580" s="150"/>
      <c r="AW580" s="150"/>
      <c r="AX580" s="150"/>
      <c r="AY580" s="151"/>
      <c r="AZ580" s="151"/>
      <c r="BA580" s="151"/>
      <c r="BB580" s="151"/>
      <c r="BC580" s="151"/>
      <c r="BD580" s="151"/>
      <c r="BE580" s="151"/>
      <c r="BF580" s="151"/>
      <c r="BG580" s="151"/>
      <c r="BH580" s="151"/>
      <c r="BI580" s="151"/>
    </row>
    <row r="581" spans="1:61" x14ac:dyDescent="0.25">
      <c r="A581" s="149"/>
      <c r="B581" s="149"/>
      <c r="C581" s="149"/>
      <c r="D581" s="149"/>
      <c r="E581" s="150"/>
      <c r="F581" s="150"/>
      <c r="G581" s="149"/>
      <c r="H581" s="149"/>
      <c r="I581" s="149"/>
      <c r="J581" s="150"/>
      <c r="K581" s="150"/>
      <c r="L581" s="149"/>
      <c r="M581" s="149"/>
      <c r="N581" s="149"/>
      <c r="O581" s="150"/>
      <c r="P581" s="150"/>
      <c r="Q581" s="149"/>
      <c r="R581" s="149"/>
      <c r="S581" s="149"/>
      <c r="T581" s="150"/>
      <c r="U581" s="150"/>
      <c r="V581" s="150"/>
      <c r="W581" s="150"/>
      <c r="X581" s="150"/>
      <c r="Y581" s="150"/>
      <c r="Z581" s="150"/>
      <c r="AA581" s="150"/>
      <c r="AB581" s="150"/>
      <c r="AC581" s="149"/>
      <c r="AD581" s="149"/>
      <c r="AE581" s="149"/>
      <c r="AF581" s="150"/>
      <c r="AG581" s="150"/>
      <c r="AH581" s="149"/>
      <c r="AI581" s="149"/>
      <c r="AJ581" s="149"/>
      <c r="AK581" s="150"/>
      <c r="AL581" s="150"/>
      <c r="AM581" s="149"/>
      <c r="AN581" s="149"/>
      <c r="AO581" s="149"/>
      <c r="AP581" s="150"/>
      <c r="AQ581" s="150"/>
      <c r="AR581" s="150"/>
      <c r="AS581" s="150"/>
      <c r="AT581" s="150"/>
      <c r="AU581" s="150"/>
      <c r="AV581" s="150"/>
      <c r="AW581" s="150"/>
      <c r="AX581" s="150"/>
      <c r="AY581" s="151"/>
      <c r="AZ581" s="151"/>
      <c r="BA581" s="151"/>
      <c r="BB581" s="151"/>
      <c r="BC581" s="151"/>
      <c r="BD581" s="151"/>
      <c r="BE581" s="151"/>
      <c r="BF581" s="151"/>
      <c r="BG581" s="151"/>
      <c r="BH581" s="151"/>
      <c r="BI581" s="151"/>
    </row>
    <row r="582" spans="1:61" x14ac:dyDescent="0.25">
      <c r="A582" s="149"/>
      <c r="B582" s="149"/>
      <c r="C582" s="149"/>
      <c r="D582" s="149"/>
      <c r="E582" s="150"/>
      <c r="F582" s="150"/>
      <c r="G582" s="149"/>
      <c r="H582" s="149"/>
      <c r="I582" s="149"/>
      <c r="J582" s="150"/>
      <c r="K582" s="150"/>
      <c r="L582" s="149"/>
      <c r="M582" s="149"/>
      <c r="N582" s="149"/>
      <c r="O582" s="150"/>
      <c r="P582" s="150"/>
      <c r="Q582" s="149"/>
      <c r="R582" s="149"/>
      <c r="S582" s="149"/>
      <c r="T582" s="150"/>
      <c r="U582" s="150"/>
      <c r="V582" s="150"/>
      <c r="W582" s="150"/>
      <c r="X582" s="150"/>
      <c r="Y582" s="150"/>
      <c r="Z582" s="150"/>
      <c r="AA582" s="150"/>
      <c r="AB582" s="150"/>
      <c r="AC582" s="149"/>
      <c r="AD582" s="149"/>
      <c r="AE582" s="149"/>
      <c r="AF582" s="150"/>
      <c r="AG582" s="150"/>
      <c r="AH582" s="149"/>
      <c r="AI582" s="149"/>
      <c r="AJ582" s="149"/>
      <c r="AK582" s="150"/>
      <c r="AL582" s="150"/>
      <c r="AM582" s="149"/>
      <c r="AN582" s="149"/>
      <c r="AO582" s="149"/>
      <c r="AP582" s="150"/>
      <c r="AQ582" s="150"/>
      <c r="AR582" s="150"/>
      <c r="AS582" s="150"/>
      <c r="AT582" s="150"/>
      <c r="AU582" s="150"/>
      <c r="AV582" s="150"/>
      <c r="AW582" s="150"/>
      <c r="AX582" s="150"/>
      <c r="AY582" s="151"/>
      <c r="AZ582" s="151"/>
      <c r="BA582" s="151"/>
      <c r="BB582" s="151"/>
      <c r="BC582" s="151"/>
      <c r="BD582" s="151"/>
      <c r="BE582" s="151"/>
      <c r="BF582" s="151"/>
      <c r="BG582" s="151"/>
      <c r="BH582" s="151"/>
      <c r="BI582" s="151"/>
    </row>
    <row r="583" spans="1:61" x14ac:dyDescent="0.25">
      <c r="A583" s="149"/>
      <c r="B583" s="149"/>
      <c r="C583" s="149"/>
      <c r="D583" s="149"/>
      <c r="E583" s="150"/>
      <c r="F583" s="150"/>
      <c r="G583" s="149"/>
      <c r="H583" s="149"/>
      <c r="I583" s="149"/>
      <c r="J583" s="150"/>
      <c r="K583" s="150"/>
      <c r="L583" s="149"/>
      <c r="M583" s="149"/>
      <c r="N583" s="149"/>
      <c r="O583" s="150"/>
      <c r="P583" s="150"/>
      <c r="Q583" s="149"/>
      <c r="R583" s="149"/>
      <c r="S583" s="149"/>
      <c r="T583" s="150"/>
      <c r="U583" s="150"/>
      <c r="V583" s="150"/>
      <c r="W583" s="150"/>
      <c r="X583" s="150"/>
      <c r="Y583" s="150"/>
      <c r="Z583" s="150"/>
      <c r="AA583" s="150"/>
      <c r="AB583" s="150"/>
      <c r="AC583" s="149"/>
      <c r="AD583" s="149"/>
      <c r="AE583" s="149"/>
      <c r="AF583" s="150"/>
      <c r="AG583" s="150"/>
      <c r="AH583" s="149"/>
      <c r="AI583" s="149"/>
      <c r="AJ583" s="149"/>
      <c r="AK583" s="150"/>
      <c r="AL583" s="150"/>
      <c r="AM583" s="149"/>
      <c r="AN583" s="149"/>
      <c r="AO583" s="149"/>
      <c r="AP583" s="150"/>
      <c r="AQ583" s="150"/>
      <c r="AR583" s="150"/>
      <c r="AS583" s="150"/>
      <c r="AT583" s="150"/>
      <c r="AU583" s="150"/>
      <c r="AV583" s="150"/>
      <c r="AW583" s="150"/>
      <c r="AX583" s="150"/>
      <c r="AY583" s="151"/>
      <c r="AZ583" s="151"/>
      <c r="BA583" s="151"/>
      <c r="BB583" s="151"/>
      <c r="BC583" s="151"/>
      <c r="BD583" s="151"/>
      <c r="BE583" s="151"/>
      <c r="BF583" s="151"/>
      <c r="BG583" s="151"/>
      <c r="BH583" s="151"/>
      <c r="BI583" s="151"/>
    </row>
    <row r="584" spans="1:61" x14ac:dyDescent="0.25">
      <c r="A584" s="149"/>
      <c r="B584" s="149"/>
      <c r="C584" s="149"/>
      <c r="D584" s="149"/>
      <c r="E584" s="150"/>
      <c r="F584" s="150"/>
      <c r="G584" s="149"/>
      <c r="H584" s="149"/>
      <c r="I584" s="149"/>
      <c r="J584" s="150"/>
      <c r="K584" s="150"/>
      <c r="L584" s="149"/>
      <c r="M584" s="149"/>
      <c r="N584" s="149"/>
      <c r="O584" s="150"/>
      <c r="P584" s="150"/>
      <c r="Q584" s="149"/>
      <c r="R584" s="149"/>
      <c r="S584" s="149"/>
      <c r="T584" s="150"/>
      <c r="U584" s="150"/>
      <c r="V584" s="150"/>
      <c r="W584" s="150"/>
      <c r="X584" s="150"/>
      <c r="Y584" s="150"/>
      <c r="Z584" s="150"/>
      <c r="AA584" s="150"/>
      <c r="AB584" s="150"/>
      <c r="AC584" s="149"/>
      <c r="AD584" s="149"/>
      <c r="AE584" s="149"/>
      <c r="AF584" s="150"/>
      <c r="AG584" s="150"/>
      <c r="AH584" s="149"/>
      <c r="AI584" s="149"/>
      <c r="AJ584" s="149"/>
      <c r="AK584" s="150"/>
      <c r="AL584" s="150"/>
      <c r="AM584" s="149"/>
      <c r="AN584" s="149"/>
      <c r="AO584" s="149"/>
      <c r="AP584" s="150"/>
      <c r="AQ584" s="150"/>
      <c r="AR584" s="150"/>
      <c r="AS584" s="150"/>
      <c r="AT584" s="150"/>
      <c r="AU584" s="150"/>
      <c r="AV584" s="150"/>
      <c r="AW584" s="150"/>
      <c r="AX584" s="150"/>
      <c r="AY584" s="151"/>
      <c r="AZ584" s="151"/>
      <c r="BA584" s="151"/>
      <c r="BB584" s="151"/>
      <c r="BC584" s="151"/>
      <c r="BD584" s="151"/>
      <c r="BE584" s="151"/>
      <c r="BF584" s="151"/>
      <c r="BG584" s="151"/>
      <c r="BH584" s="151"/>
      <c r="BI584" s="151"/>
    </row>
    <row r="585" spans="1:61" x14ac:dyDescent="0.25">
      <c r="A585" s="149"/>
      <c r="B585" s="149"/>
      <c r="C585" s="149"/>
      <c r="D585" s="149"/>
      <c r="E585" s="150"/>
      <c r="F585" s="150"/>
      <c r="G585" s="149"/>
      <c r="H585" s="149"/>
      <c r="I585" s="149"/>
      <c r="J585" s="150"/>
      <c r="K585" s="150"/>
      <c r="L585" s="149"/>
      <c r="M585" s="149"/>
      <c r="N585" s="149"/>
      <c r="O585" s="150"/>
      <c r="P585" s="150"/>
      <c r="Q585" s="149"/>
      <c r="R585" s="149"/>
      <c r="S585" s="149"/>
      <c r="T585" s="150"/>
      <c r="U585" s="150"/>
      <c r="V585" s="150"/>
      <c r="W585" s="150"/>
      <c r="X585" s="150"/>
      <c r="Y585" s="150"/>
      <c r="Z585" s="150"/>
      <c r="AA585" s="150"/>
      <c r="AB585" s="150"/>
      <c r="AC585" s="149"/>
      <c r="AD585" s="149"/>
      <c r="AE585" s="149"/>
      <c r="AF585" s="150"/>
      <c r="AG585" s="150"/>
      <c r="AH585" s="149"/>
      <c r="AI585" s="149"/>
      <c r="AJ585" s="149"/>
      <c r="AK585" s="150"/>
      <c r="AL585" s="150"/>
      <c r="AM585" s="149"/>
      <c r="AN585" s="149"/>
      <c r="AO585" s="149"/>
      <c r="AP585" s="150"/>
      <c r="AQ585" s="150"/>
      <c r="AR585" s="150"/>
      <c r="AS585" s="150"/>
      <c r="AT585" s="150"/>
      <c r="AU585" s="150"/>
      <c r="AV585" s="150"/>
      <c r="AW585" s="150"/>
      <c r="AX585" s="150"/>
      <c r="AY585" s="151"/>
      <c r="AZ585" s="151"/>
      <c r="BA585" s="151"/>
      <c r="BB585" s="151"/>
      <c r="BC585" s="151"/>
      <c r="BD585" s="151"/>
      <c r="BE585" s="151"/>
      <c r="BF585" s="151"/>
      <c r="BG585" s="151"/>
      <c r="BH585" s="151"/>
      <c r="BI585" s="151"/>
    </row>
    <row r="586" spans="1:61" x14ac:dyDescent="0.25">
      <c r="A586" s="149"/>
      <c r="B586" s="149"/>
      <c r="C586" s="149"/>
      <c r="D586" s="149"/>
      <c r="E586" s="150"/>
      <c r="F586" s="150"/>
      <c r="G586" s="149"/>
      <c r="H586" s="149"/>
      <c r="I586" s="149"/>
      <c r="J586" s="150"/>
      <c r="K586" s="150"/>
      <c r="L586" s="149"/>
      <c r="M586" s="149"/>
      <c r="N586" s="149"/>
      <c r="O586" s="150"/>
      <c r="P586" s="150"/>
      <c r="Q586" s="149"/>
      <c r="R586" s="149"/>
      <c r="S586" s="149"/>
      <c r="T586" s="150"/>
      <c r="U586" s="150"/>
      <c r="V586" s="150"/>
      <c r="W586" s="150"/>
      <c r="X586" s="150"/>
      <c r="Y586" s="150"/>
      <c r="Z586" s="150"/>
      <c r="AA586" s="150"/>
      <c r="AB586" s="150"/>
      <c r="AC586" s="149"/>
      <c r="AD586" s="149"/>
      <c r="AE586" s="149"/>
      <c r="AF586" s="150"/>
      <c r="AG586" s="150"/>
      <c r="AH586" s="149"/>
      <c r="AI586" s="149"/>
      <c r="AJ586" s="149"/>
      <c r="AK586" s="150"/>
      <c r="AL586" s="150"/>
      <c r="AM586" s="149"/>
      <c r="AN586" s="149"/>
      <c r="AO586" s="149"/>
      <c r="AP586" s="150"/>
      <c r="AQ586" s="150"/>
      <c r="AR586" s="150"/>
      <c r="AS586" s="150"/>
      <c r="AT586" s="150"/>
      <c r="AU586" s="150"/>
      <c r="AV586" s="150"/>
      <c r="AW586" s="150"/>
      <c r="AX586" s="150"/>
      <c r="AY586" s="151"/>
      <c r="AZ586" s="151"/>
      <c r="BA586" s="151"/>
      <c r="BB586" s="151"/>
      <c r="BC586" s="151"/>
      <c r="BD586" s="151"/>
      <c r="BE586" s="151"/>
      <c r="BF586" s="151"/>
      <c r="BG586" s="151"/>
      <c r="BH586" s="151"/>
      <c r="BI586" s="151"/>
    </row>
    <row r="587" spans="1:61" x14ac:dyDescent="0.25">
      <c r="A587" s="149"/>
      <c r="B587" s="149"/>
      <c r="C587" s="149"/>
      <c r="D587" s="149"/>
      <c r="E587" s="150"/>
      <c r="F587" s="150"/>
      <c r="G587" s="149"/>
      <c r="H587" s="149"/>
      <c r="I587" s="149"/>
      <c r="J587" s="150"/>
      <c r="K587" s="150"/>
      <c r="L587" s="149"/>
      <c r="M587" s="149"/>
      <c r="N587" s="149"/>
      <c r="O587" s="150"/>
      <c r="P587" s="150"/>
      <c r="Q587" s="149"/>
      <c r="R587" s="149"/>
      <c r="S587" s="149"/>
      <c r="T587" s="150"/>
      <c r="U587" s="150"/>
      <c r="V587" s="150"/>
      <c r="W587" s="150"/>
      <c r="X587" s="150"/>
      <c r="Y587" s="150"/>
      <c r="Z587" s="150"/>
      <c r="AA587" s="150"/>
      <c r="AB587" s="150"/>
      <c r="AC587" s="149"/>
      <c r="AD587" s="149"/>
      <c r="AE587" s="149"/>
      <c r="AF587" s="150"/>
      <c r="AG587" s="150"/>
      <c r="AH587" s="149"/>
      <c r="AI587" s="149"/>
      <c r="AJ587" s="149"/>
      <c r="AK587" s="150"/>
      <c r="AL587" s="150"/>
      <c r="AM587" s="149"/>
      <c r="AN587" s="149"/>
      <c r="AO587" s="149"/>
      <c r="AP587" s="150"/>
      <c r="AQ587" s="150"/>
      <c r="AR587" s="150"/>
      <c r="AS587" s="150"/>
      <c r="AT587" s="150"/>
      <c r="AU587" s="150"/>
      <c r="AV587" s="150"/>
      <c r="AW587" s="150"/>
      <c r="AX587" s="150"/>
      <c r="AY587" s="151"/>
      <c r="AZ587" s="151"/>
      <c r="BA587" s="151"/>
      <c r="BB587" s="151"/>
      <c r="BC587" s="151"/>
      <c r="BD587" s="151"/>
      <c r="BE587" s="151"/>
      <c r="BF587" s="151"/>
      <c r="BG587" s="151"/>
      <c r="BH587" s="151"/>
      <c r="BI587" s="151"/>
    </row>
    <row r="588" spans="1:61" x14ac:dyDescent="0.25">
      <c r="A588" s="149"/>
      <c r="B588" s="149"/>
      <c r="C588" s="149"/>
      <c r="D588" s="149"/>
      <c r="E588" s="150"/>
      <c r="F588" s="150"/>
      <c r="G588" s="149"/>
      <c r="H588" s="149"/>
      <c r="I588" s="149"/>
      <c r="J588" s="150"/>
      <c r="K588" s="150"/>
      <c r="L588" s="149"/>
      <c r="M588" s="149"/>
      <c r="N588" s="149"/>
      <c r="O588" s="150"/>
      <c r="P588" s="150"/>
      <c r="Q588" s="149"/>
      <c r="R588" s="149"/>
      <c r="S588" s="149"/>
      <c r="T588" s="150"/>
      <c r="U588" s="150"/>
      <c r="V588" s="150"/>
      <c r="W588" s="150"/>
      <c r="X588" s="150"/>
      <c r="Y588" s="150"/>
      <c r="Z588" s="150"/>
      <c r="AA588" s="150"/>
      <c r="AB588" s="150"/>
      <c r="AC588" s="149"/>
      <c r="AD588" s="149"/>
      <c r="AE588" s="149"/>
      <c r="AF588" s="150"/>
      <c r="AG588" s="150"/>
      <c r="AH588" s="149"/>
      <c r="AI588" s="149"/>
      <c r="AJ588" s="149"/>
      <c r="AK588" s="150"/>
      <c r="AL588" s="150"/>
      <c r="AM588" s="149"/>
      <c r="AN588" s="149"/>
      <c r="AO588" s="149"/>
      <c r="AP588" s="150"/>
      <c r="AQ588" s="150"/>
      <c r="AR588" s="150"/>
      <c r="AS588" s="150"/>
      <c r="AT588" s="150"/>
      <c r="AU588" s="150"/>
      <c r="AV588" s="150"/>
      <c r="AW588" s="150"/>
      <c r="AX588" s="150"/>
      <c r="AY588" s="151"/>
      <c r="AZ588" s="151"/>
      <c r="BA588" s="151"/>
      <c r="BB588" s="151"/>
      <c r="BC588" s="151"/>
      <c r="BD588" s="151"/>
      <c r="BE588" s="151"/>
      <c r="BF588" s="151"/>
      <c r="BG588" s="151"/>
      <c r="BH588" s="151"/>
      <c r="BI588" s="151"/>
    </row>
    <row r="589" spans="1:61" x14ac:dyDescent="0.25">
      <c r="A589" s="149"/>
      <c r="B589" s="149"/>
      <c r="C589" s="149"/>
      <c r="D589" s="149"/>
      <c r="E589" s="150"/>
      <c r="F589" s="150"/>
      <c r="G589" s="149"/>
      <c r="H589" s="149"/>
      <c r="I589" s="149"/>
      <c r="J589" s="150"/>
      <c r="K589" s="150"/>
      <c r="L589" s="149"/>
      <c r="M589" s="149"/>
      <c r="N589" s="149"/>
      <c r="O589" s="150"/>
      <c r="P589" s="150"/>
      <c r="Q589" s="149"/>
      <c r="R589" s="149"/>
      <c r="S589" s="149"/>
      <c r="T589" s="150"/>
      <c r="U589" s="150"/>
      <c r="V589" s="150"/>
      <c r="W589" s="150"/>
      <c r="X589" s="150"/>
      <c r="Y589" s="150"/>
      <c r="Z589" s="150"/>
      <c r="AA589" s="150"/>
      <c r="AB589" s="150"/>
      <c r="AC589" s="149"/>
      <c r="AD589" s="149"/>
      <c r="AE589" s="149"/>
      <c r="AF589" s="150"/>
      <c r="AG589" s="150"/>
      <c r="AH589" s="149"/>
      <c r="AI589" s="149"/>
      <c r="AJ589" s="149"/>
      <c r="AK589" s="150"/>
      <c r="AL589" s="150"/>
      <c r="AM589" s="149"/>
      <c r="AN589" s="149"/>
      <c r="AO589" s="149"/>
      <c r="AP589" s="150"/>
      <c r="AQ589" s="150"/>
      <c r="AR589" s="150"/>
      <c r="AS589" s="150"/>
      <c r="AT589" s="150"/>
      <c r="AU589" s="150"/>
      <c r="AV589" s="150"/>
      <c r="AW589" s="150"/>
      <c r="AX589" s="150"/>
      <c r="AY589" s="151"/>
      <c r="AZ589" s="151"/>
      <c r="BA589" s="151"/>
      <c r="BB589" s="151"/>
      <c r="BC589" s="151"/>
      <c r="BD589" s="151"/>
      <c r="BE589" s="151"/>
      <c r="BF589" s="151"/>
      <c r="BG589" s="151"/>
      <c r="BH589" s="151"/>
      <c r="BI589" s="151"/>
    </row>
    <row r="590" spans="1:61" x14ac:dyDescent="0.25">
      <c r="A590" s="149"/>
      <c r="B590" s="149"/>
      <c r="C590" s="149"/>
      <c r="D590" s="149"/>
      <c r="E590" s="150"/>
      <c r="F590" s="150"/>
      <c r="G590" s="149"/>
      <c r="H590" s="149"/>
      <c r="I590" s="149"/>
      <c r="J590" s="150"/>
      <c r="K590" s="150"/>
      <c r="L590" s="149"/>
      <c r="M590" s="149"/>
      <c r="N590" s="149"/>
      <c r="O590" s="150"/>
      <c r="P590" s="150"/>
      <c r="Q590" s="149"/>
      <c r="R590" s="149"/>
      <c r="S590" s="149"/>
      <c r="T590" s="150"/>
      <c r="U590" s="150"/>
      <c r="V590" s="150"/>
      <c r="W590" s="150"/>
      <c r="X590" s="150"/>
      <c r="Y590" s="150"/>
      <c r="Z590" s="150"/>
      <c r="AA590" s="150"/>
      <c r="AB590" s="150"/>
      <c r="AC590" s="149"/>
      <c r="AD590" s="149"/>
      <c r="AE590" s="149"/>
      <c r="AF590" s="150"/>
      <c r="AG590" s="150"/>
      <c r="AH590" s="149"/>
      <c r="AI590" s="149"/>
      <c r="AJ590" s="149"/>
      <c r="AK590" s="150"/>
      <c r="AL590" s="150"/>
      <c r="AM590" s="149"/>
      <c r="AN590" s="149"/>
      <c r="AO590" s="149"/>
      <c r="AP590" s="150"/>
      <c r="AQ590" s="150"/>
      <c r="AR590" s="150"/>
      <c r="AS590" s="150"/>
      <c r="AT590" s="150"/>
      <c r="AU590" s="150"/>
      <c r="AV590" s="150"/>
      <c r="AW590" s="150"/>
      <c r="AX590" s="150"/>
      <c r="AY590" s="151"/>
      <c r="AZ590" s="151"/>
      <c r="BA590" s="151"/>
      <c r="BB590" s="151"/>
      <c r="BC590" s="151"/>
      <c r="BD590" s="151"/>
      <c r="BE590" s="151"/>
      <c r="BF590" s="151"/>
      <c r="BG590" s="151"/>
      <c r="BH590" s="151"/>
      <c r="BI590" s="151"/>
    </row>
    <row r="591" spans="1:61" x14ac:dyDescent="0.25">
      <c r="A591" s="149"/>
      <c r="B591" s="149"/>
      <c r="C591" s="149"/>
      <c r="D591" s="149"/>
      <c r="E591" s="150"/>
      <c r="F591" s="150"/>
      <c r="G591" s="149"/>
      <c r="H591" s="149"/>
      <c r="I591" s="149"/>
      <c r="J591" s="150"/>
      <c r="K591" s="150"/>
      <c r="L591" s="149"/>
      <c r="M591" s="149"/>
      <c r="N591" s="149"/>
      <c r="O591" s="150"/>
      <c r="P591" s="150"/>
      <c r="Q591" s="149"/>
      <c r="R591" s="149"/>
      <c r="S591" s="149"/>
      <c r="T591" s="150"/>
      <c r="U591" s="150"/>
      <c r="V591" s="150"/>
      <c r="W591" s="150"/>
      <c r="X591" s="150"/>
      <c r="Y591" s="150"/>
      <c r="Z591" s="150"/>
      <c r="AA591" s="150"/>
      <c r="AB591" s="150"/>
      <c r="AC591" s="149"/>
      <c r="AD591" s="149"/>
      <c r="AE591" s="149"/>
      <c r="AF591" s="150"/>
      <c r="AG591" s="150"/>
      <c r="AH591" s="149"/>
      <c r="AI591" s="149"/>
      <c r="AJ591" s="149"/>
      <c r="AK591" s="150"/>
      <c r="AL591" s="150"/>
      <c r="AM591" s="149"/>
      <c r="AN591" s="149"/>
      <c r="AO591" s="149"/>
      <c r="AP591" s="150"/>
      <c r="AQ591" s="150"/>
      <c r="AR591" s="150"/>
      <c r="AS591" s="150"/>
      <c r="AT591" s="150"/>
      <c r="AU591" s="150"/>
      <c r="AV591" s="150"/>
      <c r="AW591" s="150"/>
      <c r="AX591" s="150"/>
      <c r="AY591" s="151"/>
      <c r="AZ591" s="151"/>
      <c r="BA591" s="151"/>
      <c r="BB591" s="151"/>
      <c r="BC591" s="151"/>
      <c r="BD591" s="151"/>
      <c r="BE591" s="151"/>
      <c r="BF591" s="151"/>
      <c r="BG591" s="151"/>
      <c r="BH591" s="151"/>
      <c r="BI591" s="151"/>
    </row>
    <row r="592" spans="1:61" x14ac:dyDescent="0.25">
      <c r="A592" s="149"/>
      <c r="B592" s="149"/>
      <c r="C592" s="149"/>
      <c r="D592" s="149"/>
      <c r="E592" s="150"/>
      <c r="F592" s="150"/>
      <c r="G592" s="149"/>
      <c r="H592" s="149"/>
      <c r="I592" s="149"/>
      <c r="J592" s="150"/>
      <c r="K592" s="150"/>
      <c r="L592" s="149"/>
      <c r="M592" s="149"/>
      <c r="N592" s="149"/>
      <c r="O592" s="150"/>
      <c r="P592" s="150"/>
      <c r="Q592" s="149"/>
      <c r="R592" s="149"/>
      <c r="S592" s="149"/>
      <c r="T592" s="150"/>
      <c r="U592" s="150"/>
      <c r="V592" s="150"/>
      <c r="W592" s="150"/>
      <c r="X592" s="150"/>
      <c r="Y592" s="150"/>
      <c r="Z592" s="150"/>
      <c r="AA592" s="150"/>
      <c r="AB592" s="150"/>
      <c r="AC592" s="149"/>
      <c r="AD592" s="149"/>
      <c r="AE592" s="149"/>
      <c r="AF592" s="150"/>
      <c r="AG592" s="150"/>
      <c r="AH592" s="149"/>
      <c r="AI592" s="149"/>
      <c r="AJ592" s="149"/>
      <c r="AK592" s="150"/>
      <c r="AL592" s="150"/>
      <c r="AM592" s="149"/>
      <c r="AN592" s="149"/>
      <c r="AO592" s="149"/>
      <c r="AP592" s="150"/>
      <c r="AQ592" s="150"/>
      <c r="AR592" s="150"/>
      <c r="AS592" s="150"/>
      <c r="AT592" s="150"/>
      <c r="AU592" s="150"/>
      <c r="AV592" s="150"/>
      <c r="AW592" s="150"/>
      <c r="AX592" s="150"/>
      <c r="AY592" s="151"/>
      <c r="AZ592" s="151"/>
      <c r="BA592" s="151"/>
      <c r="BB592" s="151"/>
      <c r="BC592" s="151"/>
      <c r="BD592" s="151"/>
      <c r="BE592" s="151"/>
      <c r="BF592" s="151"/>
      <c r="BG592" s="151"/>
      <c r="BH592" s="151"/>
      <c r="BI592" s="151"/>
    </row>
    <row r="593" spans="1:61" x14ac:dyDescent="0.25">
      <c r="A593" s="149"/>
      <c r="B593" s="149"/>
      <c r="C593" s="149"/>
      <c r="D593" s="149"/>
      <c r="E593" s="150"/>
      <c r="F593" s="150"/>
      <c r="G593" s="149"/>
      <c r="H593" s="149"/>
      <c r="I593" s="149"/>
      <c r="J593" s="150"/>
      <c r="K593" s="150"/>
      <c r="L593" s="149"/>
      <c r="M593" s="149"/>
      <c r="N593" s="149"/>
      <c r="O593" s="150"/>
      <c r="P593" s="150"/>
      <c r="Q593" s="149"/>
      <c r="R593" s="149"/>
      <c r="S593" s="149"/>
      <c r="T593" s="150"/>
      <c r="U593" s="150"/>
      <c r="V593" s="150"/>
      <c r="W593" s="150"/>
      <c r="X593" s="150"/>
      <c r="Y593" s="150"/>
      <c r="Z593" s="150"/>
      <c r="AA593" s="150"/>
      <c r="AB593" s="150"/>
      <c r="AC593" s="149"/>
      <c r="AD593" s="149"/>
      <c r="AE593" s="149"/>
      <c r="AF593" s="150"/>
      <c r="AG593" s="150"/>
      <c r="AH593" s="149"/>
      <c r="AI593" s="149"/>
      <c r="AJ593" s="149"/>
      <c r="AK593" s="150"/>
      <c r="AL593" s="150"/>
      <c r="AM593" s="149"/>
      <c r="AN593" s="149"/>
      <c r="AO593" s="149"/>
      <c r="AP593" s="150"/>
      <c r="AQ593" s="150"/>
      <c r="AR593" s="150"/>
      <c r="AS593" s="150"/>
      <c r="AT593" s="150"/>
      <c r="AU593" s="150"/>
      <c r="AV593" s="150"/>
      <c r="AW593" s="150"/>
      <c r="AX593" s="150"/>
      <c r="AY593" s="151"/>
      <c r="AZ593" s="151"/>
      <c r="BA593" s="151"/>
      <c r="BB593" s="151"/>
      <c r="BC593" s="151"/>
      <c r="BD593" s="151"/>
      <c r="BE593" s="151"/>
      <c r="BF593" s="151"/>
      <c r="BG593" s="151"/>
      <c r="BH593" s="151"/>
      <c r="BI593" s="151"/>
    </row>
    <row r="594" spans="1:61" x14ac:dyDescent="0.25">
      <c r="A594" s="149"/>
      <c r="B594" s="149"/>
      <c r="C594" s="149"/>
      <c r="D594" s="149"/>
      <c r="E594" s="150"/>
      <c r="F594" s="150"/>
      <c r="G594" s="149"/>
      <c r="H594" s="149"/>
      <c r="I594" s="149"/>
      <c r="J594" s="150"/>
      <c r="K594" s="150"/>
      <c r="L594" s="149"/>
      <c r="M594" s="149"/>
      <c r="N594" s="149"/>
      <c r="O594" s="150"/>
      <c r="P594" s="150"/>
      <c r="Q594" s="149"/>
      <c r="R594" s="149"/>
      <c r="S594" s="149"/>
      <c r="T594" s="150"/>
      <c r="U594" s="150"/>
      <c r="V594" s="150"/>
      <c r="W594" s="150"/>
      <c r="X594" s="150"/>
      <c r="Y594" s="150"/>
      <c r="Z594" s="150"/>
      <c r="AA594" s="150"/>
      <c r="AB594" s="150"/>
      <c r="AC594" s="149"/>
      <c r="AD594" s="149"/>
      <c r="AE594" s="149"/>
      <c r="AF594" s="150"/>
      <c r="AG594" s="150"/>
      <c r="AH594" s="149"/>
      <c r="AI594" s="149"/>
      <c r="AJ594" s="149"/>
      <c r="AK594" s="150"/>
      <c r="AL594" s="150"/>
      <c r="AM594" s="149"/>
      <c r="AN594" s="149"/>
      <c r="AO594" s="149"/>
      <c r="AP594" s="150"/>
      <c r="AQ594" s="150"/>
      <c r="AR594" s="150"/>
      <c r="AS594" s="150"/>
      <c r="AT594" s="150"/>
      <c r="AU594" s="150"/>
      <c r="AV594" s="150"/>
      <c r="AW594" s="150"/>
      <c r="AX594" s="150"/>
      <c r="AY594" s="151"/>
      <c r="AZ594" s="151"/>
      <c r="BA594" s="151"/>
      <c r="BB594" s="151"/>
      <c r="BC594" s="151"/>
      <c r="BD594" s="151"/>
      <c r="BE594" s="151"/>
      <c r="BF594" s="151"/>
      <c r="BG594" s="151"/>
      <c r="BH594" s="151"/>
      <c r="BI594" s="151"/>
    </row>
    <row r="595" spans="1:61" x14ac:dyDescent="0.25">
      <c r="A595" s="149"/>
      <c r="B595" s="149"/>
      <c r="C595" s="149"/>
      <c r="D595" s="149"/>
      <c r="E595" s="150"/>
      <c r="F595" s="150"/>
      <c r="G595" s="149"/>
      <c r="H595" s="149"/>
      <c r="I595" s="149"/>
      <c r="J595" s="150"/>
      <c r="K595" s="150"/>
      <c r="L595" s="149"/>
      <c r="M595" s="149"/>
      <c r="N595" s="149"/>
      <c r="O595" s="150"/>
      <c r="P595" s="150"/>
      <c r="Q595" s="149"/>
      <c r="R595" s="149"/>
      <c r="S595" s="149"/>
      <c r="T595" s="150"/>
      <c r="U595" s="150"/>
      <c r="V595" s="150"/>
      <c r="W595" s="150"/>
      <c r="X595" s="150"/>
      <c r="Y595" s="150"/>
      <c r="Z595" s="150"/>
      <c r="AA595" s="150"/>
      <c r="AB595" s="150"/>
      <c r="AC595" s="149"/>
      <c r="AD595" s="149"/>
      <c r="AE595" s="149"/>
      <c r="AF595" s="150"/>
      <c r="AG595" s="150"/>
      <c r="AH595" s="149"/>
      <c r="AI595" s="149"/>
      <c r="AJ595" s="149"/>
      <c r="AK595" s="150"/>
      <c r="AL595" s="150"/>
      <c r="AM595" s="149"/>
      <c r="AN595" s="149"/>
      <c r="AO595" s="149"/>
      <c r="AP595" s="150"/>
      <c r="AQ595" s="150"/>
      <c r="AR595" s="150"/>
      <c r="AS595" s="150"/>
      <c r="AT595" s="150"/>
      <c r="AU595" s="150"/>
      <c r="AV595" s="150"/>
      <c r="AW595" s="150"/>
      <c r="AX595" s="150"/>
      <c r="AY595" s="151"/>
      <c r="AZ595" s="151"/>
      <c r="BA595" s="151"/>
      <c r="BB595" s="151"/>
      <c r="BC595" s="151"/>
      <c r="BD595" s="151"/>
      <c r="BE595" s="151"/>
      <c r="BF595" s="151"/>
      <c r="BG595" s="151"/>
      <c r="BH595" s="151"/>
      <c r="BI595" s="151"/>
    </row>
    <row r="596" spans="1:61" x14ac:dyDescent="0.25">
      <c r="A596" s="149"/>
      <c r="B596" s="149"/>
      <c r="C596" s="149"/>
      <c r="D596" s="149"/>
      <c r="E596" s="150"/>
      <c r="F596" s="150"/>
      <c r="G596" s="149"/>
      <c r="H596" s="149"/>
      <c r="I596" s="149"/>
      <c r="J596" s="150"/>
      <c r="K596" s="150"/>
      <c r="L596" s="149"/>
      <c r="M596" s="149"/>
      <c r="N596" s="149"/>
      <c r="O596" s="150"/>
      <c r="P596" s="150"/>
      <c r="Q596" s="149"/>
      <c r="R596" s="149"/>
      <c r="S596" s="149"/>
      <c r="T596" s="150"/>
      <c r="U596" s="150"/>
      <c r="V596" s="150"/>
      <c r="W596" s="150"/>
      <c r="X596" s="150"/>
      <c r="Y596" s="150"/>
      <c r="Z596" s="150"/>
      <c r="AA596" s="150"/>
      <c r="AB596" s="150"/>
      <c r="AC596" s="149"/>
      <c r="AD596" s="149"/>
      <c r="AE596" s="149"/>
      <c r="AF596" s="150"/>
      <c r="AG596" s="150"/>
      <c r="AH596" s="149"/>
      <c r="AI596" s="149"/>
      <c r="AJ596" s="149"/>
      <c r="AK596" s="150"/>
      <c r="AL596" s="150"/>
      <c r="AM596" s="149"/>
      <c r="AN596" s="149"/>
      <c r="AO596" s="149"/>
      <c r="AP596" s="150"/>
      <c r="AQ596" s="150"/>
      <c r="AR596" s="150"/>
      <c r="AS596" s="150"/>
      <c r="AT596" s="150"/>
      <c r="AU596" s="150"/>
      <c r="AV596" s="150"/>
      <c r="AW596" s="150"/>
      <c r="AX596" s="150"/>
      <c r="AY596" s="151"/>
      <c r="AZ596" s="151"/>
      <c r="BA596" s="151"/>
      <c r="BB596" s="151"/>
      <c r="BC596" s="151"/>
      <c r="BD596" s="151"/>
      <c r="BE596" s="151"/>
      <c r="BF596" s="151"/>
      <c r="BG596" s="151"/>
      <c r="BH596" s="151"/>
      <c r="BI596" s="151"/>
    </row>
    <row r="597" spans="1:61" x14ac:dyDescent="0.25">
      <c r="A597" s="149"/>
      <c r="B597" s="149"/>
      <c r="C597" s="149"/>
      <c r="D597" s="149"/>
      <c r="E597" s="150"/>
      <c r="F597" s="150"/>
      <c r="G597" s="149"/>
      <c r="H597" s="149"/>
      <c r="I597" s="149"/>
      <c r="J597" s="150"/>
      <c r="K597" s="150"/>
      <c r="L597" s="149"/>
      <c r="M597" s="149"/>
      <c r="N597" s="149"/>
      <c r="O597" s="150"/>
      <c r="P597" s="150"/>
      <c r="Q597" s="149"/>
      <c r="R597" s="149"/>
      <c r="S597" s="149"/>
      <c r="T597" s="150"/>
      <c r="U597" s="150"/>
      <c r="V597" s="150"/>
      <c r="W597" s="150"/>
      <c r="X597" s="150"/>
      <c r="Y597" s="150"/>
      <c r="Z597" s="150"/>
      <c r="AA597" s="150"/>
      <c r="AB597" s="150"/>
      <c r="AC597" s="149"/>
      <c r="AD597" s="149"/>
      <c r="AE597" s="149"/>
      <c r="AF597" s="150"/>
      <c r="AG597" s="150"/>
      <c r="AH597" s="149"/>
      <c r="AI597" s="149"/>
      <c r="AJ597" s="149"/>
      <c r="AK597" s="150"/>
      <c r="AL597" s="150"/>
      <c r="AM597" s="149"/>
      <c r="AN597" s="149"/>
      <c r="AO597" s="149"/>
      <c r="AP597" s="150"/>
      <c r="AQ597" s="150"/>
      <c r="AR597" s="150"/>
      <c r="AS597" s="150"/>
      <c r="AT597" s="150"/>
      <c r="AU597" s="150"/>
      <c r="AV597" s="150"/>
      <c r="AW597" s="150"/>
      <c r="AX597" s="150"/>
      <c r="AY597" s="151"/>
      <c r="AZ597" s="151"/>
      <c r="BA597" s="151"/>
      <c r="BB597" s="151"/>
      <c r="BC597" s="151"/>
      <c r="BD597" s="151"/>
      <c r="BE597" s="151"/>
      <c r="BF597" s="151"/>
      <c r="BG597" s="151"/>
      <c r="BH597" s="151"/>
      <c r="BI597" s="151"/>
    </row>
    <row r="598" spans="1:61" x14ac:dyDescent="0.25">
      <c r="A598" s="149"/>
      <c r="B598" s="149"/>
      <c r="C598" s="149"/>
      <c r="D598" s="149"/>
      <c r="E598" s="150"/>
      <c r="F598" s="150"/>
      <c r="G598" s="149"/>
      <c r="H598" s="149"/>
      <c r="I598" s="149"/>
      <c r="J598" s="150"/>
      <c r="K598" s="150"/>
      <c r="L598" s="149"/>
      <c r="M598" s="149"/>
      <c r="N598" s="149"/>
      <c r="O598" s="150"/>
      <c r="P598" s="150"/>
      <c r="Q598" s="149"/>
      <c r="R598" s="149"/>
      <c r="S598" s="149"/>
      <c r="T598" s="150"/>
      <c r="U598" s="150"/>
      <c r="V598" s="150"/>
      <c r="W598" s="150"/>
      <c r="X598" s="150"/>
      <c r="Y598" s="150"/>
      <c r="Z598" s="150"/>
      <c r="AA598" s="150"/>
      <c r="AB598" s="150"/>
      <c r="AC598" s="149"/>
      <c r="AD598" s="149"/>
      <c r="AE598" s="149"/>
      <c r="AF598" s="150"/>
      <c r="AG598" s="150"/>
      <c r="AH598" s="149"/>
      <c r="AI598" s="149"/>
      <c r="AJ598" s="149"/>
      <c r="AK598" s="150"/>
      <c r="AL598" s="150"/>
      <c r="AM598" s="149"/>
      <c r="AN598" s="149"/>
      <c r="AO598" s="149"/>
      <c r="AP598" s="150"/>
      <c r="AQ598" s="150"/>
      <c r="AR598" s="150"/>
      <c r="AS598" s="150"/>
      <c r="AT598" s="150"/>
      <c r="AU598" s="150"/>
      <c r="AV598" s="150"/>
      <c r="AW598" s="150"/>
      <c r="AX598" s="150"/>
      <c r="AY598" s="151"/>
      <c r="AZ598" s="151"/>
      <c r="BA598" s="151"/>
      <c r="BB598" s="151"/>
      <c r="BC598" s="151"/>
      <c r="BD598" s="151"/>
      <c r="BE598" s="151"/>
      <c r="BF598" s="151"/>
      <c r="BG598" s="151"/>
      <c r="BH598" s="151"/>
      <c r="BI598" s="151"/>
    </row>
    <row r="599" spans="1:61" x14ac:dyDescent="0.25">
      <c r="A599" s="149"/>
      <c r="B599" s="149"/>
      <c r="C599" s="149"/>
      <c r="D599" s="149"/>
      <c r="E599" s="150"/>
      <c r="F599" s="150"/>
      <c r="G599" s="149"/>
      <c r="H599" s="149"/>
      <c r="I599" s="149"/>
      <c r="J599" s="150"/>
      <c r="K599" s="150"/>
      <c r="L599" s="149"/>
      <c r="M599" s="149"/>
      <c r="N599" s="149"/>
      <c r="O599" s="150"/>
      <c r="P599" s="150"/>
      <c r="Q599" s="149"/>
      <c r="R599" s="149"/>
      <c r="S599" s="149"/>
      <c r="T599" s="150"/>
      <c r="U599" s="150"/>
      <c r="V599" s="150"/>
      <c r="W599" s="150"/>
      <c r="X599" s="150"/>
      <c r="Y599" s="150"/>
      <c r="Z599" s="150"/>
      <c r="AA599" s="150"/>
      <c r="AB599" s="150"/>
      <c r="AC599" s="149"/>
      <c r="AD599" s="149"/>
      <c r="AE599" s="149"/>
      <c r="AF599" s="150"/>
      <c r="AG599" s="150"/>
      <c r="AH599" s="149"/>
      <c r="AI599" s="149"/>
      <c r="AJ599" s="149"/>
      <c r="AK599" s="150"/>
      <c r="AL599" s="150"/>
      <c r="AM599" s="149"/>
      <c r="AN599" s="149"/>
      <c r="AO599" s="149"/>
      <c r="AP599" s="150"/>
      <c r="AQ599" s="150"/>
      <c r="AR599" s="150"/>
      <c r="AS599" s="150"/>
      <c r="AT599" s="150"/>
      <c r="AU599" s="150"/>
      <c r="AV599" s="150"/>
      <c r="AW599" s="150"/>
      <c r="AX599" s="150"/>
      <c r="AY599" s="151"/>
      <c r="AZ599" s="151"/>
      <c r="BA599" s="151"/>
      <c r="BB599" s="151"/>
      <c r="BC599" s="151"/>
      <c r="BD599" s="151"/>
      <c r="BE599" s="151"/>
      <c r="BF599" s="151"/>
      <c r="BG599" s="151"/>
      <c r="BH599" s="151"/>
      <c r="BI599" s="151"/>
    </row>
    <row r="600" spans="1:61" x14ac:dyDescent="0.25">
      <c r="A600" s="149"/>
      <c r="B600" s="149"/>
      <c r="C600" s="149"/>
      <c r="D600" s="149"/>
      <c r="E600" s="150"/>
      <c r="F600" s="150"/>
      <c r="G600" s="149"/>
      <c r="H600" s="149"/>
      <c r="I600" s="149"/>
      <c r="J600" s="150"/>
      <c r="K600" s="150"/>
      <c r="L600" s="149"/>
      <c r="M600" s="149"/>
      <c r="N600" s="149"/>
      <c r="O600" s="150"/>
      <c r="P600" s="150"/>
      <c r="Q600" s="149"/>
      <c r="R600" s="149"/>
      <c r="S600" s="149"/>
      <c r="T600" s="150"/>
      <c r="U600" s="150"/>
      <c r="V600" s="150"/>
      <c r="W600" s="150"/>
      <c r="X600" s="150"/>
      <c r="Y600" s="150"/>
      <c r="Z600" s="150"/>
      <c r="AA600" s="150"/>
      <c r="AB600" s="150"/>
      <c r="AC600" s="149"/>
      <c r="AD600" s="149"/>
      <c r="AE600" s="149"/>
      <c r="AF600" s="150"/>
      <c r="AG600" s="150"/>
      <c r="AH600" s="149"/>
      <c r="AI600" s="149"/>
      <c r="AJ600" s="149"/>
      <c r="AK600" s="150"/>
      <c r="AL600" s="150"/>
      <c r="AM600" s="149"/>
      <c r="AN600" s="149"/>
      <c r="AO600" s="149"/>
      <c r="AP600" s="150"/>
      <c r="AQ600" s="150"/>
      <c r="AR600" s="150"/>
      <c r="AS600" s="150"/>
      <c r="AT600" s="150"/>
      <c r="AU600" s="150"/>
      <c r="AV600" s="150"/>
      <c r="AW600" s="150"/>
      <c r="AX600" s="150"/>
      <c r="AY600" s="151"/>
      <c r="AZ600" s="151"/>
      <c r="BA600" s="151"/>
      <c r="BB600" s="151"/>
      <c r="BC600" s="151"/>
      <c r="BD600" s="151"/>
      <c r="BE600" s="151"/>
      <c r="BF600" s="151"/>
      <c r="BG600" s="151"/>
      <c r="BH600" s="151"/>
      <c r="BI600" s="151"/>
    </row>
    <row r="601" spans="1:61" x14ac:dyDescent="0.25">
      <c r="A601" s="149"/>
      <c r="B601" s="149"/>
      <c r="C601" s="149"/>
      <c r="D601" s="149"/>
      <c r="E601" s="150"/>
      <c r="F601" s="150"/>
      <c r="G601" s="149"/>
      <c r="H601" s="149"/>
      <c r="I601" s="149"/>
      <c r="J601" s="150"/>
      <c r="K601" s="150"/>
      <c r="L601" s="149"/>
      <c r="M601" s="149"/>
      <c r="N601" s="149"/>
      <c r="O601" s="150"/>
      <c r="P601" s="150"/>
      <c r="Q601" s="149"/>
      <c r="R601" s="149"/>
      <c r="S601" s="149"/>
      <c r="T601" s="150"/>
      <c r="U601" s="150"/>
      <c r="V601" s="150"/>
      <c r="W601" s="150"/>
      <c r="X601" s="150"/>
      <c r="Y601" s="150"/>
      <c r="Z601" s="150"/>
      <c r="AA601" s="150"/>
      <c r="AB601" s="150"/>
      <c r="AC601" s="149"/>
      <c r="AD601" s="149"/>
      <c r="AE601" s="149"/>
      <c r="AF601" s="150"/>
      <c r="AG601" s="150"/>
      <c r="AH601" s="149"/>
      <c r="AI601" s="149"/>
      <c r="AJ601" s="149"/>
      <c r="AK601" s="150"/>
      <c r="AL601" s="150"/>
      <c r="AM601" s="149"/>
      <c r="AN601" s="149"/>
      <c r="AO601" s="149"/>
      <c r="AP601" s="150"/>
      <c r="AQ601" s="150"/>
      <c r="AR601" s="150"/>
      <c r="AS601" s="150"/>
      <c r="AT601" s="150"/>
      <c r="AU601" s="150"/>
      <c r="AV601" s="150"/>
      <c r="AW601" s="150"/>
      <c r="AX601" s="150"/>
      <c r="AY601" s="151"/>
      <c r="AZ601" s="151"/>
      <c r="BA601" s="151"/>
      <c r="BB601" s="151"/>
      <c r="BC601" s="151"/>
      <c r="BD601" s="151"/>
      <c r="BE601" s="151"/>
      <c r="BF601" s="151"/>
      <c r="BG601" s="151"/>
      <c r="BH601" s="151"/>
      <c r="BI601" s="151"/>
    </row>
    <row r="602" spans="1:61" x14ac:dyDescent="0.25">
      <c r="A602" s="149"/>
      <c r="B602" s="149"/>
      <c r="C602" s="149"/>
      <c r="D602" s="149"/>
      <c r="E602" s="150"/>
      <c r="F602" s="150"/>
      <c r="G602" s="149"/>
      <c r="H602" s="149"/>
      <c r="I602" s="149"/>
      <c r="J602" s="150"/>
      <c r="K602" s="150"/>
      <c r="L602" s="149"/>
      <c r="M602" s="149"/>
      <c r="N602" s="149"/>
      <c r="O602" s="150"/>
      <c r="P602" s="150"/>
      <c r="Q602" s="149"/>
      <c r="R602" s="149"/>
      <c r="S602" s="149"/>
      <c r="T602" s="150"/>
      <c r="U602" s="150"/>
      <c r="V602" s="150"/>
      <c r="W602" s="150"/>
      <c r="X602" s="150"/>
      <c r="Y602" s="150"/>
      <c r="Z602" s="150"/>
      <c r="AA602" s="150"/>
      <c r="AB602" s="150"/>
      <c r="AC602" s="149"/>
      <c r="AD602" s="149"/>
      <c r="AE602" s="149"/>
      <c r="AF602" s="150"/>
      <c r="AG602" s="150"/>
      <c r="AH602" s="149"/>
      <c r="AI602" s="149"/>
      <c r="AJ602" s="149"/>
      <c r="AK602" s="150"/>
      <c r="AL602" s="150"/>
      <c r="AM602" s="149"/>
      <c r="AN602" s="149"/>
      <c r="AO602" s="149"/>
      <c r="AP602" s="150"/>
      <c r="AQ602" s="150"/>
      <c r="AR602" s="150"/>
      <c r="AS602" s="150"/>
      <c r="AT602" s="150"/>
      <c r="AU602" s="150"/>
      <c r="AV602" s="150"/>
      <c r="AW602" s="150"/>
      <c r="AX602" s="150"/>
      <c r="AY602" s="151"/>
      <c r="AZ602" s="151"/>
      <c r="BA602" s="151"/>
      <c r="BB602" s="151"/>
      <c r="BC602" s="151"/>
      <c r="BD602" s="151"/>
      <c r="BE602" s="151"/>
      <c r="BF602" s="151"/>
      <c r="BG602" s="151"/>
      <c r="BH602" s="151"/>
      <c r="BI602" s="151"/>
    </row>
    <row r="603" spans="1:61" x14ac:dyDescent="0.25">
      <c r="A603" s="149"/>
      <c r="B603" s="149"/>
      <c r="C603" s="149"/>
      <c r="D603" s="149"/>
      <c r="E603" s="150"/>
      <c r="F603" s="150"/>
      <c r="G603" s="149"/>
      <c r="H603" s="149"/>
      <c r="I603" s="149"/>
      <c r="J603" s="150"/>
      <c r="K603" s="150"/>
      <c r="L603" s="149"/>
      <c r="M603" s="149"/>
      <c r="N603" s="149"/>
      <c r="O603" s="150"/>
      <c r="P603" s="150"/>
      <c r="Q603" s="149"/>
      <c r="R603" s="149"/>
      <c r="S603" s="149"/>
      <c r="T603" s="150"/>
      <c r="U603" s="150"/>
      <c r="V603" s="150"/>
      <c r="W603" s="150"/>
      <c r="X603" s="150"/>
      <c r="Y603" s="150"/>
      <c r="Z603" s="150"/>
      <c r="AA603" s="150"/>
      <c r="AB603" s="150"/>
      <c r="AC603" s="149"/>
      <c r="AD603" s="149"/>
      <c r="AE603" s="149"/>
      <c r="AF603" s="150"/>
      <c r="AG603" s="150"/>
      <c r="AH603" s="149"/>
      <c r="AI603" s="149"/>
      <c r="AJ603" s="149"/>
      <c r="AK603" s="150"/>
      <c r="AL603" s="150"/>
      <c r="AM603" s="149"/>
      <c r="AN603" s="149"/>
      <c r="AO603" s="149"/>
      <c r="AP603" s="150"/>
      <c r="AQ603" s="150"/>
      <c r="AR603" s="150"/>
      <c r="AS603" s="150"/>
      <c r="AT603" s="150"/>
      <c r="AU603" s="150"/>
      <c r="AV603" s="150"/>
      <c r="AW603" s="150"/>
      <c r="AX603" s="150"/>
      <c r="AY603" s="151"/>
      <c r="AZ603" s="151"/>
      <c r="BA603" s="151"/>
      <c r="BB603" s="151"/>
      <c r="BC603" s="151"/>
      <c r="BD603" s="151"/>
      <c r="BE603" s="151"/>
      <c r="BF603" s="151"/>
      <c r="BG603" s="151"/>
      <c r="BH603" s="151"/>
      <c r="BI603" s="151"/>
    </row>
    <row r="604" spans="1:61" x14ac:dyDescent="0.25">
      <c r="A604" s="149"/>
      <c r="B604" s="149"/>
      <c r="C604" s="149"/>
      <c r="D604" s="149"/>
      <c r="E604" s="150"/>
      <c r="F604" s="150"/>
      <c r="G604" s="149"/>
      <c r="H604" s="149"/>
      <c r="I604" s="149"/>
      <c r="J604" s="150"/>
      <c r="K604" s="150"/>
      <c r="L604" s="149"/>
      <c r="M604" s="149"/>
      <c r="N604" s="149"/>
      <c r="O604" s="150"/>
      <c r="P604" s="150"/>
      <c r="Q604" s="149"/>
      <c r="R604" s="149"/>
      <c r="S604" s="149"/>
      <c r="T604" s="150"/>
      <c r="U604" s="150"/>
      <c r="V604" s="150"/>
      <c r="W604" s="150"/>
      <c r="X604" s="150"/>
      <c r="Y604" s="150"/>
      <c r="Z604" s="150"/>
      <c r="AA604" s="150"/>
      <c r="AB604" s="150"/>
      <c r="AC604" s="149"/>
      <c r="AD604" s="149"/>
      <c r="AE604" s="149"/>
      <c r="AF604" s="150"/>
      <c r="AG604" s="150"/>
      <c r="AH604" s="149"/>
      <c r="AI604" s="149"/>
      <c r="AJ604" s="149"/>
      <c r="AK604" s="150"/>
      <c r="AL604" s="150"/>
      <c r="AM604" s="149"/>
      <c r="AN604" s="149"/>
      <c r="AO604" s="149"/>
      <c r="AP604" s="150"/>
      <c r="AQ604" s="150"/>
      <c r="AR604" s="150"/>
      <c r="AS604" s="150"/>
      <c r="AT604" s="150"/>
      <c r="AU604" s="150"/>
      <c r="AV604" s="150"/>
      <c r="AW604" s="150"/>
      <c r="AX604" s="150"/>
      <c r="AY604" s="151"/>
      <c r="AZ604" s="151"/>
      <c r="BA604" s="151"/>
      <c r="BB604" s="151"/>
      <c r="BC604" s="151"/>
      <c r="BD604" s="151"/>
      <c r="BE604" s="151"/>
      <c r="BF604" s="151"/>
      <c r="BG604" s="151"/>
      <c r="BH604" s="151"/>
      <c r="BI604" s="151"/>
    </row>
    <row r="605" spans="1:61" x14ac:dyDescent="0.25">
      <c r="A605" s="149"/>
      <c r="B605" s="149"/>
      <c r="C605" s="149"/>
      <c r="D605" s="149"/>
      <c r="E605" s="150"/>
      <c r="F605" s="150"/>
      <c r="G605" s="149"/>
      <c r="H605" s="149"/>
      <c r="I605" s="149"/>
      <c r="J605" s="150"/>
      <c r="K605" s="150"/>
      <c r="L605" s="149"/>
      <c r="M605" s="149"/>
      <c r="N605" s="149"/>
      <c r="O605" s="150"/>
      <c r="P605" s="150"/>
      <c r="Q605" s="149"/>
      <c r="R605" s="149"/>
      <c r="S605" s="149"/>
      <c r="T605" s="150"/>
      <c r="U605" s="150"/>
      <c r="V605" s="150"/>
      <c r="W605" s="150"/>
      <c r="X605" s="150"/>
      <c r="Y605" s="150"/>
      <c r="Z605" s="150"/>
      <c r="AA605" s="150"/>
      <c r="AB605" s="150"/>
      <c r="AC605" s="149"/>
      <c r="AD605" s="149"/>
      <c r="AE605" s="149"/>
      <c r="AF605" s="150"/>
      <c r="AG605" s="150"/>
      <c r="AH605" s="149"/>
      <c r="AI605" s="149"/>
      <c r="AJ605" s="149"/>
      <c r="AK605" s="150"/>
      <c r="AL605" s="150"/>
      <c r="AM605" s="149"/>
      <c r="AN605" s="149"/>
      <c r="AO605" s="149"/>
      <c r="AP605" s="150"/>
      <c r="AQ605" s="150"/>
      <c r="AR605" s="150"/>
      <c r="AS605" s="150"/>
      <c r="AT605" s="150"/>
      <c r="AU605" s="150"/>
      <c r="AV605" s="150"/>
      <c r="AW605" s="150"/>
      <c r="AX605" s="150"/>
      <c r="AY605" s="151"/>
      <c r="AZ605" s="151"/>
      <c r="BA605" s="151"/>
      <c r="BB605" s="151"/>
      <c r="BC605" s="151"/>
      <c r="BD605" s="151"/>
      <c r="BE605" s="151"/>
      <c r="BF605" s="151"/>
      <c r="BG605" s="151"/>
      <c r="BH605" s="151"/>
      <c r="BI605" s="151"/>
    </row>
    <row r="606" spans="1:61" x14ac:dyDescent="0.25">
      <c r="A606" s="149"/>
      <c r="B606" s="149"/>
      <c r="C606" s="149"/>
      <c r="D606" s="149"/>
      <c r="E606" s="150"/>
      <c r="F606" s="150"/>
      <c r="G606" s="149"/>
      <c r="H606" s="149"/>
      <c r="I606" s="149"/>
      <c r="J606" s="150"/>
      <c r="K606" s="150"/>
      <c r="L606" s="149"/>
      <c r="M606" s="149"/>
      <c r="N606" s="149"/>
      <c r="O606" s="150"/>
      <c r="P606" s="150"/>
      <c r="Q606" s="149"/>
      <c r="R606" s="149"/>
      <c r="S606" s="149"/>
      <c r="T606" s="150"/>
      <c r="U606" s="150"/>
      <c r="V606" s="150"/>
      <c r="W606" s="150"/>
      <c r="X606" s="150"/>
      <c r="Y606" s="150"/>
      <c r="Z606" s="150"/>
      <c r="AA606" s="150"/>
      <c r="AB606" s="150"/>
      <c r="AC606" s="149"/>
      <c r="AD606" s="149"/>
      <c r="AE606" s="149"/>
      <c r="AF606" s="150"/>
      <c r="AG606" s="150"/>
      <c r="AH606" s="149"/>
      <c r="AI606" s="149"/>
      <c r="AJ606" s="149"/>
      <c r="AK606" s="150"/>
      <c r="AL606" s="150"/>
      <c r="AM606" s="149"/>
      <c r="AN606" s="149"/>
      <c r="AO606" s="149"/>
      <c r="AP606" s="150"/>
      <c r="AQ606" s="150"/>
      <c r="AR606" s="150"/>
      <c r="AS606" s="150"/>
      <c r="AT606" s="150"/>
      <c r="AU606" s="150"/>
      <c r="AV606" s="150"/>
      <c r="AW606" s="150"/>
      <c r="AX606" s="150"/>
      <c r="AY606" s="151"/>
      <c r="AZ606" s="151"/>
      <c r="BA606" s="151"/>
      <c r="BB606" s="151"/>
      <c r="BC606" s="151"/>
      <c r="BD606" s="151"/>
      <c r="BE606" s="151"/>
      <c r="BF606" s="151"/>
      <c r="BG606" s="151"/>
      <c r="BH606" s="151"/>
      <c r="BI606" s="151"/>
    </row>
    <row r="607" spans="1:61" x14ac:dyDescent="0.25">
      <c r="A607" s="149"/>
      <c r="B607" s="149"/>
      <c r="C607" s="149"/>
      <c r="D607" s="149"/>
      <c r="E607" s="150"/>
      <c r="F607" s="150"/>
      <c r="G607" s="149"/>
      <c r="H607" s="149"/>
      <c r="I607" s="149"/>
      <c r="J607" s="150"/>
      <c r="K607" s="150"/>
      <c r="L607" s="149"/>
      <c r="M607" s="149"/>
      <c r="N607" s="149"/>
      <c r="O607" s="150"/>
      <c r="P607" s="150"/>
      <c r="Q607" s="149"/>
      <c r="R607" s="149"/>
      <c r="S607" s="149"/>
      <c r="T607" s="150"/>
      <c r="U607" s="150"/>
      <c r="V607" s="150"/>
      <c r="W607" s="150"/>
      <c r="X607" s="150"/>
      <c r="Y607" s="150"/>
      <c r="Z607" s="150"/>
      <c r="AA607" s="150"/>
      <c r="AB607" s="150"/>
      <c r="AC607" s="149"/>
      <c r="AD607" s="149"/>
      <c r="AE607" s="149"/>
      <c r="AF607" s="150"/>
      <c r="AG607" s="150"/>
      <c r="AH607" s="149"/>
      <c r="AI607" s="149"/>
      <c r="AJ607" s="149"/>
      <c r="AK607" s="150"/>
      <c r="AL607" s="150"/>
      <c r="AM607" s="149"/>
      <c r="AN607" s="149"/>
      <c r="AO607" s="149"/>
      <c r="AP607" s="150"/>
      <c r="AQ607" s="150"/>
      <c r="AR607" s="150"/>
      <c r="AS607" s="150"/>
      <c r="AT607" s="150"/>
      <c r="AU607" s="150"/>
      <c r="AV607" s="150"/>
      <c r="AW607" s="150"/>
      <c r="AX607" s="150"/>
      <c r="AY607" s="151"/>
      <c r="AZ607" s="151"/>
      <c r="BA607" s="151"/>
      <c r="BB607" s="151"/>
      <c r="BC607" s="151"/>
      <c r="BD607" s="151"/>
      <c r="BE607" s="151"/>
      <c r="BF607" s="151"/>
      <c r="BG607" s="151"/>
      <c r="BH607" s="151"/>
      <c r="BI607" s="151"/>
    </row>
    <row r="608" spans="1:61" x14ac:dyDescent="0.25">
      <c r="A608" s="149"/>
      <c r="B608" s="149"/>
      <c r="C608" s="149"/>
      <c r="D608" s="149"/>
      <c r="E608" s="150"/>
      <c r="F608" s="150"/>
      <c r="G608" s="149"/>
      <c r="H608" s="149"/>
      <c r="I608" s="149"/>
      <c r="J608" s="150"/>
      <c r="K608" s="150"/>
      <c r="L608" s="149"/>
      <c r="M608" s="149"/>
      <c r="N608" s="149"/>
      <c r="O608" s="150"/>
      <c r="P608" s="150"/>
      <c r="Q608" s="149"/>
      <c r="R608" s="149"/>
      <c r="S608" s="149"/>
      <c r="T608" s="150"/>
      <c r="U608" s="150"/>
      <c r="V608" s="150"/>
      <c r="W608" s="150"/>
      <c r="X608" s="150"/>
      <c r="Y608" s="150"/>
      <c r="Z608" s="150"/>
      <c r="AA608" s="150"/>
      <c r="AB608" s="150"/>
      <c r="AC608" s="149"/>
      <c r="AD608" s="149"/>
      <c r="AE608" s="149"/>
      <c r="AF608" s="150"/>
      <c r="AG608" s="150"/>
      <c r="AH608" s="149"/>
      <c r="AI608" s="149"/>
      <c r="AJ608" s="149"/>
      <c r="AK608" s="150"/>
      <c r="AL608" s="150"/>
      <c r="AM608" s="149"/>
      <c r="AN608" s="149"/>
      <c r="AO608" s="149"/>
      <c r="AP608" s="150"/>
      <c r="AQ608" s="150"/>
      <c r="AR608" s="150"/>
      <c r="AS608" s="150"/>
      <c r="AT608" s="150"/>
      <c r="AU608" s="150"/>
      <c r="AV608" s="150"/>
      <c r="AW608" s="150"/>
      <c r="AX608" s="150"/>
      <c r="AY608" s="151"/>
      <c r="AZ608" s="151"/>
      <c r="BA608" s="151"/>
      <c r="BB608" s="151"/>
      <c r="BC608" s="151"/>
      <c r="BD608" s="151"/>
      <c r="BE608" s="151"/>
      <c r="BF608" s="151"/>
      <c r="BG608" s="151"/>
      <c r="BH608" s="151"/>
      <c r="BI608" s="151"/>
    </row>
    <row r="609" spans="1:61" x14ac:dyDescent="0.25">
      <c r="A609" s="149"/>
      <c r="B609" s="149"/>
      <c r="C609" s="149"/>
      <c r="D609" s="149"/>
      <c r="E609" s="150"/>
      <c r="F609" s="150"/>
      <c r="G609" s="149"/>
      <c r="H609" s="149"/>
      <c r="I609" s="149"/>
      <c r="J609" s="150"/>
      <c r="K609" s="150"/>
      <c r="L609" s="149"/>
      <c r="M609" s="149"/>
      <c r="N609" s="149"/>
      <c r="O609" s="150"/>
      <c r="P609" s="150"/>
      <c r="Q609" s="149"/>
      <c r="R609" s="149"/>
      <c r="S609" s="149"/>
      <c r="T609" s="150"/>
      <c r="U609" s="150"/>
      <c r="V609" s="150"/>
      <c r="W609" s="150"/>
      <c r="X609" s="150"/>
      <c r="Y609" s="150"/>
      <c r="Z609" s="150"/>
      <c r="AA609" s="150"/>
      <c r="AB609" s="150"/>
      <c r="AC609" s="149"/>
      <c r="AD609" s="149"/>
      <c r="AE609" s="149"/>
      <c r="AF609" s="150"/>
      <c r="AG609" s="150"/>
      <c r="AH609" s="149"/>
      <c r="AI609" s="149"/>
      <c r="AJ609" s="149"/>
      <c r="AK609" s="150"/>
      <c r="AL609" s="150"/>
      <c r="AM609" s="149"/>
      <c r="AN609" s="149"/>
      <c r="AO609" s="149"/>
      <c r="AP609" s="150"/>
      <c r="AQ609" s="150"/>
      <c r="AR609" s="150"/>
      <c r="AS609" s="150"/>
      <c r="AT609" s="150"/>
      <c r="AU609" s="150"/>
      <c r="AV609" s="150"/>
      <c r="AW609" s="150"/>
      <c r="AX609" s="150"/>
      <c r="AY609" s="151"/>
      <c r="AZ609" s="151"/>
      <c r="BA609" s="151"/>
      <c r="BB609" s="151"/>
      <c r="BC609" s="151"/>
      <c r="BD609" s="151"/>
      <c r="BE609" s="151"/>
      <c r="BF609" s="151"/>
      <c r="BG609" s="151"/>
      <c r="BH609" s="151"/>
      <c r="BI609" s="151"/>
    </row>
    <row r="610" spans="1:61" x14ac:dyDescent="0.25">
      <c r="A610" s="149"/>
      <c r="B610" s="149"/>
      <c r="C610" s="149"/>
      <c r="D610" s="149"/>
      <c r="E610" s="150"/>
      <c r="F610" s="150"/>
      <c r="G610" s="149"/>
      <c r="H610" s="149"/>
      <c r="I610" s="149"/>
      <c r="J610" s="150"/>
      <c r="K610" s="150"/>
      <c r="L610" s="149"/>
      <c r="M610" s="149"/>
      <c r="N610" s="149"/>
      <c r="O610" s="150"/>
      <c r="P610" s="150"/>
      <c r="Q610" s="149"/>
      <c r="R610" s="149"/>
      <c r="S610" s="149"/>
      <c r="T610" s="150"/>
      <c r="U610" s="150"/>
      <c r="V610" s="150"/>
      <c r="W610" s="150"/>
      <c r="X610" s="150"/>
      <c r="Y610" s="150"/>
      <c r="Z610" s="150"/>
      <c r="AA610" s="150"/>
      <c r="AB610" s="150"/>
      <c r="AC610" s="149"/>
      <c r="AD610" s="149"/>
      <c r="AE610" s="149"/>
      <c r="AF610" s="150"/>
      <c r="AG610" s="150"/>
      <c r="AH610" s="149"/>
      <c r="AI610" s="149"/>
      <c r="AJ610" s="149"/>
      <c r="AK610" s="150"/>
      <c r="AL610" s="150"/>
      <c r="AM610" s="149"/>
      <c r="AN610" s="149"/>
      <c r="AO610" s="149"/>
      <c r="AP610" s="150"/>
      <c r="AQ610" s="150"/>
      <c r="AR610" s="150"/>
      <c r="AS610" s="150"/>
      <c r="AT610" s="150"/>
      <c r="AU610" s="150"/>
      <c r="AV610" s="150"/>
      <c r="AW610" s="150"/>
      <c r="AX610" s="150"/>
      <c r="AY610" s="151"/>
      <c r="AZ610" s="151"/>
      <c r="BA610" s="151"/>
      <c r="BB610" s="151"/>
      <c r="BC610" s="151"/>
      <c r="BD610" s="151"/>
      <c r="BE610" s="151"/>
      <c r="BF610" s="151"/>
      <c r="BG610" s="151"/>
      <c r="BH610" s="151"/>
      <c r="BI610" s="151"/>
    </row>
    <row r="611" spans="1:61" x14ac:dyDescent="0.25">
      <c r="A611" s="149"/>
      <c r="B611" s="149"/>
      <c r="C611" s="149"/>
      <c r="D611" s="149"/>
      <c r="E611" s="150"/>
      <c r="F611" s="150"/>
      <c r="G611" s="149"/>
      <c r="H611" s="149"/>
      <c r="I611" s="149"/>
      <c r="J611" s="150"/>
      <c r="K611" s="150"/>
      <c r="L611" s="149"/>
      <c r="M611" s="149"/>
      <c r="N611" s="149"/>
      <c r="O611" s="150"/>
      <c r="P611" s="150"/>
      <c r="Q611" s="149"/>
      <c r="R611" s="149"/>
      <c r="S611" s="149"/>
      <c r="T611" s="150"/>
      <c r="U611" s="150"/>
      <c r="V611" s="150"/>
      <c r="W611" s="150"/>
      <c r="X611" s="150"/>
      <c r="Y611" s="150"/>
      <c r="Z611" s="150"/>
      <c r="AA611" s="150"/>
      <c r="AB611" s="150"/>
      <c r="AC611" s="149"/>
      <c r="AD611" s="149"/>
      <c r="AE611" s="149"/>
      <c r="AF611" s="150"/>
      <c r="AG611" s="150"/>
      <c r="AH611" s="149"/>
      <c r="AI611" s="149"/>
      <c r="AJ611" s="149"/>
      <c r="AK611" s="150"/>
      <c r="AL611" s="150"/>
      <c r="AM611" s="149"/>
      <c r="AN611" s="149"/>
      <c r="AO611" s="149"/>
      <c r="AP611" s="150"/>
      <c r="AQ611" s="150"/>
      <c r="AR611" s="150"/>
      <c r="AS611" s="150"/>
      <c r="AT611" s="150"/>
      <c r="AU611" s="150"/>
      <c r="AV611" s="150"/>
      <c r="AW611" s="150"/>
      <c r="AX611" s="150"/>
      <c r="AY611" s="151"/>
      <c r="AZ611" s="151"/>
      <c r="BA611" s="151"/>
      <c r="BB611" s="151"/>
      <c r="BC611" s="151"/>
      <c r="BD611" s="151"/>
      <c r="BE611" s="151"/>
      <c r="BF611" s="151"/>
      <c r="BG611" s="151"/>
      <c r="BH611" s="151"/>
      <c r="BI611" s="151"/>
    </row>
    <row r="612" spans="1:61" x14ac:dyDescent="0.25">
      <c r="A612" s="149"/>
      <c r="B612" s="149"/>
      <c r="C612" s="149"/>
      <c r="D612" s="149"/>
      <c r="E612" s="150"/>
      <c r="F612" s="150"/>
      <c r="G612" s="149"/>
      <c r="H612" s="149"/>
      <c r="I612" s="149"/>
      <c r="J612" s="150"/>
      <c r="K612" s="150"/>
      <c r="L612" s="149"/>
      <c r="M612" s="149"/>
      <c r="N612" s="149"/>
      <c r="O612" s="150"/>
      <c r="P612" s="150"/>
      <c r="Q612" s="149"/>
      <c r="R612" s="149"/>
      <c r="S612" s="149"/>
      <c r="T612" s="150"/>
      <c r="U612" s="150"/>
      <c r="V612" s="150"/>
      <c r="W612" s="150"/>
      <c r="X612" s="150"/>
      <c r="Y612" s="150"/>
      <c r="Z612" s="150"/>
      <c r="AA612" s="150"/>
      <c r="AB612" s="150"/>
      <c r="AC612" s="149"/>
      <c r="AD612" s="149"/>
      <c r="AE612" s="149"/>
      <c r="AF612" s="150"/>
      <c r="AG612" s="150"/>
      <c r="AH612" s="149"/>
      <c r="AI612" s="149"/>
      <c r="AJ612" s="149"/>
      <c r="AK612" s="150"/>
      <c r="AL612" s="150"/>
      <c r="AM612" s="149"/>
      <c r="AN612" s="149"/>
      <c r="AO612" s="149"/>
      <c r="AP612" s="150"/>
      <c r="AQ612" s="150"/>
      <c r="AR612" s="150"/>
      <c r="AS612" s="150"/>
      <c r="AT612" s="150"/>
      <c r="AU612" s="150"/>
      <c r="AV612" s="150"/>
      <c r="AW612" s="150"/>
      <c r="AX612" s="150"/>
      <c r="AY612" s="151"/>
      <c r="AZ612" s="151"/>
      <c r="BA612" s="151"/>
      <c r="BB612" s="151"/>
      <c r="BC612" s="151"/>
      <c r="BD612" s="151"/>
      <c r="BE612" s="151"/>
      <c r="BF612" s="151"/>
      <c r="BG612" s="151"/>
      <c r="BH612" s="151"/>
      <c r="BI612" s="151"/>
    </row>
    <row r="613" spans="1:61" x14ac:dyDescent="0.25">
      <c r="A613" s="149"/>
      <c r="B613" s="149"/>
      <c r="C613" s="149"/>
      <c r="D613" s="149"/>
      <c r="E613" s="150"/>
      <c r="F613" s="150"/>
      <c r="G613" s="149"/>
      <c r="H613" s="149"/>
      <c r="I613" s="149"/>
      <c r="J613" s="150"/>
      <c r="K613" s="150"/>
      <c r="L613" s="149"/>
      <c r="M613" s="149"/>
      <c r="N613" s="149"/>
      <c r="O613" s="150"/>
      <c r="P613" s="150"/>
      <c r="Q613" s="149"/>
      <c r="R613" s="149"/>
      <c r="S613" s="149"/>
      <c r="T613" s="150"/>
      <c r="U613" s="150"/>
      <c r="V613" s="150"/>
      <c r="W613" s="150"/>
      <c r="X613" s="150"/>
      <c r="Y613" s="150"/>
      <c r="Z613" s="150"/>
      <c r="AA613" s="150"/>
      <c r="AB613" s="150"/>
      <c r="AC613" s="149"/>
      <c r="AD613" s="149"/>
      <c r="AE613" s="149"/>
      <c r="AF613" s="150"/>
      <c r="AG613" s="150"/>
      <c r="AH613" s="149"/>
      <c r="AI613" s="149"/>
      <c r="AJ613" s="149"/>
      <c r="AK613" s="150"/>
      <c r="AL613" s="150"/>
      <c r="AM613" s="149"/>
      <c r="AN613" s="149"/>
      <c r="AO613" s="149"/>
      <c r="AP613" s="150"/>
      <c r="AQ613" s="150"/>
      <c r="AR613" s="150"/>
      <c r="AS613" s="150"/>
      <c r="AT613" s="150"/>
      <c r="AU613" s="150"/>
      <c r="AV613" s="150"/>
      <c r="AW613" s="150"/>
      <c r="AX613" s="150"/>
      <c r="AY613" s="151"/>
      <c r="AZ613" s="151"/>
      <c r="BA613" s="151"/>
      <c r="BB613" s="151"/>
      <c r="BC613" s="151"/>
      <c r="BD613" s="151"/>
      <c r="BE613" s="151"/>
      <c r="BF613" s="151"/>
      <c r="BG613" s="151"/>
      <c r="BH613" s="151"/>
      <c r="BI613" s="151"/>
    </row>
    <row r="614" spans="1:61" x14ac:dyDescent="0.25">
      <c r="A614" s="149"/>
      <c r="B614" s="149"/>
      <c r="C614" s="149"/>
      <c r="D614" s="149"/>
      <c r="E614" s="150"/>
      <c r="F614" s="150"/>
      <c r="G614" s="149"/>
      <c r="H614" s="149"/>
      <c r="I614" s="149"/>
      <c r="J614" s="150"/>
      <c r="K614" s="150"/>
      <c r="L614" s="149"/>
      <c r="M614" s="149"/>
      <c r="N614" s="149"/>
      <c r="O614" s="150"/>
      <c r="P614" s="150"/>
      <c r="Q614" s="149"/>
      <c r="R614" s="149"/>
      <c r="S614" s="149"/>
      <c r="T614" s="150"/>
      <c r="U614" s="150"/>
      <c r="V614" s="150"/>
      <c r="W614" s="150"/>
      <c r="X614" s="150"/>
      <c r="Y614" s="150"/>
      <c r="Z614" s="150"/>
      <c r="AA614" s="150"/>
      <c r="AB614" s="150"/>
      <c r="AC614" s="149"/>
      <c r="AD614" s="149"/>
      <c r="AE614" s="149"/>
      <c r="AF614" s="150"/>
      <c r="AG614" s="150"/>
      <c r="AH614" s="149"/>
      <c r="AI614" s="149"/>
      <c r="AJ614" s="149"/>
      <c r="AK614" s="150"/>
      <c r="AL614" s="150"/>
      <c r="AM614" s="149"/>
      <c r="AN614" s="149"/>
      <c r="AO614" s="149"/>
      <c r="AP614" s="150"/>
      <c r="AQ614" s="150"/>
      <c r="AR614" s="150"/>
      <c r="AS614" s="150"/>
      <c r="AT614" s="150"/>
      <c r="AU614" s="150"/>
      <c r="AV614" s="150"/>
      <c r="AW614" s="150"/>
      <c r="AX614" s="150"/>
      <c r="AY614" s="151"/>
      <c r="AZ614" s="151"/>
      <c r="BA614" s="151"/>
      <c r="BB614" s="151"/>
      <c r="BC614" s="151"/>
      <c r="BD614" s="151"/>
      <c r="BE614" s="151"/>
      <c r="BF614" s="151"/>
      <c r="BG614" s="151"/>
      <c r="BH614" s="151"/>
      <c r="BI614" s="151"/>
    </row>
    <row r="615" spans="1:61" x14ac:dyDescent="0.25">
      <c r="A615" s="149"/>
      <c r="B615" s="149"/>
      <c r="C615" s="149"/>
      <c r="D615" s="149"/>
      <c r="E615" s="150"/>
      <c r="F615" s="150"/>
      <c r="G615" s="149"/>
      <c r="H615" s="149"/>
      <c r="I615" s="149"/>
      <c r="J615" s="150"/>
      <c r="K615" s="150"/>
      <c r="L615" s="149"/>
      <c r="M615" s="149"/>
      <c r="N615" s="149"/>
      <c r="O615" s="150"/>
      <c r="P615" s="150"/>
      <c r="Q615" s="149"/>
      <c r="R615" s="149"/>
      <c r="S615" s="149"/>
      <c r="T615" s="150"/>
      <c r="U615" s="150"/>
      <c r="V615" s="150"/>
      <c r="W615" s="150"/>
      <c r="X615" s="150"/>
      <c r="Y615" s="150"/>
      <c r="Z615" s="150"/>
      <c r="AA615" s="150"/>
      <c r="AB615" s="150"/>
      <c r="AC615" s="149"/>
      <c r="AD615" s="149"/>
      <c r="AE615" s="149"/>
      <c r="AF615" s="150"/>
      <c r="AG615" s="150"/>
      <c r="AH615" s="149"/>
      <c r="AI615" s="149"/>
      <c r="AJ615" s="149"/>
      <c r="AK615" s="150"/>
      <c r="AL615" s="150"/>
      <c r="AM615" s="149"/>
      <c r="AN615" s="149"/>
      <c r="AO615" s="149"/>
      <c r="AP615" s="150"/>
      <c r="AQ615" s="150"/>
      <c r="AR615" s="150"/>
      <c r="AS615" s="150"/>
      <c r="AT615" s="150"/>
      <c r="AU615" s="150"/>
      <c r="AV615" s="150"/>
      <c r="AW615" s="150"/>
      <c r="AX615" s="150"/>
      <c r="AY615" s="151"/>
      <c r="AZ615" s="151"/>
      <c r="BA615" s="151"/>
      <c r="BB615" s="151"/>
      <c r="BC615" s="151"/>
      <c r="BD615" s="151"/>
      <c r="BE615" s="151"/>
      <c r="BF615" s="151"/>
      <c r="BG615" s="151"/>
      <c r="BH615" s="151"/>
      <c r="BI615" s="151"/>
    </row>
    <row r="616" spans="1:61" x14ac:dyDescent="0.25">
      <c r="A616" s="149"/>
      <c r="B616" s="149"/>
      <c r="C616" s="149"/>
      <c r="D616" s="149"/>
      <c r="E616" s="150"/>
      <c r="F616" s="150"/>
      <c r="G616" s="149"/>
      <c r="H616" s="149"/>
      <c r="I616" s="149"/>
      <c r="J616" s="150"/>
      <c r="K616" s="150"/>
      <c r="L616" s="149"/>
      <c r="M616" s="149"/>
      <c r="N616" s="149"/>
      <c r="O616" s="150"/>
      <c r="P616" s="150"/>
      <c r="Q616" s="149"/>
      <c r="R616" s="149"/>
      <c r="S616" s="149"/>
      <c r="T616" s="150"/>
      <c r="U616" s="150"/>
      <c r="V616" s="150"/>
      <c r="W616" s="150"/>
      <c r="X616" s="150"/>
      <c r="Y616" s="150"/>
      <c r="Z616" s="150"/>
      <c r="AA616" s="150"/>
      <c r="AB616" s="150"/>
      <c r="AC616" s="149"/>
      <c r="AD616" s="149"/>
      <c r="AE616" s="149"/>
      <c r="AF616" s="150"/>
      <c r="AG616" s="150"/>
      <c r="AH616" s="149"/>
      <c r="AI616" s="149"/>
      <c r="AJ616" s="149"/>
      <c r="AK616" s="150"/>
      <c r="AL616" s="150"/>
      <c r="AM616" s="149"/>
      <c r="AN616" s="149"/>
      <c r="AO616" s="149"/>
      <c r="AP616" s="150"/>
      <c r="AQ616" s="150"/>
      <c r="AR616" s="150"/>
      <c r="AS616" s="150"/>
      <c r="AT616" s="150"/>
      <c r="AU616" s="150"/>
      <c r="AV616" s="150"/>
      <c r="AW616" s="150"/>
      <c r="AX616" s="150"/>
      <c r="AY616" s="151"/>
      <c r="AZ616" s="151"/>
      <c r="BA616" s="151"/>
      <c r="BB616" s="151"/>
      <c r="BC616" s="151"/>
      <c r="BD616" s="151"/>
      <c r="BE616" s="151"/>
      <c r="BF616" s="151"/>
      <c r="BG616" s="151"/>
      <c r="BH616" s="151"/>
      <c r="BI616" s="151"/>
    </row>
    <row r="617" spans="1:61" x14ac:dyDescent="0.25">
      <c r="A617" s="149"/>
      <c r="B617" s="149"/>
      <c r="C617" s="149"/>
      <c r="D617" s="149"/>
      <c r="E617" s="150"/>
      <c r="F617" s="150"/>
      <c r="G617" s="149"/>
      <c r="H617" s="149"/>
      <c r="I617" s="149"/>
      <c r="J617" s="150"/>
      <c r="K617" s="150"/>
      <c r="L617" s="149"/>
      <c r="M617" s="149"/>
      <c r="N617" s="149"/>
      <c r="O617" s="150"/>
      <c r="P617" s="150"/>
      <c r="Q617" s="149"/>
      <c r="R617" s="149"/>
      <c r="S617" s="149"/>
      <c r="T617" s="150"/>
      <c r="U617" s="150"/>
      <c r="V617" s="150"/>
      <c r="W617" s="150"/>
      <c r="X617" s="150"/>
      <c r="Y617" s="150"/>
      <c r="Z617" s="150"/>
      <c r="AA617" s="150"/>
      <c r="AB617" s="150"/>
      <c r="AC617" s="149"/>
      <c r="AD617" s="149"/>
      <c r="AE617" s="149"/>
      <c r="AF617" s="150"/>
      <c r="AG617" s="150"/>
      <c r="AH617" s="149"/>
      <c r="AI617" s="149"/>
      <c r="AJ617" s="149"/>
      <c r="AK617" s="150"/>
      <c r="AL617" s="150"/>
      <c r="AM617" s="149"/>
      <c r="AN617" s="149"/>
      <c r="AO617" s="149"/>
      <c r="AP617" s="150"/>
      <c r="AQ617" s="150"/>
      <c r="AR617" s="150"/>
      <c r="AS617" s="150"/>
      <c r="AT617" s="150"/>
      <c r="AU617" s="150"/>
      <c r="AV617" s="150"/>
      <c r="AW617" s="150"/>
      <c r="AX617" s="150"/>
      <c r="AY617" s="151"/>
      <c r="AZ617" s="151"/>
      <c r="BA617" s="151"/>
      <c r="BB617" s="151"/>
      <c r="BC617" s="151"/>
      <c r="BD617" s="151"/>
      <c r="BE617" s="151"/>
      <c r="BF617" s="151"/>
      <c r="BG617" s="151"/>
      <c r="BH617" s="151"/>
      <c r="BI617" s="151"/>
    </row>
    <row r="618" spans="1:61" x14ac:dyDescent="0.25">
      <c r="A618" s="149"/>
      <c r="B618" s="149"/>
      <c r="C618" s="149"/>
      <c r="D618" s="149"/>
      <c r="E618" s="150"/>
      <c r="F618" s="150"/>
      <c r="G618" s="149"/>
      <c r="H618" s="149"/>
      <c r="I618" s="149"/>
      <c r="J618" s="150"/>
      <c r="K618" s="150"/>
      <c r="L618" s="149"/>
      <c r="M618" s="149"/>
      <c r="N618" s="149"/>
      <c r="O618" s="150"/>
      <c r="P618" s="150"/>
      <c r="Q618" s="149"/>
      <c r="R618" s="149"/>
      <c r="S618" s="149"/>
      <c r="T618" s="150"/>
      <c r="U618" s="150"/>
      <c r="V618" s="150"/>
      <c r="W618" s="150"/>
      <c r="X618" s="150"/>
      <c r="Y618" s="150"/>
      <c r="Z618" s="150"/>
      <c r="AA618" s="150"/>
      <c r="AB618" s="150"/>
      <c r="AC618" s="149"/>
      <c r="AD618" s="149"/>
      <c r="AE618" s="149"/>
      <c r="AF618" s="150"/>
      <c r="AG618" s="150"/>
      <c r="AH618" s="149"/>
      <c r="AI618" s="149"/>
      <c r="AJ618" s="149"/>
      <c r="AK618" s="150"/>
      <c r="AL618" s="150"/>
      <c r="AM618" s="149"/>
      <c r="AN618" s="149"/>
      <c r="AO618" s="149"/>
      <c r="AP618" s="150"/>
      <c r="AQ618" s="150"/>
      <c r="AR618" s="150"/>
      <c r="AS618" s="150"/>
      <c r="AT618" s="150"/>
      <c r="AU618" s="150"/>
      <c r="AV618" s="150"/>
      <c r="AW618" s="150"/>
      <c r="AX618" s="150"/>
      <c r="AY618" s="151"/>
      <c r="AZ618" s="151"/>
      <c r="BA618" s="151"/>
      <c r="BB618" s="151"/>
      <c r="BC618" s="151"/>
      <c r="BD618" s="151"/>
      <c r="BE618" s="151"/>
      <c r="BF618" s="151"/>
      <c r="BG618" s="151"/>
      <c r="BH618" s="151"/>
      <c r="BI618" s="151"/>
    </row>
    <row r="619" spans="1:61" x14ac:dyDescent="0.25">
      <c r="A619" s="149"/>
      <c r="B619" s="149"/>
      <c r="C619" s="149"/>
      <c r="D619" s="149"/>
      <c r="E619" s="150"/>
      <c r="F619" s="150"/>
      <c r="G619" s="149"/>
      <c r="H619" s="149"/>
      <c r="I619" s="149"/>
      <c r="J619" s="150"/>
      <c r="K619" s="150"/>
      <c r="L619" s="149"/>
      <c r="M619" s="149"/>
      <c r="N619" s="149"/>
      <c r="O619" s="150"/>
      <c r="P619" s="150"/>
      <c r="Q619" s="149"/>
      <c r="R619" s="149"/>
      <c r="S619" s="149"/>
      <c r="T619" s="150"/>
      <c r="U619" s="150"/>
      <c r="V619" s="150"/>
      <c r="W619" s="150"/>
      <c r="X619" s="150"/>
      <c r="Y619" s="150"/>
      <c r="Z619" s="150"/>
      <c r="AA619" s="150"/>
      <c r="AB619" s="150"/>
      <c r="AC619" s="149"/>
      <c r="AD619" s="149"/>
      <c r="AE619" s="149"/>
      <c r="AF619" s="150"/>
      <c r="AG619" s="150"/>
      <c r="AH619" s="149"/>
      <c r="AI619" s="149"/>
      <c r="AJ619" s="149"/>
      <c r="AK619" s="150"/>
      <c r="AL619" s="150"/>
      <c r="AM619" s="149"/>
      <c r="AN619" s="149"/>
      <c r="AO619" s="149"/>
      <c r="AP619" s="150"/>
      <c r="AQ619" s="150"/>
      <c r="AR619" s="150"/>
      <c r="AS619" s="150"/>
      <c r="AT619" s="150"/>
      <c r="AU619" s="150"/>
      <c r="AV619" s="150"/>
      <c r="AW619" s="150"/>
      <c r="AX619" s="150"/>
      <c r="AY619" s="151"/>
      <c r="AZ619" s="151"/>
      <c r="BA619" s="151"/>
      <c r="BB619" s="151"/>
      <c r="BC619" s="151"/>
      <c r="BD619" s="151"/>
      <c r="BE619" s="151"/>
      <c r="BF619" s="151"/>
      <c r="BG619" s="151"/>
      <c r="BH619" s="151"/>
      <c r="BI619" s="151"/>
    </row>
    <row r="620" spans="1:61" x14ac:dyDescent="0.25">
      <c r="A620" s="149"/>
      <c r="B620" s="149"/>
      <c r="C620" s="149"/>
      <c r="D620" s="149"/>
      <c r="E620" s="150"/>
      <c r="F620" s="150"/>
      <c r="G620" s="149"/>
      <c r="H620" s="149"/>
      <c r="I620" s="149"/>
      <c r="J620" s="150"/>
      <c r="K620" s="150"/>
      <c r="L620" s="149"/>
      <c r="M620" s="149"/>
      <c r="N620" s="149"/>
      <c r="O620" s="150"/>
      <c r="P620" s="150"/>
      <c r="Q620" s="149"/>
      <c r="R620" s="149"/>
      <c r="S620" s="149"/>
      <c r="T620" s="150"/>
      <c r="U620" s="150"/>
      <c r="V620" s="150"/>
      <c r="W620" s="150"/>
      <c r="X620" s="150"/>
      <c r="Y620" s="150"/>
      <c r="Z620" s="150"/>
      <c r="AA620" s="150"/>
      <c r="AB620" s="150"/>
      <c r="AC620" s="149"/>
      <c r="AD620" s="149"/>
      <c r="AE620" s="149"/>
      <c r="AF620" s="150"/>
      <c r="AG620" s="150"/>
      <c r="AH620" s="149"/>
      <c r="AI620" s="149"/>
      <c r="AJ620" s="149"/>
      <c r="AK620" s="150"/>
      <c r="AL620" s="150"/>
      <c r="AM620" s="149"/>
      <c r="AN620" s="149"/>
      <c r="AO620" s="149"/>
      <c r="AP620" s="150"/>
      <c r="AQ620" s="150"/>
      <c r="AR620" s="150"/>
      <c r="AS620" s="150"/>
      <c r="AT620" s="150"/>
      <c r="AU620" s="150"/>
      <c r="AV620" s="150"/>
      <c r="AW620" s="150"/>
      <c r="AX620" s="150"/>
      <c r="AY620" s="151"/>
      <c r="AZ620" s="151"/>
      <c r="BA620" s="151"/>
      <c r="BB620" s="151"/>
      <c r="BC620" s="151"/>
      <c r="BD620" s="151"/>
      <c r="BE620" s="151"/>
      <c r="BF620" s="151"/>
      <c r="BG620" s="151"/>
      <c r="BH620" s="151"/>
      <c r="BI620" s="151"/>
    </row>
    <row r="621" spans="1:61" x14ac:dyDescent="0.25">
      <c r="A621" s="149"/>
      <c r="B621" s="149"/>
      <c r="C621" s="149"/>
      <c r="D621" s="149"/>
      <c r="E621" s="150"/>
      <c r="F621" s="150"/>
      <c r="G621" s="149"/>
      <c r="H621" s="149"/>
      <c r="I621" s="149"/>
      <c r="J621" s="150"/>
      <c r="K621" s="150"/>
      <c r="L621" s="149"/>
      <c r="M621" s="149"/>
      <c r="N621" s="149"/>
      <c r="O621" s="150"/>
      <c r="P621" s="150"/>
      <c r="Q621" s="149"/>
      <c r="R621" s="149"/>
      <c r="S621" s="149"/>
      <c r="T621" s="150"/>
      <c r="U621" s="150"/>
      <c r="V621" s="150"/>
      <c r="W621" s="150"/>
      <c r="X621" s="150"/>
      <c r="Y621" s="150"/>
      <c r="Z621" s="150"/>
      <c r="AA621" s="150"/>
      <c r="AB621" s="150"/>
      <c r="AC621" s="149"/>
      <c r="AD621" s="149"/>
      <c r="AE621" s="149"/>
      <c r="AF621" s="150"/>
      <c r="AG621" s="150"/>
      <c r="AH621" s="149"/>
      <c r="AI621" s="149"/>
      <c r="AJ621" s="149"/>
      <c r="AK621" s="150"/>
      <c r="AL621" s="150"/>
      <c r="AM621" s="149"/>
      <c r="AN621" s="149"/>
      <c r="AO621" s="149"/>
      <c r="AP621" s="150"/>
      <c r="AQ621" s="150"/>
      <c r="AR621" s="150"/>
      <c r="AS621" s="150"/>
      <c r="AT621" s="150"/>
      <c r="AU621" s="150"/>
      <c r="AV621" s="150"/>
      <c r="AW621" s="150"/>
      <c r="AX621" s="150"/>
      <c r="AY621" s="151"/>
      <c r="AZ621" s="151"/>
      <c r="BA621" s="151"/>
      <c r="BB621" s="151"/>
      <c r="BC621" s="151"/>
      <c r="BD621" s="151"/>
      <c r="BE621" s="151"/>
      <c r="BF621" s="151"/>
      <c r="BG621" s="151"/>
      <c r="BH621" s="151"/>
      <c r="BI621" s="151"/>
    </row>
    <row r="622" spans="1:61" x14ac:dyDescent="0.25">
      <c r="A622" s="149"/>
      <c r="B622" s="149"/>
      <c r="C622" s="149"/>
      <c r="D622" s="149"/>
      <c r="E622" s="150"/>
      <c r="F622" s="150"/>
      <c r="G622" s="149"/>
      <c r="H622" s="149"/>
      <c r="I622" s="149"/>
      <c r="J622" s="150"/>
      <c r="K622" s="150"/>
      <c r="L622" s="149"/>
      <c r="M622" s="149"/>
      <c r="N622" s="149"/>
      <c r="O622" s="150"/>
      <c r="P622" s="150"/>
      <c r="Q622" s="149"/>
      <c r="R622" s="149"/>
      <c r="S622" s="149"/>
      <c r="T622" s="150"/>
      <c r="U622" s="150"/>
      <c r="V622" s="150"/>
      <c r="W622" s="150"/>
      <c r="X622" s="150"/>
      <c r="Y622" s="150"/>
      <c r="Z622" s="150"/>
      <c r="AA622" s="150"/>
      <c r="AB622" s="150"/>
      <c r="AC622" s="149"/>
      <c r="AD622" s="149"/>
      <c r="AE622" s="149"/>
      <c r="AF622" s="150"/>
      <c r="AG622" s="150"/>
      <c r="AH622" s="149"/>
      <c r="AI622" s="149"/>
      <c r="AJ622" s="149"/>
      <c r="AK622" s="150"/>
      <c r="AL622" s="150"/>
      <c r="AM622" s="149"/>
      <c r="AN622" s="149"/>
      <c r="AO622" s="149"/>
      <c r="AP622" s="150"/>
      <c r="AQ622" s="150"/>
      <c r="AR622" s="150"/>
      <c r="AS622" s="150"/>
      <c r="AT622" s="150"/>
      <c r="AU622" s="150"/>
      <c r="AV622" s="150"/>
      <c r="AW622" s="150"/>
      <c r="AX622" s="150"/>
      <c r="AY622" s="151"/>
      <c r="AZ622" s="151"/>
      <c r="BA622" s="151"/>
      <c r="BB622" s="151"/>
      <c r="BC622" s="151"/>
      <c r="BD622" s="151"/>
      <c r="BE622" s="151"/>
      <c r="BF622" s="151"/>
      <c r="BG622" s="151"/>
      <c r="BH622" s="151"/>
      <c r="BI622" s="151"/>
    </row>
    <row r="623" spans="1:61" x14ac:dyDescent="0.25">
      <c r="A623" s="149"/>
      <c r="B623" s="149"/>
      <c r="C623" s="149"/>
      <c r="D623" s="149"/>
      <c r="E623" s="150"/>
      <c r="F623" s="150"/>
      <c r="G623" s="149"/>
      <c r="H623" s="149"/>
      <c r="I623" s="149"/>
      <c r="J623" s="150"/>
      <c r="K623" s="150"/>
      <c r="L623" s="149"/>
      <c r="M623" s="149"/>
      <c r="N623" s="149"/>
      <c r="O623" s="150"/>
      <c r="P623" s="150"/>
      <c r="Q623" s="149"/>
      <c r="R623" s="149"/>
      <c r="S623" s="149"/>
      <c r="T623" s="150"/>
      <c r="U623" s="150"/>
      <c r="V623" s="150"/>
      <c r="W623" s="150"/>
      <c r="X623" s="150"/>
      <c r="Y623" s="150"/>
      <c r="Z623" s="150"/>
      <c r="AA623" s="150"/>
      <c r="AB623" s="150"/>
      <c r="AC623" s="149"/>
      <c r="AD623" s="149"/>
      <c r="AE623" s="149"/>
      <c r="AF623" s="150"/>
      <c r="AG623" s="150"/>
      <c r="AH623" s="149"/>
      <c r="AI623" s="149"/>
      <c r="AJ623" s="149"/>
      <c r="AK623" s="150"/>
      <c r="AL623" s="150"/>
      <c r="AM623" s="149"/>
      <c r="AN623" s="149"/>
      <c r="AO623" s="149"/>
      <c r="AP623" s="150"/>
      <c r="AQ623" s="150"/>
      <c r="AR623" s="150"/>
      <c r="AS623" s="150"/>
      <c r="AT623" s="150"/>
      <c r="AU623" s="150"/>
      <c r="AV623" s="150"/>
      <c r="AW623" s="150"/>
      <c r="AX623" s="150"/>
      <c r="AY623" s="151"/>
      <c r="AZ623" s="151"/>
      <c r="BA623" s="151"/>
      <c r="BB623" s="151"/>
      <c r="BC623" s="151"/>
      <c r="BD623" s="151"/>
      <c r="BE623" s="151"/>
      <c r="BF623" s="151"/>
      <c r="BG623" s="151"/>
      <c r="BH623" s="151"/>
      <c r="BI623" s="151"/>
    </row>
    <row r="624" spans="1:61" x14ac:dyDescent="0.25">
      <c r="A624" s="149"/>
      <c r="B624" s="149"/>
      <c r="C624" s="149"/>
      <c r="D624" s="149"/>
      <c r="E624" s="150"/>
      <c r="F624" s="150"/>
      <c r="G624" s="149"/>
      <c r="H624" s="149"/>
      <c r="I624" s="149"/>
      <c r="J624" s="150"/>
      <c r="K624" s="150"/>
      <c r="L624" s="149"/>
      <c r="M624" s="149"/>
      <c r="N624" s="149"/>
      <c r="O624" s="150"/>
      <c r="P624" s="150"/>
      <c r="Q624" s="149"/>
      <c r="R624" s="149"/>
      <c r="S624" s="149"/>
      <c r="T624" s="150"/>
      <c r="U624" s="150"/>
      <c r="V624" s="150"/>
      <c r="W624" s="150"/>
      <c r="X624" s="150"/>
      <c r="Y624" s="150"/>
      <c r="Z624" s="150"/>
      <c r="AA624" s="150"/>
      <c r="AB624" s="150"/>
      <c r="AC624" s="149"/>
      <c r="AD624" s="149"/>
      <c r="AE624" s="149"/>
      <c r="AF624" s="150"/>
      <c r="AG624" s="150"/>
      <c r="AH624" s="149"/>
      <c r="AI624" s="149"/>
      <c r="AJ624" s="149"/>
      <c r="AK624" s="150"/>
      <c r="AL624" s="150"/>
      <c r="AM624" s="149"/>
      <c r="AN624" s="149"/>
      <c r="AO624" s="149"/>
      <c r="AP624" s="150"/>
      <c r="AQ624" s="150"/>
      <c r="AR624" s="150"/>
      <c r="AS624" s="150"/>
      <c r="AT624" s="150"/>
      <c r="AU624" s="150"/>
      <c r="AV624" s="150"/>
      <c r="AW624" s="150"/>
      <c r="AX624" s="150"/>
      <c r="AY624" s="151"/>
      <c r="AZ624" s="151"/>
      <c r="BA624" s="151"/>
      <c r="BB624" s="151"/>
      <c r="BC624" s="151"/>
      <c r="BD624" s="151"/>
      <c r="BE624" s="151"/>
      <c r="BF624" s="151"/>
      <c r="BG624" s="151"/>
      <c r="BH624" s="151"/>
      <c r="BI624" s="151"/>
    </row>
    <row r="625" spans="1:61" x14ac:dyDescent="0.25">
      <c r="A625" s="149"/>
      <c r="B625" s="149"/>
      <c r="C625" s="149"/>
      <c r="D625" s="149"/>
      <c r="E625" s="150"/>
      <c r="F625" s="150"/>
      <c r="G625" s="149"/>
      <c r="H625" s="149"/>
      <c r="I625" s="149"/>
      <c r="J625" s="150"/>
      <c r="K625" s="150"/>
      <c r="L625" s="149"/>
      <c r="M625" s="149"/>
      <c r="N625" s="149"/>
      <c r="O625" s="150"/>
      <c r="P625" s="150"/>
      <c r="Q625" s="149"/>
      <c r="R625" s="149"/>
      <c r="S625" s="149"/>
      <c r="T625" s="150"/>
      <c r="U625" s="150"/>
      <c r="V625" s="150"/>
      <c r="W625" s="150"/>
      <c r="X625" s="150"/>
      <c r="Y625" s="150"/>
      <c r="Z625" s="150"/>
      <c r="AA625" s="150"/>
      <c r="AB625" s="150"/>
      <c r="AC625" s="149"/>
      <c r="AD625" s="149"/>
      <c r="AE625" s="149"/>
      <c r="AF625" s="150"/>
      <c r="AG625" s="150"/>
      <c r="AH625" s="149"/>
      <c r="AI625" s="149"/>
      <c r="AJ625" s="149"/>
      <c r="AK625" s="150"/>
      <c r="AL625" s="150"/>
      <c r="AM625" s="149"/>
      <c r="AN625" s="149"/>
      <c r="AO625" s="149"/>
      <c r="AP625" s="150"/>
      <c r="AQ625" s="150"/>
      <c r="AR625" s="150"/>
      <c r="AS625" s="150"/>
      <c r="AT625" s="150"/>
      <c r="AU625" s="150"/>
      <c r="AV625" s="150"/>
      <c r="AW625" s="150"/>
      <c r="AX625" s="150"/>
      <c r="AY625" s="151"/>
      <c r="AZ625" s="151"/>
      <c r="BA625" s="151"/>
      <c r="BB625" s="151"/>
      <c r="BC625" s="151"/>
      <c r="BD625" s="151"/>
      <c r="BE625" s="151"/>
      <c r="BF625" s="151"/>
      <c r="BG625" s="151"/>
      <c r="BH625" s="151"/>
      <c r="BI625" s="151"/>
    </row>
    <row r="626" spans="1:61" x14ac:dyDescent="0.25">
      <c r="A626" s="149"/>
      <c r="B626" s="149"/>
      <c r="C626" s="149"/>
      <c r="D626" s="149"/>
      <c r="E626" s="150"/>
      <c r="F626" s="150"/>
      <c r="G626" s="149"/>
      <c r="H626" s="149"/>
      <c r="I626" s="149"/>
      <c r="J626" s="150"/>
      <c r="K626" s="150"/>
      <c r="L626" s="149"/>
      <c r="M626" s="149"/>
      <c r="N626" s="149"/>
      <c r="O626" s="150"/>
      <c r="P626" s="150"/>
      <c r="Q626" s="149"/>
      <c r="R626" s="149"/>
      <c r="S626" s="149"/>
      <c r="T626" s="150"/>
      <c r="U626" s="150"/>
      <c r="V626" s="150"/>
      <c r="W626" s="150"/>
      <c r="X626" s="150"/>
      <c r="Y626" s="150"/>
      <c r="Z626" s="150"/>
      <c r="AA626" s="150"/>
      <c r="AB626" s="150"/>
      <c r="AC626" s="149"/>
      <c r="AD626" s="149"/>
      <c r="AE626" s="149"/>
      <c r="AF626" s="150"/>
      <c r="AG626" s="150"/>
      <c r="AH626" s="149"/>
      <c r="AI626" s="149"/>
      <c r="AJ626" s="149"/>
      <c r="AK626" s="150"/>
      <c r="AL626" s="150"/>
      <c r="AM626" s="149"/>
      <c r="AN626" s="149"/>
      <c r="AO626" s="149"/>
      <c r="AP626" s="150"/>
      <c r="AQ626" s="150"/>
      <c r="AR626" s="150"/>
      <c r="AS626" s="150"/>
      <c r="AT626" s="150"/>
      <c r="AU626" s="150"/>
      <c r="AV626" s="150"/>
      <c r="AW626" s="150"/>
      <c r="AX626" s="150"/>
      <c r="AY626" s="151"/>
      <c r="AZ626" s="151"/>
      <c r="BA626" s="151"/>
      <c r="BB626" s="151"/>
      <c r="BC626" s="151"/>
      <c r="BD626" s="151"/>
      <c r="BE626" s="151"/>
      <c r="BF626" s="151"/>
      <c r="BG626" s="151"/>
      <c r="BH626" s="151"/>
      <c r="BI626" s="151"/>
    </row>
    <row r="627" spans="1:61" x14ac:dyDescent="0.25">
      <c r="A627" s="149"/>
      <c r="B627" s="149"/>
      <c r="C627" s="149"/>
      <c r="D627" s="149"/>
      <c r="E627" s="150"/>
      <c r="F627" s="150"/>
      <c r="G627" s="149"/>
      <c r="H627" s="149"/>
      <c r="I627" s="149"/>
      <c r="J627" s="150"/>
      <c r="K627" s="150"/>
      <c r="L627" s="149"/>
      <c r="M627" s="149"/>
      <c r="N627" s="149"/>
      <c r="O627" s="150"/>
      <c r="P627" s="150"/>
      <c r="Q627" s="149"/>
      <c r="R627" s="149"/>
      <c r="S627" s="149"/>
      <c r="T627" s="150"/>
      <c r="U627" s="150"/>
      <c r="V627" s="150"/>
      <c r="W627" s="150"/>
      <c r="X627" s="150"/>
      <c r="Y627" s="150"/>
      <c r="Z627" s="150"/>
      <c r="AA627" s="150"/>
      <c r="AB627" s="150"/>
      <c r="AC627" s="149"/>
      <c r="AD627" s="149"/>
      <c r="AE627" s="149"/>
      <c r="AF627" s="150"/>
      <c r="AG627" s="150"/>
      <c r="AH627" s="149"/>
      <c r="AI627" s="149"/>
      <c r="AJ627" s="149"/>
      <c r="AK627" s="150"/>
      <c r="AL627" s="150"/>
      <c r="AM627" s="149"/>
      <c r="AN627" s="149"/>
      <c r="AO627" s="149"/>
      <c r="AP627" s="150"/>
      <c r="AQ627" s="150"/>
      <c r="AR627" s="150"/>
      <c r="AS627" s="150"/>
      <c r="AT627" s="150"/>
      <c r="AU627" s="150"/>
      <c r="AV627" s="150"/>
      <c r="AW627" s="150"/>
      <c r="AX627" s="150"/>
      <c r="AY627" s="151"/>
      <c r="AZ627" s="151"/>
      <c r="BA627" s="151"/>
      <c r="BB627" s="151"/>
      <c r="BC627" s="151"/>
      <c r="BD627" s="151"/>
      <c r="BE627" s="151"/>
      <c r="BF627" s="151"/>
      <c r="BG627" s="151"/>
      <c r="BH627" s="151"/>
      <c r="BI627" s="151"/>
    </row>
    <row r="628" spans="1:61" x14ac:dyDescent="0.25">
      <c r="A628" s="149"/>
      <c r="B628" s="149"/>
      <c r="C628" s="149"/>
      <c r="D628" s="149"/>
      <c r="E628" s="150"/>
      <c r="F628" s="150"/>
      <c r="G628" s="149"/>
      <c r="H628" s="149"/>
      <c r="I628" s="149"/>
      <c r="J628" s="150"/>
      <c r="K628" s="150"/>
      <c r="L628" s="149"/>
      <c r="M628" s="149"/>
      <c r="N628" s="149"/>
      <c r="O628" s="150"/>
      <c r="P628" s="150"/>
      <c r="Q628" s="149"/>
      <c r="R628" s="149"/>
      <c r="S628" s="149"/>
      <c r="T628" s="150"/>
      <c r="U628" s="150"/>
      <c r="V628" s="150"/>
      <c r="W628" s="150"/>
      <c r="X628" s="150"/>
      <c r="Y628" s="150"/>
      <c r="Z628" s="150"/>
      <c r="AA628" s="150"/>
      <c r="AB628" s="150"/>
      <c r="AC628" s="149"/>
      <c r="AD628" s="149"/>
      <c r="AE628" s="149"/>
      <c r="AF628" s="150"/>
      <c r="AG628" s="150"/>
      <c r="AH628" s="149"/>
      <c r="AI628" s="149"/>
      <c r="AJ628" s="149"/>
      <c r="AK628" s="150"/>
      <c r="AL628" s="150"/>
      <c r="AM628" s="149"/>
      <c r="AN628" s="149"/>
      <c r="AO628" s="149"/>
      <c r="AP628" s="150"/>
      <c r="AQ628" s="150"/>
      <c r="AR628" s="150"/>
      <c r="AS628" s="150"/>
      <c r="AT628" s="150"/>
      <c r="AU628" s="150"/>
      <c r="AV628" s="150"/>
      <c r="AW628" s="150"/>
      <c r="AX628" s="150"/>
      <c r="AY628" s="151"/>
      <c r="AZ628" s="151"/>
      <c r="BA628" s="151"/>
      <c r="BB628" s="151"/>
      <c r="BC628" s="151"/>
      <c r="BD628" s="151"/>
      <c r="BE628" s="151"/>
      <c r="BF628" s="151"/>
      <c r="BG628" s="151"/>
      <c r="BH628" s="151"/>
      <c r="BI628" s="151"/>
    </row>
    <row r="629" spans="1:61" x14ac:dyDescent="0.25">
      <c r="A629" s="149"/>
      <c r="B629" s="149"/>
      <c r="C629" s="149"/>
      <c r="D629" s="149"/>
      <c r="E629" s="150"/>
      <c r="F629" s="150"/>
      <c r="G629" s="149"/>
      <c r="H629" s="149"/>
      <c r="I629" s="149"/>
      <c r="J629" s="150"/>
      <c r="K629" s="150"/>
      <c r="L629" s="149"/>
      <c r="M629" s="149"/>
      <c r="N629" s="149"/>
      <c r="O629" s="150"/>
      <c r="P629" s="150"/>
      <c r="Q629" s="149"/>
      <c r="R629" s="149"/>
      <c r="S629" s="149"/>
      <c r="T629" s="150"/>
      <c r="U629" s="150"/>
      <c r="V629" s="150"/>
      <c r="W629" s="150"/>
      <c r="X629" s="150"/>
      <c r="Y629" s="150"/>
      <c r="Z629" s="150"/>
      <c r="AA629" s="150"/>
      <c r="AB629" s="150"/>
      <c r="AC629" s="149"/>
      <c r="AD629" s="149"/>
      <c r="AE629" s="149"/>
      <c r="AF629" s="150"/>
      <c r="AG629" s="150"/>
      <c r="AH629" s="149"/>
      <c r="AI629" s="149"/>
      <c r="AJ629" s="149"/>
      <c r="AK629" s="150"/>
      <c r="AL629" s="150"/>
      <c r="AM629" s="149"/>
      <c r="AN629" s="149"/>
      <c r="AO629" s="149"/>
      <c r="AP629" s="150"/>
      <c r="AQ629" s="150"/>
      <c r="AR629" s="150"/>
      <c r="AS629" s="150"/>
      <c r="AT629" s="150"/>
      <c r="AU629" s="150"/>
      <c r="AV629" s="150"/>
      <c r="AW629" s="150"/>
      <c r="AX629" s="150"/>
      <c r="AY629" s="151"/>
      <c r="AZ629" s="151"/>
      <c r="BA629" s="151"/>
      <c r="BB629" s="151"/>
      <c r="BC629" s="151"/>
      <c r="BD629" s="151"/>
      <c r="BE629" s="151"/>
      <c r="BF629" s="151"/>
      <c r="BG629" s="151"/>
      <c r="BH629" s="151"/>
      <c r="BI629" s="151"/>
    </row>
    <row r="630" spans="1:61" x14ac:dyDescent="0.25">
      <c r="A630" s="149"/>
      <c r="B630" s="149"/>
      <c r="C630" s="149"/>
      <c r="D630" s="149"/>
      <c r="E630" s="150"/>
      <c r="F630" s="150"/>
      <c r="G630" s="149"/>
      <c r="H630" s="149"/>
      <c r="I630" s="149"/>
      <c r="J630" s="150"/>
      <c r="K630" s="150"/>
      <c r="L630" s="149"/>
      <c r="M630" s="149"/>
      <c r="N630" s="149"/>
      <c r="O630" s="150"/>
      <c r="P630" s="150"/>
      <c r="Q630" s="149"/>
      <c r="R630" s="149"/>
      <c r="S630" s="149"/>
      <c r="T630" s="150"/>
      <c r="U630" s="150"/>
      <c r="V630" s="150"/>
      <c r="W630" s="150"/>
      <c r="X630" s="150"/>
      <c r="Y630" s="150"/>
      <c r="Z630" s="150"/>
      <c r="AA630" s="150"/>
      <c r="AB630" s="150"/>
      <c r="AC630" s="149"/>
      <c r="AD630" s="149"/>
      <c r="AE630" s="149"/>
      <c r="AF630" s="150"/>
      <c r="AG630" s="150"/>
      <c r="AH630" s="149"/>
      <c r="AI630" s="149"/>
      <c r="AJ630" s="149"/>
      <c r="AK630" s="150"/>
      <c r="AL630" s="150"/>
      <c r="AM630" s="149"/>
      <c r="AN630" s="149"/>
      <c r="AO630" s="149"/>
      <c r="AP630" s="150"/>
      <c r="AQ630" s="150"/>
      <c r="AR630" s="150"/>
      <c r="AS630" s="150"/>
      <c r="AT630" s="150"/>
      <c r="AU630" s="150"/>
      <c r="AV630" s="150"/>
      <c r="AW630" s="150"/>
      <c r="AX630" s="150"/>
      <c r="AY630" s="151"/>
      <c r="AZ630" s="151"/>
      <c r="BA630" s="151"/>
      <c r="BB630" s="151"/>
      <c r="BC630" s="151"/>
      <c r="BD630" s="151"/>
      <c r="BE630" s="151"/>
      <c r="BF630" s="151"/>
      <c r="BG630" s="151"/>
      <c r="BH630" s="151"/>
      <c r="BI630" s="151"/>
    </row>
    <row r="631" spans="1:61" x14ac:dyDescent="0.25">
      <c r="A631" s="149"/>
      <c r="B631" s="149"/>
      <c r="C631" s="149"/>
      <c r="D631" s="149"/>
      <c r="E631" s="150"/>
      <c r="F631" s="150"/>
      <c r="G631" s="149"/>
      <c r="H631" s="149"/>
      <c r="I631" s="149"/>
      <c r="J631" s="150"/>
      <c r="K631" s="150"/>
      <c r="L631" s="149"/>
      <c r="M631" s="149"/>
      <c r="N631" s="149"/>
      <c r="O631" s="150"/>
      <c r="P631" s="150"/>
      <c r="Q631" s="149"/>
      <c r="R631" s="149"/>
      <c r="S631" s="149"/>
      <c r="T631" s="150"/>
      <c r="U631" s="150"/>
      <c r="V631" s="150"/>
      <c r="W631" s="150"/>
      <c r="X631" s="150"/>
      <c r="Y631" s="150"/>
      <c r="Z631" s="150"/>
      <c r="AA631" s="150"/>
      <c r="AB631" s="150"/>
      <c r="AC631" s="149"/>
      <c r="AD631" s="149"/>
      <c r="AE631" s="149"/>
      <c r="AF631" s="150"/>
      <c r="AG631" s="150"/>
      <c r="AH631" s="149"/>
      <c r="AI631" s="149"/>
      <c r="AJ631" s="149"/>
      <c r="AK631" s="150"/>
      <c r="AL631" s="150"/>
      <c r="AM631" s="149"/>
      <c r="AN631" s="149"/>
      <c r="AO631" s="149"/>
      <c r="AP631" s="150"/>
      <c r="AQ631" s="150"/>
      <c r="AR631" s="150"/>
      <c r="AS631" s="150"/>
      <c r="AT631" s="150"/>
      <c r="AU631" s="150"/>
      <c r="AV631" s="150"/>
      <c r="AW631" s="150"/>
      <c r="AX631" s="150"/>
      <c r="AY631" s="151"/>
      <c r="AZ631" s="151"/>
      <c r="BA631" s="151"/>
      <c r="BB631" s="151"/>
      <c r="BC631" s="151"/>
      <c r="BD631" s="151"/>
      <c r="BE631" s="151"/>
      <c r="BF631" s="151"/>
      <c r="BG631" s="151"/>
      <c r="BH631" s="151"/>
      <c r="BI631" s="151"/>
    </row>
    <row r="632" spans="1:61" x14ac:dyDescent="0.25">
      <c r="A632" s="149"/>
      <c r="B632" s="149"/>
      <c r="C632" s="149"/>
      <c r="D632" s="149"/>
      <c r="E632" s="150"/>
      <c r="F632" s="150"/>
      <c r="G632" s="149"/>
      <c r="H632" s="149"/>
      <c r="I632" s="149"/>
      <c r="J632" s="150"/>
      <c r="K632" s="150"/>
      <c r="L632" s="149"/>
      <c r="M632" s="149"/>
      <c r="N632" s="149"/>
      <c r="O632" s="150"/>
      <c r="P632" s="150"/>
      <c r="Q632" s="149"/>
      <c r="R632" s="149"/>
      <c r="S632" s="149"/>
      <c r="T632" s="150"/>
      <c r="U632" s="150"/>
      <c r="V632" s="150"/>
      <c r="W632" s="150"/>
      <c r="X632" s="150"/>
      <c r="Y632" s="150"/>
      <c r="Z632" s="150"/>
      <c r="AA632" s="150"/>
      <c r="AB632" s="150"/>
      <c r="AC632" s="149"/>
      <c r="AD632" s="149"/>
      <c r="AE632" s="149"/>
      <c r="AF632" s="150"/>
      <c r="AG632" s="150"/>
      <c r="AH632" s="149"/>
      <c r="AI632" s="149"/>
      <c r="AJ632" s="149"/>
      <c r="AK632" s="150"/>
      <c r="AL632" s="150"/>
      <c r="AM632" s="149"/>
      <c r="AN632" s="149"/>
      <c r="AO632" s="149"/>
      <c r="AP632" s="150"/>
      <c r="AQ632" s="150"/>
      <c r="AR632" s="150"/>
      <c r="AS632" s="150"/>
      <c r="AT632" s="150"/>
      <c r="AU632" s="150"/>
      <c r="AV632" s="150"/>
      <c r="AW632" s="150"/>
      <c r="AX632" s="150"/>
      <c r="AY632" s="151"/>
      <c r="AZ632" s="151"/>
      <c r="BA632" s="151"/>
      <c r="BB632" s="151"/>
      <c r="BC632" s="151"/>
      <c r="BD632" s="151"/>
      <c r="BE632" s="151"/>
      <c r="BF632" s="151"/>
      <c r="BG632" s="151"/>
      <c r="BH632" s="151"/>
      <c r="BI632" s="151"/>
    </row>
    <row r="633" spans="1:61" x14ac:dyDescent="0.25">
      <c r="A633" s="149"/>
      <c r="B633" s="149"/>
      <c r="C633" s="149"/>
      <c r="D633" s="149"/>
      <c r="E633" s="150"/>
      <c r="F633" s="150"/>
      <c r="G633" s="149"/>
      <c r="H633" s="149"/>
      <c r="I633" s="149"/>
      <c r="J633" s="150"/>
      <c r="K633" s="150"/>
      <c r="L633" s="149"/>
      <c r="M633" s="149"/>
      <c r="N633" s="149"/>
      <c r="O633" s="150"/>
      <c r="P633" s="150"/>
      <c r="Q633" s="149"/>
      <c r="R633" s="149"/>
      <c r="S633" s="149"/>
      <c r="T633" s="150"/>
      <c r="U633" s="150"/>
      <c r="V633" s="150"/>
      <c r="W633" s="150"/>
      <c r="X633" s="150"/>
      <c r="Y633" s="150"/>
      <c r="Z633" s="150"/>
      <c r="AA633" s="150"/>
      <c r="AB633" s="150"/>
      <c r="AC633" s="149"/>
      <c r="AD633" s="149"/>
      <c r="AE633" s="149"/>
      <c r="AF633" s="150"/>
      <c r="AG633" s="150"/>
      <c r="AH633" s="149"/>
      <c r="AI633" s="149"/>
      <c r="AJ633" s="149"/>
      <c r="AK633" s="150"/>
      <c r="AL633" s="150"/>
      <c r="AM633" s="149"/>
      <c r="AN633" s="149"/>
      <c r="AO633" s="149"/>
      <c r="AP633" s="150"/>
      <c r="AQ633" s="150"/>
      <c r="AR633" s="150"/>
      <c r="AS633" s="150"/>
      <c r="AT633" s="150"/>
      <c r="AU633" s="150"/>
      <c r="AV633" s="150"/>
      <c r="AW633" s="150"/>
      <c r="AX633" s="150"/>
      <c r="AY633" s="151"/>
      <c r="AZ633" s="151"/>
      <c r="BA633" s="151"/>
      <c r="BB633" s="151"/>
      <c r="BC633" s="151"/>
      <c r="BD633" s="151"/>
      <c r="BE633" s="151"/>
      <c r="BF633" s="151"/>
      <c r="BG633" s="151"/>
      <c r="BH633" s="151"/>
      <c r="BI633" s="151"/>
    </row>
    <row r="634" spans="1:61" x14ac:dyDescent="0.25">
      <c r="A634" s="149"/>
      <c r="B634" s="149"/>
      <c r="C634" s="149"/>
      <c r="D634" s="149"/>
      <c r="E634" s="150"/>
      <c r="F634" s="150"/>
      <c r="G634" s="149"/>
      <c r="H634" s="149"/>
      <c r="I634" s="149"/>
      <c r="J634" s="150"/>
      <c r="K634" s="150"/>
      <c r="L634" s="149"/>
      <c r="M634" s="149"/>
      <c r="N634" s="149"/>
      <c r="O634" s="150"/>
      <c r="P634" s="150"/>
      <c r="Q634" s="149"/>
      <c r="R634" s="149"/>
      <c r="S634" s="149"/>
      <c r="T634" s="150"/>
      <c r="U634" s="150"/>
      <c r="V634" s="150"/>
      <c r="W634" s="150"/>
      <c r="X634" s="150"/>
      <c r="Y634" s="150"/>
      <c r="Z634" s="150"/>
      <c r="AA634" s="150"/>
      <c r="AB634" s="150"/>
      <c r="AC634" s="149"/>
      <c r="AD634" s="149"/>
      <c r="AE634" s="149"/>
      <c r="AF634" s="150"/>
      <c r="AG634" s="150"/>
      <c r="AH634" s="149"/>
      <c r="AI634" s="149"/>
      <c r="AJ634" s="149"/>
      <c r="AK634" s="150"/>
      <c r="AL634" s="150"/>
      <c r="AM634" s="149"/>
      <c r="AN634" s="149"/>
      <c r="AO634" s="149"/>
      <c r="AP634" s="150"/>
      <c r="AQ634" s="150"/>
      <c r="AR634" s="150"/>
      <c r="AS634" s="150"/>
      <c r="AT634" s="150"/>
      <c r="AU634" s="150"/>
      <c r="AV634" s="150"/>
      <c r="AW634" s="150"/>
      <c r="AX634" s="150"/>
      <c r="AY634" s="151"/>
      <c r="AZ634" s="151"/>
      <c r="BA634" s="151"/>
      <c r="BB634" s="151"/>
      <c r="BC634" s="151"/>
      <c r="BD634" s="151"/>
      <c r="BE634" s="151"/>
      <c r="BF634" s="151"/>
      <c r="BG634" s="151"/>
      <c r="BH634" s="151"/>
      <c r="BI634" s="151"/>
    </row>
    <row r="635" spans="1:61" x14ac:dyDescent="0.25">
      <c r="A635" s="149"/>
      <c r="B635" s="149"/>
      <c r="C635" s="149"/>
      <c r="D635" s="149"/>
      <c r="E635" s="150"/>
      <c r="F635" s="150"/>
      <c r="G635" s="149"/>
      <c r="H635" s="149"/>
      <c r="I635" s="149"/>
      <c r="J635" s="150"/>
      <c r="K635" s="150"/>
      <c r="L635" s="149"/>
      <c r="M635" s="149"/>
      <c r="N635" s="149"/>
      <c r="O635" s="150"/>
      <c r="P635" s="150"/>
      <c r="Q635" s="149"/>
      <c r="R635" s="149"/>
      <c r="S635" s="149"/>
      <c r="T635" s="150"/>
      <c r="U635" s="150"/>
      <c r="V635" s="150"/>
      <c r="W635" s="150"/>
      <c r="X635" s="150"/>
      <c r="Y635" s="150"/>
      <c r="Z635" s="150"/>
      <c r="AA635" s="150"/>
      <c r="AB635" s="150"/>
      <c r="AC635" s="149"/>
      <c r="AD635" s="149"/>
      <c r="AE635" s="149"/>
      <c r="AF635" s="150"/>
      <c r="AG635" s="150"/>
      <c r="AH635" s="149"/>
      <c r="AI635" s="149"/>
      <c r="AJ635" s="149"/>
      <c r="AK635" s="150"/>
      <c r="AL635" s="150"/>
      <c r="AM635" s="149"/>
      <c r="AN635" s="149"/>
      <c r="AO635" s="149"/>
      <c r="AP635" s="150"/>
      <c r="AQ635" s="150"/>
      <c r="AR635" s="150"/>
      <c r="AS635" s="150"/>
      <c r="AT635" s="150"/>
      <c r="AU635" s="150"/>
      <c r="AV635" s="150"/>
      <c r="AW635" s="150"/>
      <c r="AX635" s="150"/>
      <c r="AY635" s="151"/>
      <c r="AZ635" s="151"/>
      <c r="BA635" s="151"/>
      <c r="BB635" s="151"/>
      <c r="BC635" s="151"/>
      <c r="BD635" s="151"/>
      <c r="BE635" s="151"/>
      <c r="BF635" s="151"/>
      <c r="BG635" s="151"/>
      <c r="BH635" s="151"/>
      <c r="BI635" s="151"/>
    </row>
    <row r="636" spans="1:61" x14ac:dyDescent="0.25">
      <c r="A636" s="149"/>
      <c r="B636" s="149"/>
      <c r="C636" s="149"/>
      <c r="D636" s="149"/>
      <c r="E636" s="150"/>
      <c r="F636" s="150"/>
      <c r="G636" s="149"/>
      <c r="H636" s="149"/>
      <c r="I636" s="149"/>
      <c r="J636" s="150"/>
      <c r="K636" s="150"/>
      <c r="L636" s="149"/>
      <c r="M636" s="149"/>
      <c r="N636" s="149"/>
      <c r="O636" s="150"/>
      <c r="P636" s="150"/>
      <c r="Q636" s="149"/>
      <c r="R636" s="149"/>
      <c r="S636" s="149"/>
      <c r="T636" s="150"/>
      <c r="U636" s="150"/>
      <c r="V636" s="150"/>
      <c r="W636" s="150"/>
      <c r="X636" s="150"/>
      <c r="Y636" s="150"/>
      <c r="Z636" s="150"/>
      <c r="AA636" s="150"/>
      <c r="AB636" s="150"/>
      <c r="AC636" s="149"/>
      <c r="AD636" s="149"/>
      <c r="AE636" s="149"/>
      <c r="AF636" s="150"/>
      <c r="AG636" s="150"/>
      <c r="AH636" s="149"/>
      <c r="AI636" s="149"/>
      <c r="AJ636" s="149"/>
      <c r="AK636" s="150"/>
      <c r="AL636" s="150"/>
      <c r="AM636" s="149"/>
      <c r="AN636" s="149"/>
      <c r="AO636" s="149"/>
      <c r="AP636" s="150"/>
      <c r="AQ636" s="150"/>
      <c r="AR636" s="150"/>
      <c r="AS636" s="150"/>
      <c r="AT636" s="150"/>
      <c r="AU636" s="150"/>
      <c r="AV636" s="150"/>
      <c r="AW636" s="150"/>
      <c r="AX636" s="150"/>
      <c r="AY636" s="151"/>
      <c r="AZ636" s="151"/>
      <c r="BA636" s="151"/>
      <c r="BB636" s="151"/>
      <c r="BC636" s="151"/>
      <c r="BD636" s="151"/>
      <c r="BE636" s="151"/>
      <c r="BF636" s="151"/>
      <c r="BG636" s="151"/>
      <c r="BH636" s="151"/>
      <c r="BI636" s="151"/>
    </row>
    <row r="637" spans="1:61" x14ac:dyDescent="0.25">
      <c r="A637" s="149"/>
      <c r="B637" s="149"/>
      <c r="C637" s="149"/>
      <c r="D637" s="149"/>
      <c r="E637" s="150"/>
      <c r="F637" s="150"/>
      <c r="G637" s="149"/>
      <c r="H637" s="149"/>
      <c r="I637" s="149"/>
      <c r="J637" s="150"/>
      <c r="K637" s="150"/>
      <c r="L637" s="149"/>
      <c r="M637" s="149"/>
      <c r="N637" s="149"/>
      <c r="O637" s="150"/>
      <c r="P637" s="150"/>
      <c r="Q637" s="149"/>
      <c r="R637" s="149"/>
      <c r="S637" s="149"/>
      <c r="T637" s="150"/>
      <c r="U637" s="150"/>
      <c r="V637" s="150"/>
      <c r="W637" s="150"/>
      <c r="X637" s="150"/>
      <c r="Y637" s="150"/>
      <c r="Z637" s="150"/>
      <c r="AA637" s="150"/>
      <c r="AB637" s="150"/>
      <c r="AC637" s="149"/>
      <c r="AD637" s="149"/>
      <c r="AE637" s="149"/>
      <c r="AF637" s="150"/>
      <c r="AG637" s="150"/>
      <c r="AH637" s="149"/>
      <c r="AI637" s="149"/>
      <c r="AJ637" s="149"/>
      <c r="AK637" s="150"/>
      <c r="AL637" s="150"/>
      <c r="AM637" s="149"/>
      <c r="AN637" s="149"/>
      <c r="AO637" s="149"/>
      <c r="AP637" s="150"/>
      <c r="AQ637" s="150"/>
      <c r="AR637" s="150"/>
      <c r="AS637" s="150"/>
      <c r="AT637" s="150"/>
      <c r="AU637" s="150"/>
      <c r="AV637" s="150"/>
      <c r="AW637" s="150"/>
      <c r="AX637" s="150"/>
      <c r="AY637" s="151"/>
      <c r="AZ637" s="151"/>
      <c r="BA637" s="151"/>
      <c r="BB637" s="151"/>
      <c r="BC637" s="151"/>
      <c r="BD637" s="151"/>
      <c r="BE637" s="151"/>
      <c r="BF637" s="151"/>
      <c r="BG637" s="151"/>
      <c r="BH637" s="151"/>
      <c r="BI637" s="151"/>
    </row>
    <row r="638" spans="1:61" x14ac:dyDescent="0.25">
      <c r="A638" s="149"/>
      <c r="B638" s="149"/>
      <c r="C638" s="149"/>
      <c r="D638" s="149"/>
      <c r="E638" s="150"/>
      <c r="F638" s="150"/>
      <c r="G638" s="149"/>
      <c r="H638" s="149"/>
      <c r="I638" s="149"/>
      <c r="J638" s="150"/>
      <c r="K638" s="150"/>
      <c r="L638" s="149"/>
      <c r="M638" s="149"/>
      <c r="N638" s="149"/>
      <c r="O638" s="150"/>
      <c r="P638" s="150"/>
      <c r="Q638" s="149"/>
      <c r="R638" s="149"/>
      <c r="S638" s="149"/>
      <c r="T638" s="150"/>
      <c r="U638" s="150"/>
      <c r="V638" s="150"/>
      <c r="W638" s="150"/>
      <c r="X638" s="150"/>
      <c r="Y638" s="150"/>
      <c r="Z638" s="150"/>
      <c r="AA638" s="150"/>
      <c r="AB638" s="150"/>
      <c r="AC638" s="149"/>
      <c r="AD638" s="149"/>
      <c r="AE638" s="149"/>
      <c r="AF638" s="150"/>
      <c r="AG638" s="150"/>
      <c r="AH638" s="149"/>
      <c r="AI638" s="149"/>
      <c r="AJ638" s="149"/>
      <c r="AK638" s="150"/>
      <c r="AL638" s="150"/>
      <c r="AM638" s="149"/>
      <c r="AN638" s="149"/>
      <c r="AO638" s="149"/>
      <c r="AP638" s="150"/>
      <c r="AQ638" s="150"/>
      <c r="AR638" s="150"/>
      <c r="AS638" s="150"/>
      <c r="AT638" s="150"/>
      <c r="AU638" s="150"/>
      <c r="AV638" s="150"/>
      <c r="AW638" s="150"/>
      <c r="AX638" s="150"/>
      <c r="AY638" s="151"/>
      <c r="AZ638" s="151"/>
      <c r="BA638" s="151"/>
      <c r="BB638" s="151"/>
      <c r="BC638" s="151"/>
      <c r="BD638" s="151"/>
      <c r="BE638" s="151"/>
      <c r="BF638" s="151"/>
      <c r="BG638" s="151"/>
      <c r="BH638" s="151"/>
      <c r="BI638" s="151"/>
    </row>
    <row r="639" spans="1:61" x14ac:dyDescent="0.25">
      <c r="A639" s="149"/>
      <c r="B639" s="149"/>
      <c r="C639" s="149"/>
      <c r="D639" s="149"/>
      <c r="E639" s="150"/>
      <c r="F639" s="150"/>
      <c r="G639" s="149"/>
      <c r="H639" s="149"/>
      <c r="I639" s="149"/>
      <c r="J639" s="150"/>
      <c r="K639" s="150"/>
      <c r="L639" s="149"/>
      <c r="M639" s="149"/>
      <c r="N639" s="149"/>
      <c r="O639" s="150"/>
      <c r="P639" s="150"/>
      <c r="Q639" s="149"/>
      <c r="R639" s="149"/>
      <c r="S639" s="149"/>
      <c r="T639" s="150"/>
      <c r="U639" s="150"/>
      <c r="V639" s="150"/>
      <c r="W639" s="150"/>
      <c r="X639" s="150"/>
      <c r="Y639" s="150"/>
      <c r="Z639" s="150"/>
      <c r="AA639" s="150"/>
      <c r="AB639" s="150"/>
      <c r="AC639" s="149"/>
      <c r="AD639" s="149"/>
      <c r="AE639" s="149"/>
      <c r="AF639" s="150"/>
      <c r="AG639" s="150"/>
      <c r="AH639" s="149"/>
      <c r="AI639" s="149"/>
      <c r="AJ639" s="149"/>
      <c r="AK639" s="150"/>
      <c r="AL639" s="150"/>
      <c r="AM639" s="149"/>
      <c r="AN639" s="149"/>
      <c r="AO639" s="149"/>
      <c r="AP639" s="150"/>
      <c r="AQ639" s="150"/>
      <c r="AR639" s="150"/>
      <c r="AS639" s="150"/>
      <c r="AT639" s="150"/>
      <c r="AU639" s="150"/>
      <c r="AV639" s="150"/>
      <c r="AW639" s="150"/>
      <c r="AX639" s="150"/>
      <c r="AY639" s="151"/>
      <c r="AZ639" s="151"/>
      <c r="BA639" s="151"/>
      <c r="BB639" s="151"/>
      <c r="BC639" s="151"/>
      <c r="BD639" s="151"/>
      <c r="BE639" s="151"/>
      <c r="BF639" s="151"/>
      <c r="BG639" s="151"/>
      <c r="BH639" s="151"/>
      <c r="BI639" s="151"/>
    </row>
    <row r="640" spans="1:61" x14ac:dyDescent="0.25">
      <c r="A640" s="149"/>
      <c r="B640" s="149"/>
      <c r="C640" s="149"/>
      <c r="D640" s="149"/>
      <c r="E640" s="150"/>
      <c r="F640" s="150"/>
      <c r="G640" s="149"/>
      <c r="H640" s="149"/>
      <c r="I640" s="149"/>
      <c r="J640" s="150"/>
      <c r="K640" s="150"/>
      <c r="L640" s="149"/>
      <c r="M640" s="149"/>
      <c r="N640" s="149"/>
      <c r="O640" s="150"/>
      <c r="P640" s="150"/>
      <c r="Q640" s="149"/>
      <c r="R640" s="149"/>
      <c r="S640" s="149"/>
      <c r="T640" s="150"/>
      <c r="U640" s="150"/>
      <c r="V640" s="150"/>
      <c r="W640" s="150"/>
      <c r="X640" s="150"/>
      <c r="Y640" s="150"/>
      <c r="Z640" s="150"/>
      <c r="AA640" s="150"/>
      <c r="AB640" s="150"/>
      <c r="AC640" s="149"/>
      <c r="AD640" s="149"/>
      <c r="AE640" s="149"/>
      <c r="AF640" s="150"/>
      <c r="AG640" s="150"/>
      <c r="AH640" s="149"/>
      <c r="AI640" s="149"/>
      <c r="AJ640" s="149"/>
      <c r="AK640" s="150"/>
      <c r="AL640" s="150"/>
      <c r="AM640" s="149"/>
      <c r="AN640" s="149"/>
      <c r="AO640" s="149"/>
      <c r="AP640" s="150"/>
      <c r="AQ640" s="150"/>
      <c r="AR640" s="150"/>
      <c r="AS640" s="150"/>
      <c r="AT640" s="150"/>
      <c r="AU640" s="150"/>
      <c r="AV640" s="150"/>
      <c r="AW640" s="150"/>
      <c r="AX640" s="150"/>
      <c r="AY640" s="151"/>
      <c r="AZ640" s="151"/>
      <c r="BA640" s="151"/>
      <c r="BB640" s="151"/>
      <c r="BC640" s="151"/>
      <c r="BD640" s="151"/>
      <c r="BE640" s="151"/>
      <c r="BF640" s="151"/>
      <c r="BG640" s="151"/>
      <c r="BH640" s="151"/>
      <c r="BI640" s="151"/>
    </row>
    <row r="641" spans="1:61" x14ac:dyDescent="0.25">
      <c r="A641" s="149"/>
      <c r="B641" s="149"/>
      <c r="C641" s="149"/>
      <c r="D641" s="149"/>
      <c r="E641" s="150"/>
      <c r="F641" s="150"/>
      <c r="G641" s="149"/>
      <c r="H641" s="149"/>
      <c r="I641" s="149"/>
      <c r="J641" s="150"/>
      <c r="K641" s="150"/>
      <c r="L641" s="149"/>
      <c r="M641" s="149"/>
      <c r="N641" s="149"/>
      <c r="O641" s="150"/>
      <c r="P641" s="150"/>
      <c r="Q641" s="149"/>
      <c r="R641" s="149"/>
      <c r="S641" s="149"/>
      <c r="T641" s="150"/>
      <c r="U641" s="150"/>
      <c r="V641" s="150"/>
      <c r="W641" s="150"/>
      <c r="X641" s="150"/>
      <c r="Y641" s="150"/>
      <c r="Z641" s="150"/>
      <c r="AA641" s="150"/>
      <c r="AB641" s="150"/>
      <c r="AC641" s="149"/>
      <c r="AD641" s="149"/>
      <c r="AE641" s="149"/>
      <c r="AF641" s="150"/>
      <c r="AG641" s="150"/>
      <c r="AH641" s="149"/>
      <c r="AI641" s="149"/>
      <c r="AJ641" s="149"/>
      <c r="AK641" s="150"/>
      <c r="AL641" s="150"/>
      <c r="AM641" s="149"/>
      <c r="AN641" s="149"/>
      <c r="AO641" s="149"/>
      <c r="AP641" s="150"/>
      <c r="AQ641" s="150"/>
      <c r="AR641" s="150"/>
      <c r="AS641" s="150"/>
      <c r="AT641" s="150"/>
      <c r="AU641" s="150"/>
      <c r="AV641" s="150"/>
      <c r="AW641" s="150"/>
      <c r="AX641" s="150"/>
      <c r="AY641" s="151"/>
      <c r="AZ641" s="151"/>
      <c r="BA641" s="151"/>
      <c r="BB641" s="151"/>
      <c r="BC641" s="151"/>
      <c r="BD641" s="151"/>
      <c r="BE641" s="151"/>
      <c r="BF641" s="151"/>
      <c r="BG641" s="151"/>
      <c r="BH641" s="151"/>
      <c r="BI641" s="151"/>
    </row>
    <row r="642" spans="1:61" x14ac:dyDescent="0.25">
      <c r="A642" s="149"/>
      <c r="B642" s="149"/>
      <c r="C642" s="149"/>
      <c r="D642" s="149"/>
      <c r="E642" s="150"/>
      <c r="F642" s="150"/>
      <c r="G642" s="149"/>
      <c r="H642" s="149"/>
      <c r="I642" s="149"/>
      <c r="J642" s="150"/>
      <c r="K642" s="150"/>
      <c r="L642" s="149"/>
      <c r="M642" s="149"/>
      <c r="N642" s="149"/>
      <c r="O642" s="150"/>
      <c r="P642" s="150"/>
      <c r="Q642" s="149"/>
      <c r="R642" s="149"/>
      <c r="S642" s="149"/>
      <c r="T642" s="150"/>
      <c r="U642" s="150"/>
      <c r="V642" s="150"/>
      <c r="W642" s="150"/>
      <c r="X642" s="150"/>
      <c r="Y642" s="150"/>
      <c r="Z642" s="150"/>
      <c r="AA642" s="150"/>
      <c r="AB642" s="150"/>
      <c r="AC642" s="149"/>
      <c r="AD642" s="149"/>
      <c r="AE642" s="149"/>
      <c r="AF642" s="150"/>
      <c r="AG642" s="150"/>
      <c r="AH642" s="149"/>
      <c r="AI642" s="149"/>
      <c r="AJ642" s="149"/>
      <c r="AK642" s="150"/>
      <c r="AL642" s="150"/>
      <c r="AM642" s="149"/>
      <c r="AN642" s="149"/>
      <c r="AO642" s="149"/>
      <c r="AP642" s="150"/>
      <c r="AQ642" s="150"/>
      <c r="AR642" s="150"/>
      <c r="AS642" s="150"/>
      <c r="AT642" s="150"/>
      <c r="AU642" s="150"/>
      <c r="AV642" s="150"/>
      <c r="AW642" s="150"/>
      <c r="AX642" s="150"/>
      <c r="AY642" s="151"/>
      <c r="AZ642" s="151"/>
      <c r="BA642" s="151"/>
      <c r="BB642" s="151"/>
      <c r="BC642" s="151"/>
      <c r="BD642" s="151"/>
      <c r="BE642" s="151"/>
      <c r="BF642" s="151"/>
      <c r="BG642" s="151"/>
      <c r="BH642" s="151"/>
      <c r="BI642" s="151"/>
    </row>
    <row r="643" spans="1:61" x14ac:dyDescent="0.25">
      <c r="A643" s="149"/>
      <c r="B643" s="149"/>
      <c r="C643" s="149"/>
      <c r="D643" s="149"/>
      <c r="E643" s="150"/>
      <c r="F643" s="150"/>
      <c r="G643" s="149"/>
      <c r="H643" s="149"/>
      <c r="I643" s="149"/>
      <c r="J643" s="150"/>
      <c r="K643" s="150"/>
      <c r="L643" s="149"/>
      <c r="M643" s="149"/>
      <c r="N643" s="149"/>
      <c r="O643" s="150"/>
      <c r="P643" s="150"/>
      <c r="Q643" s="149"/>
      <c r="R643" s="149"/>
      <c r="S643" s="149"/>
      <c r="T643" s="150"/>
      <c r="U643" s="150"/>
      <c r="V643" s="150"/>
      <c r="W643" s="150"/>
      <c r="X643" s="150"/>
      <c r="Y643" s="150"/>
      <c r="Z643" s="150"/>
      <c r="AA643" s="150"/>
      <c r="AB643" s="150"/>
      <c r="AC643" s="149"/>
      <c r="AD643" s="149"/>
      <c r="AE643" s="149"/>
      <c r="AF643" s="150"/>
      <c r="AG643" s="150"/>
      <c r="AH643" s="149"/>
      <c r="AI643" s="149"/>
      <c r="AJ643" s="149"/>
      <c r="AK643" s="150"/>
      <c r="AL643" s="150"/>
      <c r="AM643" s="149"/>
      <c r="AN643" s="149"/>
      <c r="AO643" s="149"/>
      <c r="AP643" s="150"/>
      <c r="AQ643" s="150"/>
      <c r="AR643" s="150"/>
      <c r="AS643" s="150"/>
      <c r="AT643" s="150"/>
      <c r="AU643" s="150"/>
      <c r="AV643" s="150"/>
      <c r="AW643" s="150"/>
      <c r="AX643" s="150"/>
      <c r="AY643" s="151"/>
      <c r="AZ643" s="151"/>
      <c r="BA643" s="151"/>
      <c r="BB643" s="151"/>
      <c r="BC643" s="151"/>
      <c r="BD643" s="151"/>
      <c r="BE643" s="151"/>
      <c r="BF643" s="151"/>
      <c r="BG643" s="151"/>
      <c r="BH643" s="151"/>
      <c r="BI643" s="151"/>
    </row>
    <row r="644" spans="1:61" x14ac:dyDescent="0.25">
      <c r="A644" s="149"/>
      <c r="B644" s="149"/>
      <c r="C644" s="149"/>
      <c r="D644" s="149"/>
      <c r="E644" s="150"/>
      <c r="F644" s="150"/>
      <c r="G644" s="149"/>
      <c r="H644" s="149"/>
      <c r="I644" s="149"/>
      <c r="J644" s="150"/>
      <c r="K644" s="150"/>
      <c r="L644" s="149"/>
      <c r="M644" s="149"/>
      <c r="N644" s="149"/>
      <c r="O644" s="150"/>
      <c r="P644" s="150"/>
      <c r="Q644" s="149"/>
      <c r="R644" s="149"/>
      <c r="S644" s="149"/>
      <c r="T644" s="150"/>
      <c r="U644" s="150"/>
      <c r="V644" s="150"/>
      <c r="W644" s="150"/>
      <c r="X644" s="150"/>
      <c r="Y644" s="150"/>
      <c r="Z644" s="150"/>
      <c r="AA644" s="150"/>
      <c r="AB644" s="150"/>
      <c r="AC644" s="149"/>
      <c r="AD644" s="149"/>
      <c r="AE644" s="149"/>
      <c r="AF644" s="150"/>
      <c r="AG644" s="150"/>
      <c r="AH644" s="149"/>
      <c r="AI644" s="149"/>
      <c r="AJ644" s="149"/>
      <c r="AK644" s="150"/>
      <c r="AL644" s="150"/>
      <c r="AM644" s="149"/>
      <c r="AN644" s="149"/>
      <c r="AO644" s="149"/>
      <c r="AP644" s="150"/>
      <c r="AQ644" s="150"/>
      <c r="AR644" s="150"/>
      <c r="AS644" s="150"/>
      <c r="AT644" s="150"/>
      <c r="AU644" s="150"/>
      <c r="AV644" s="150"/>
      <c r="AW644" s="150"/>
      <c r="AX644" s="150"/>
      <c r="AY644" s="151"/>
      <c r="AZ644" s="151"/>
      <c r="BA644" s="151"/>
      <c r="BB644" s="151"/>
      <c r="BC644" s="151"/>
      <c r="BD644" s="151"/>
      <c r="BE644" s="151"/>
      <c r="BF644" s="151"/>
      <c r="BG644" s="151"/>
      <c r="BH644" s="151"/>
      <c r="BI644" s="151"/>
    </row>
    <row r="645" spans="1:61" x14ac:dyDescent="0.25">
      <c r="A645" s="149"/>
      <c r="B645" s="149"/>
      <c r="C645" s="149"/>
      <c r="D645" s="149"/>
      <c r="E645" s="150"/>
      <c r="F645" s="150"/>
      <c r="G645" s="149"/>
      <c r="H645" s="149"/>
      <c r="I645" s="149"/>
      <c r="J645" s="150"/>
      <c r="K645" s="150"/>
      <c r="L645" s="149"/>
      <c r="M645" s="149"/>
      <c r="N645" s="149"/>
      <c r="O645" s="150"/>
      <c r="P645" s="150"/>
      <c r="Q645" s="149"/>
      <c r="R645" s="149"/>
      <c r="S645" s="149"/>
      <c r="T645" s="150"/>
      <c r="U645" s="150"/>
      <c r="V645" s="150"/>
      <c r="W645" s="150"/>
      <c r="X645" s="150"/>
      <c r="Y645" s="150"/>
      <c r="Z645" s="150"/>
      <c r="AA645" s="150"/>
      <c r="AB645" s="150"/>
      <c r="AC645" s="149"/>
      <c r="AD645" s="149"/>
      <c r="AE645" s="149"/>
      <c r="AF645" s="150"/>
      <c r="AG645" s="150"/>
      <c r="AH645" s="149"/>
      <c r="AI645" s="149"/>
      <c r="AJ645" s="149"/>
      <c r="AK645" s="150"/>
      <c r="AL645" s="150"/>
      <c r="AM645" s="149"/>
      <c r="AN645" s="149"/>
      <c r="AO645" s="149"/>
      <c r="AP645" s="150"/>
      <c r="AQ645" s="150"/>
      <c r="AR645" s="150"/>
      <c r="AS645" s="150"/>
      <c r="AT645" s="150"/>
      <c r="AU645" s="150"/>
      <c r="AV645" s="150"/>
      <c r="AW645" s="150"/>
      <c r="AX645" s="150"/>
      <c r="AY645" s="151"/>
      <c r="AZ645" s="151"/>
      <c r="BA645" s="151"/>
      <c r="BB645" s="151"/>
      <c r="BC645" s="151"/>
      <c r="BD645" s="151"/>
      <c r="BE645" s="151"/>
      <c r="BF645" s="151"/>
      <c r="BG645" s="151"/>
      <c r="BH645" s="151"/>
      <c r="BI645" s="151"/>
    </row>
    <row r="646" spans="1:61" x14ac:dyDescent="0.25">
      <c r="A646" s="149"/>
      <c r="B646" s="149"/>
      <c r="C646" s="149"/>
      <c r="D646" s="149"/>
      <c r="E646" s="150"/>
      <c r="F646" s="150"/>
      <c r="G646" s="149"/>
      <c r="H646" s="149"/>
      <c r="I646" s="149"/>
      <c r="J646" s="150"/>
      <c r="K646" s="150"/>
      <c r="L646" s="149"/>
      <c r="M646" s="149"/>
      <c r="N646" s="149"/>
      <c r="O646" s="150"/>
      <c r="P646" s="150"/>
      <c r="Q646" s="149"/>
      <c r="R646" s="149"/>
      <c r="S646" s="149"/>
      <c r="T646" s="150"/>
      <c r="U646" s="150"/>
      <c r="V646" s="150"/>
      <c r="W646" s="150"/>
      <c r="X646" s="150"/>
      <c r="Y646" s="150"/>
      <c r="Z646" s="150"/>
      <c r="AA646" s="150"/>
      <c r="AB646" s="150"/>
      <c r="AC646" s="149"/>
      <c r="AD646" s="149"/>
      <c r="AE646" s="149"/>
      <c r="AF646" s="150"/>
      <c r="AG646" s="150"/>
      <c r="AH646" s="149"/>
      <c r="AI646" s="149"/>
      <c r="AJ646" s="149"/>
      <c r="AK646" s="150"/>
      <c r="AL646" s="150"/>
      <c r="AM646" s="149"/>
      <c r="AN646" s="149"/>
      <c r="AO646" s="149"/>
      <c r="AP646" s="150"/>
      <c r="AQ646" s="150"/>
      <c r="AR646" s="150"/>
      <c r="AS646" s="150"/>
      <c r="AT646" s="150"/>
      <c r="AU646" s="150"/>
      <c r="AV646" s="150"/>
      <c r="AW646" s="150"/>
      <c r="AX646" s="150"/>
      <c r="AY646" s="151"/>
      <c r="AZ646" s="151"/>
      <c r="BA646" s="151"/>
      <c r="BB646" s="151"/>
      <c r="BC646" s="151"/>
      <c r="BD646" s="151"/>
      <c r="BE646" s="151"/>
      <c r="BF646" s="151"/>
      <c r="BG646" s="151"/>
      <c r="BH646" s="151"/>
      <c r="BI646" s="151"/>
    </row>
    <row r="647" spans="1:61" x14ac:dyDescent="0.25">
      <c r="A647" s="149"/>
      <c r="B647" s="149"/>
      <c r="C647" s="149"/>
      <c r="D647" s="149"/>
      <c r="E647" s="150"/>
      <c r="F647" s="150"/>
      <c r="G647" s="149"/>
      <c r="H647" s="149"/>
      <c r="I647" s="149"/>
      <c r="J647" s="150"/>
      <c r="K647" s="150"/>
      <c r="L647" s="149"/>
      <c r="M647" s="149"/>
      <c r="N647" s="149"/>
      <c r="O647" s="150"/>
      <c r="P647" s="150"/>
      <c r="Q647" s="149"/>
      <c r="R647" s="149"/>
      <c r="S647" s="149"/>
      <c r="T647" s="150"/>
      <c r="U647" s="150"/>
      <c r="V647" s="150"/>
      <c r="W647" s="150"/>
      <c r="X647" s="150"/>
      <c r="Y647" s="150"/>
      <c r="Z647" s="150"/>
      <c r="AA647" s="150"/>
      <c r="AB647" s="150"/>
      <c r="AC647" s="149"/>
      <c r="AD647" s="149"/>
      <c r="AE647" s="149"/>
      <c r="AF647" s="150"/>
      <c r="AG647" s="150"/>
      <c r="AH647" s="149"/>
      <c r="AI647" s="149"/>
      <c r="AJ647" s="149"/>
      <c r="AK647" s="150"/>
      <c r="AL647" s="150"/>
      <c r="AM647" s="149"/>
      <c r="AN647" s="149"/>
      <c r="AO647" s="149"/>
      <c r="AP647" s="150"/>
      <c r="AQ647" s="150"/>
      <c r="AR647" s="150"/>
      <c r="AS647" s="150"/>
      <c r="AT647" s="150"/>
      <c r="AU647" s="150"/>
      <c r="AV647" s="150"/>
      <c r="AW647" s="150"/>
      <c r="AX647" s="150"/>
      <c r="AY647" s="151"/>
      <c r="AZ647" s="151"/>
      <c r="BA647" s="151"/>
      <c r="BB647" s="151"/>
      <c r="BC647" s="151"/>
      <c r="BD647" s="151"/>
      <c r="BE647" s="151"/>
      <c r="BF647" s="151"/>
      <c r="BG647" s="151"/>
      <c r="BH647" s="151"/>
      <c r="BI647" s="151"/>
    </row>
    <row r="648" spans="1:61" x14ac:dyDescent="0.25">
      <c r="A648" s="149"/>
      <c r="B648" s="149"/>
      <c r="C648" s="149"/>
      <c r="D648" s="149"/>
      <c r="E648" s="150"/>
      <c r="F648" s="150"/>
      <c r="G648" s="149"/>
      <c r="H648" s="149"/>
      <c r="I648" s="149"/>
      <c r="J648" s="150"/>
      <c r="K648" s="150"/>
      <c r="L648" s="149"/>
      <c r="M648" s="149"/>
      <c r="N648" s="149"/>
      <c r="O648" s="150"/>
      <c r="P648" s="150"/>
      <c r="Q648" s="149"/>
      <c r="R648" s="149"/>
      <c r="S648" s="149"/>
      <c r="T648" s="150"/>
      <c r="U648" s="150"/>
      <c r="V648" s="150"/>
      <c r="W648" s="150"/>
      <c r="X648" s="150"/>
      <c r="Y648" s="150"/>
      <c r="Z648" s="150"/>
      <c r="AA648" s="150"/>
      <c r="AB648" s="150"/>
      <c r="AC648" s="149"/>
      <c r="AD648" s="149"/>
      <c r="AE648" s="149"/>
      <c r="AF648" s="150"/>
      <c r="AG648" s="150"/>
      <c r="AH648" s="149"/>
      <c r="AI648" s="149"/>
      <c r="AJ648" s="149"/>
      <c r="AK648" s="150"/>
      <c r="AL648" s="150"/>
      <c r="AM648" s="149"/>
      <c r="AN648" s="149"/>
      <c r="AO648" s="149"/>
      <c r="AP648" s="150"/>
      <c r="AQ648" s="150"/>
      <c r="AR648" s="150"/>
      <c r="AS648" s="150"/>
      <c r="AT648" s="150"/>
      <c r="AU648" s="150"/>
      <c r="AV648" s="150"/>
      <c r="AW648" s="150"/>
      <c r="AX648" s="150"/>
      <c r="AY648" s="151"/>
      <c r="AZ648" s="151"/>
      <c r="BA648" s="151"/>
      <c r="BB648" s="151"/>
      <c r="BC648" s="151"/>
      <c r="BD648" s="151"/>
      <c r="BE648" s="151"/>
      <c r="BF648" s="151"/>
      <c r="BG648" s="151"/>
      <c r="BH648" s="151"/>
      <c r="BI648" s="151"/>
    </row>
    <row r="649" spans="1:61" x14ac:dyDescent="0.25">
      <c r="A649" s="149"/>
      <c r="B649" s="149"/>
      <c r="C649" s="149"/>
      <c r="D649" s="149"/>
      <c r="E649" s="150"/>
      <c r="F649" s="150"/>
      <c r="G649" s="149"/>
      <c r="H649" s="149"/>
      <c r="I649" s="149"/>
      <c r="J649" s="150"/>
      <c r="K649" s="150"/>
      <c r="L649" s="149"/>
      <c r="M649" s="149"/>
      <c r="N649" s="149"/>
      <c r="O649" s="150"/>
      <c r="P649" s="150"/>
      <c r="Q649" s="149"/>
      <c r="R649" s="149"/>
      <c r="S649" s="149"/>
      <c r="T649" s="150"/>
      <c r="U649" s="150"/>
      <c r="V649" s="150"/>
      <c r="W649" s="150"/>
      <c r="X649" s="150"/>
      <c r="Y649" s="150"/>
      <c r="Z649" s="150"/>
      <c r="AA649" s="150"/>
      <c r="AB649" s="150"/>
      <c r="AC649" s="149"/>
      <c r="AD649" s="149"/>
      <c r="AE649" s="149"/>
      <c r="AF649" s="150"/>
      <c r="AG649" s="150"/>
      <c r="AH649" s="149"/>
      <c r="AI649" s="149"/>
      <c r="AJ649" s="149"/>
      <c r="AK649" s="150"/>
      <c r="AL649" s="150"/>
      <c r="AM649" s="149"/>
      <c r="AN649" s="149"/>
      <c r="AO649" s="149"/>
      <c r="AP649" s="150"/>
      <c r="AQ649" s="150"/>
      <c r="AR649" s="150"/>
      <c r="AS649" s="150"/>
      <c r="AT649" s="150"/>
      <c r="AU649" s="150"/>
      <c r="AV649" s="150"/>
      <c r="AW649" s="150"/>
      <c r="AX649" s="150"/>
      <c r="AY649" s="151"/>
      <c r="AZ649" s="151"/>
      <c r="BA649" s="151"/>
      <c r="BB649" s="151"/>
      <c r="BC649" s="151"/>
      <c r="BD649" s="151"/>
      <c r="BE649" s="151"/>
      <c r="BF649" s="151"/>
      <c r="BG649" s="151"/>
      <c r="BH649" s="151"/>
      <c r="BI649" s="151"/>
    </row>
    <row r="650" spans="1:61" x14ac:dyDescent="0.25">
      <c r="A650" s="149"/>
      <c r="B650" s="149"/>
      <c r="C650" s="149"/>
      <c r="D650" s="149"/>
      <c r="E650" s="150"/>
      <c r="F650" s="150"/>
      <c r="G650" s="149"/>
      <c r="H650" s="149"/>
      <c r="I650" s="149"/>
      <c r="J650" s="150"/>
      <c r="K650" s="150"/>
      <c r="L650" s="149"/>
      <c r="M650" s="149"/>
      <c r="N650" s="149"/>
      <c r="O650" s="150"/>
      <c r="P650" s="150"/>
      <c r="Q650" s="149"/>
      <c r="R650" s="149"/>
      <c r="S650" s="149"/>
      <c r="T650" s="150"/>
      <c r="U650" s="150"/>
      <c r="V650" s="150"/>
      <c r="W650" s="150"/>
      <c r="X650" s="150"/>
      <c r="Y650" s="150"/>
      <c r="Z650" s="150"/>
      <c r="AA650" s="150"/>
      <c r="AB650" s="150"/>
      <c r="AC650" s="149"/>
      <c r="AD650" s="149"/>
      <c r="AE650" s="149"/>
      <c r="AF650" s="150"/>
      <c r="AG650" s="150"/>
      <c r="AH650" s="149"/>
      <c r="AI650" s="149"/>
      <c r="AJ650" s="149"/>
      <c r="AK650" s="150"/>
      <c r="AL650" s="150"/>
      <c r="AM650" s="149"/>
      <c r="AN650" s="149"/>
      <c r="AO650" s="149"/>
      <c r="AP650" s="150"/>
      <c r="AQ650" s="150"/>
      <c r="AR650" s="150"/>
      <c r="AS650" s="150"/>
      <c r="AT650" s="150"/>
      <c r="AU650" s="150"/>
      <c r="AV650" s="150"/>
      <c r="AW650" s="150"/>
      <c r="AX650" s="150"/>
      <c r="AY650" s="151"/>
      <c r="AZ650" s="151"/>
      <c r="BA650" s="151"/>
      <c r="BB650" s="151"/>
      <c r="BC650" s="151"/>
      <c r="BD650" s="151"/>
      <c r="BE650" s="151"/>
      <c r="BF650" s="151"/>
      <c r="BG650" s="151"/>
      <c r="BH650" s="151"/>
      <c r="BI650" s="151"/>
    </row>
    <row r="651" spans="1:61" x14ac:dyDescent="0.25">
      <c r="A651" s="149"/>
      <c r="B651" s="149"/>
      <c r="C651" s="149"/>
      <c r="D651" s="149"/>
      <c r="E651" s="150"/>
      <c r="F651" s="150"/>
      <c r="G651" s="149"/>
      <c r="H651" s="149"/>
      <c r="I651" s="149"/>
      <c r="J651" s="150"/>
      <c r="K651" s="150"/>
      <c r="L651" s="149"/>
      <c r="M651" s="149"/>
      <c r="N651" s="149"/>
      <c r="O651" s="150"/>
      <c r="P651" s="150"/>
      <c r="Q651" s="149"/>
      <c r="R651" s="149"/>
      <c r="S651" s="149"/>
      <c r="T651" s="150"/>
      <c r="U651" s="150"/>
      <c r="V651" s="150"/>
      <c r="W651" s="150"/>
      <c r="X651" s="150"/>
      <c r="Y651" s="150"/>
      <c r="Z651" s="150"/>
      <c r="AA651" s="150"/>
      <c r="AB651" s="150"/>
      <c r="AC651" s="149"/>
      <c r="AD651" s="149"/>
      <c r="AE651" s="149"/>
      <c r="AF651" s="150"/>
      <c r="AG651" s="150"/>
      <c r="AH651" s="149"/>
      <c r="AI651" s="149"/>
      <c r="AJ651" s="149"/>
      <c r="AK651" s="150"/>
      <c r="AL651" s="150"/>
      <c r="AM651" s="149"/>
      <c r="AN651" s="149"/>
      <c r="AO651" s="149"/>
      <c r="AP651" s="150"/>
      <c r="AQ651" s="150"/>
      <c r="AR651" s="150"/>
      <c r="AS651" s="150"/>
      <c r="AT651" s="150"/>
      <c r="AU651" s="150"/>
      <c r="AV651" s="150"/>
      <c r="AW651" s="150"/>
      <c r="AX651" s="150"/>
      <c r="AY651" s="151"/>
      <c r="AZ651" s="151"/>
      <c r="BA651" s="151"/>
      <c r="BB651" s="151"/>
      <c r="BC651" s="151"/>
      <c r="BD651" s="151"/>
      <c r="BE651" s="151"/>
      <c r="BF651" s="151"/>
      <c r="BG651" s="151"/>
      <c r="BH651" s="151"/>
      <c r="BI651" s="151"/>
    </row>
    <row r="652" spans="1:61" x14ac:dyDescent="0.25">
      <c r="A652" s="149"/>
      <c r="B652" s="149"/>
      <c r="C652" s="149"/>
      <c r="D652" s="149"/>
      <c r="E652" s="150"/>
      <c r="F652" s="150"/>
      <c r="G652" s="149"/>
      <c r="H652" s="149"/>
      <c r="I652" s="149"/>
      <c r="J652" s="150"/>
      <c r="K652" s="150"/>
      <c r="L652" s="149"/>
      <c r="M652" s="149"/>
      <c r="N652" s="149"/>
      <c r="O652" s="150"/>
      <c r="P652" s="150"/>
      <c r="Q652" s="149"/>
      <c r="R652" s="149"/>
      <c r="S652" s="149"/>
      <c r="T652" s="150"/>
      <c r="U652" s="150"/>
      <c r="V652" s="150"/>
      <c r="W652" s="150"/>
      <c r="X652" s="150"/>
      <c r="Y652" s="150"/>
      <c r="Z652" s="150"/>
      <c r="AA652" s="150"/>
      <c r="AB652" s="150"/>
      <c r="AC652" s="149"/>
      <c r="AD652" s="149"/>
      <c r="AE652" s="149"/>
      <c r="AF652" s="150"/>
      <c r="AG652" s="150"/>
      <c r="AH652" s="149"/>
      <c r="AI652" s="149"/>
      <c r="AJ652" s="149"/>
      <c r="AK652" s="150"/>
      <c r="AL652" s="150"/>
      <c r="AM652" s="149"/>
      <c r="AN652" s="149"/>
      <c r="AO652" s="149"/>
      <c r="AP652" s="150"/>
      <c r="AQ652" s="150"/>
      <c r="AR652" s="150"/>
      <c r="AS652" s="150"/>
      <c r="AT652" s="150"/>
      <c r="AU652" s="150"/>
      <c r="AV652" s="150"/>
      <c r="AW652" s="150"/>
      <c r="AX652" s="150"/>
      <c r="AY652" s="151"/>
      <c r="AZ652" s="151"/>
      <c r="BA652" s="151"/>
      <c r="BB652" s="151"/>
      <c r="BC652" s="151"/>
      <c r="BD652" s="151"/>
      <c r="BE652" s="151"/>
      <c r="BF652" s="151"/>
      <c r="BG652" s="151"/>
      <c r="BH652" s="151"/>
      <c r="BI652" s="151"/>
    </row>
    <row r="653" spans="1:61" x14ac:dyDescent="0.25">
      <c r="A653" s="149"/>
      <c r="B653" s="149"/>
      <c r="C653" s="149"/>
      <c r="D653" s="149"/>
      <c r="E653" s="150"/>
      <c r="F653" s="150"/>
      <c r="G653" s="149"/>
      <c r="H653" s="149"/>
      <c r="I653" s="149"/>
      <c r="J653" s="150"/>
      <c r="K653" s="150"/>
      <c r="L653" s="149"/>
      <c r="M653" s="149"/>
      <c r="N653" s="149"/>
      <c r="O653" s="150"/>
      <c r="P653" s="150"/>
      <c r="Q653" s="149"/>
      <c r="R653" s="149"/>
      <c r="S653" s="149"/>
      <c r="T653" s="150"/>
      <c r="U653" s="150"/>
      <c r="V653" s="150"/>
      <c r="W653" s="150"/>
      <c r="X653" s="150"/>
      <c r="Y653" s="150"/>
      <c r="Z653" s="150"/>
      <c r="AA653" s="150"/>
      <c r="AB653" s="150"/>
      <c r="AC653" s="149"/>
      <c r="AD653" s="149"/>
      <c r="AE653" s="149"/>
      <c r="AF653" s="150"/>
      <c r="AG653" s="150"/>
      <c r="AH653" s="149"/>
      <c r="AI653" s="149"/>
      <c r="AJ653" s="149"/>
      <c r="AK653" s="150"/>
      <c r="AL653" s="150"/>
      <c r="AM653" s="149"/>
      <c r="AN653" s="149"/>
      <c r="AO653" s="149"/>
      <c r="AP653" s="150"/>
      <c r="AQ653" s="150"/>
      <c r="AR653" s="150"/>
      <c r="AS653" s="150"/>
      <c r="AT653" s="150"/>
      <c r="AU653" s="150"/>
      <c r="AV653" s="150"/>
      <c r="AW653" s="150"/>
      <c r="AX653" s="150"/>
      <c r="AY653" s="151"/>
      <c r="AZ653" s="151"/>
      <c r="BA653" s="151"/>
      <c r="BB653" s="151"/>
      <c r="BC653" s="151"/>
      <c r="BD653" s="151"/>
      <c r="BE653" s="151"/>
      <c r="BF653" s="151"/>
      <c r="BG653" s="151"/>
      <c r="BH653" s="151"/>
      <c r="BI653" s="151"/>
    </row>
    <row r="654" spans="1:61" x14ac:dyDescent="0.25">
      <c r="A654" s="149"/>
      <c r="B654" s="149"/>
      <c r="C654" s="149"/>
      <c r="D654" s="149"/>
      <c r="E654" s="150"/>
      <c r="F654" s="150"/>
      <c r="G654" s="149"/>
      <c r="H654" s="149"/>
      <c r="I654" s="149"/>
      <c r="J654" s="150"/>
      <c r="K654" s="150"/>
      <c r="L654" s="149"/>
      <c r="M654" s="149"/>
      <c r="N654" s="149"/>
      <c r="O654" s="150"/>
      <c r="P654" s="150"/>
      <c r="Q654" s="149"/>
      <c r="R654" s="149"/>
      <c r="S654" s="149"/>
      <c r="T654" s="150"/>
      <c r="U654" s="150"/>
      <c r="V654" s="150"/>
      <c r="W654" s="150"/>
      <c r="X654" s="150"/>
      <c r="Y654" s="150"/>
      <c r="Z654" s="150"/>
      <c r="AA654" s="150"/>
      <c r="AB654" s="150"/>
      <c r="AC654" s="149"/>
      <c r="AD654" s="149"/>
      <c r="AE654" s="149"/>
      <c r="AF654" s="150"/>
      <c r="AG654" s="150"/>
      <c r="AH654" s="149"/>
      <c r="AI654" s="149"/>
      <c r="AJ654" s="149"/>
      <c r="AK654" s="150"/>
      <c r="AL654" s="150"/>
      <c r="AM654" s="149"/>
      <c r="AN654" s="149"/>
      <c r="AO654" s="149"/>
      <c r="AP654" s="150"/>
      <c r="AQ654" s="150"/>
      <c r="AR654" s="150"/>
      <c r="AS654" s="150"/>
      <c r="AT654" s="150"/>
      <c r="AU654" s="150"/>
      <c r="AV654" s="150"/>
      <c r="AW654" s="150"/>
      <c r="AX654" s="150"/>
      <c r="AY654" s="151"/>
      <c r="AZ654" s="151"/>
      <c r="BA654" s="151"/>
      <c r="BB654" s="151"/>
      <c r="BC654" s="151"/>
      <c r="BD654" s="151"/>
      <c r="BE654" s="151"/>
      <c r="BF654" s="151"/>
      <c r="BG654" s="151"/>
      <c r="BH654" s="151"/>
      <c r="BI654" s="151"/>
    </row>
    <row r="655" spans="1:61" x14ac:dyDescent="0.25">
      <c r="A655" s="149"/>
      <c r="B655" s="149"/>
      <c r="C655" s="149"/>
      <c r="D655" s="149"/>
      <c r="E655" s="150"/>
      <c r="F655" s="150"/>
      <c r="G655" s="149"/>
      <c r="H655" s="149"/>
      <c r="I655" s="149"/>
      <c r="J655" s="150"/>
      <c r="K655" s="150"/>
      <c r="L655" s="149"/>
      <c r="M655" s="149"/>
      <c r="N655" s="149"/>
      <c r="O655" s="150"/>
      <c r="P655" s="150"/>
      <c r="Q655" s="149"/>
      <c r="R655" s="149"/>
      <c r="S655" s="149"/>
      <c r="T655" s="150"/>
      <c r="U655" s="150"/>
      <c r="V655" s="150"/>
      <c r="W655" s="150"/>
      <c r="X655" s="150"/>
      <c r="Y655" s="150"/>
      <c r="Z655" s="150"/>
      <c r="AA655" s="150"/>
      <c r="AB655" s="150"/>
      <c r="AC655" s="149"/>
      <c r="AD655" s="149"/>
      <c r="AE655" s="149"/>
      <c r="AF655" s="150"/>
      <c r="AG655" s="150"/>
      <c r="AH655" s="149"/>
      <c r="AI655" s="149"/>
      <c r="AJ655" s="149"/>
      <c r="AK655" s="150"/>
      <c r="AL655" s="150"/>
      <c r="AM655" s="149"/>
      <c r="AN655" s="149"/>
      <c r="AO655" s="149"/>
      <c r="AP655" s="150"/>
      <c r="AQ655" s="150"/>
      <c r="AR655" s="150"/>
      <c r="AS655" s="150"/>
      <c r="AT655" s="150"/>
      <c r="AU655" s="150"/>
      <c r="AV655" s="150"/>
      <c r="AW655" s="150"/>
      <c r="AX655" s="150"/>
      <c r="AY655" s="151"/>
      <c r="AZ655" s="151"/>
      <c r="BA655" s="151"/>
      <c r="BB655" s="151"/>
      <c r="BC655" s="151"/>
      <c r="BD655" s="151"/>
      <c r="BE655" s="151"/>
      <c r="BF655" s="151"/>
      <c r="BG655" s="151"/>
      <c r="BH655" s="151"/>
      <c r="BI655" s="151"/>
    </row>
    <row r="656" spans="1:61" x14ac:dyDescent="0.25">
      <c r="A656" s="149"/>
      <c r="B656" s="149"/>
      <c r="C656" s="149"/>
      <c r="D656" s="149"/>
      <c r="E656" s="150"/>
      <c r="F656" s="150"/>
      <c r="G656" s="149"/>
      <c r="H656" s="149"/>
      <c r="I656" s="149"/>
      <c r="J656" s="150"/>
      <c r="K656" s="150"/>
      <c r="L656" s="149"/>
      <c r="M656" s="149"/>
      <c r="N656" s="149"/>
      <c r="O656" s="150"/>
      <c r="P656" s="150"/>
      <c r="Q656" s="149"/>
      <c r="R656" s="149"/>
      <c r="S656" s="149"/>
      <c r="T656" s="150"/>
      <c r="U656" s="150"/>
      <c r="V656" s="150"/>
      <c r="W656" s="150"/>
      <c r="X656" s="150"/>
      <c r="Y656" s="150"/>
      <c r="Z656" s="150"/>
      <c r="AA656" s="150"/>
      <c r="AB656" s="150"/>
      <c r="AC656" s="149"/>
      <c r="AD656" s="149"/>
      <c r="AE656" s="149"/>
      <c r="AF656" s="150"/>
      <c r="AG656" s="150"/>
      <c r="AH656" s="149"/>
      <c r="AI656" s="149"/>
      <c r="AJ656" s="149"/>
      <c r="AK656" s="150"/>
      <c r="AL656" s="150"/>
      <c r="AM656" s="149"/>
      <c r="AN656" s="149"/>
      <c r="AO656" s="149"/>
      <c r="AP656" s="150"/>
      <c r="AQ656" s="150"/>
      <c r="AR656" s="150"/>
      <c r="AS656" s="150"/>
      <c r="AT656" s="150"/>
      <c r="AU656" s="150"/>
      <c r="AV656" s="150"/>
      <c r="AW656" s="150"/>
      <c r="AX656" s="150"/>
      <c r="AY656" s="151"/>
      <c r="AZ656" s="151"/>
      <c r="BA656" s="151"/>
      <c r="BB656" s="151"/>
      <c r="BC656" s="151"/>
      <c r="BD656" s="151"/>
      <c r="BE656" s="151"/>
      <c r="BF656" s="151"/>
      <c r="BG656" s="151"/>
      <c r="BH656" s="151"/>
      <c r="BI656" s="151"/>
    </row>
    <row r="657" spans="1:61" x14ac:dyDescent="0.25">
      <c r="A657" s="149"/>
      <c r="B657" s="149"/>
      <c r="C657" s="149"/>
      <c r="D657" s="149"/>
      <c r="E657" s="150"/>
      <c r="F657" s="150"/>
      <c r="G657" s="149"/>
      <c r="H657" s="149"/>
      <c r="I657" s="149"/>
      <c r="J657" s="150"/>
      <c r="K657" s="150"/>
      <c r="L657" s="149"/>
      <c r="M657" s="149"/>
      <c r="N657" s="149"/>
      <c r="O657" s="150"/>
      <c r="P657" s="150"/>
      <c r="Q657" s="149"/>
      <c r="R657" s="149"/>
      <c r="S657" s="149"/>
      <c r="T657" s="150"/>
      <c r="U657" s="150"/>
      <c r="V657" s="150"/>
      <c r="W657" s="150"/>
      <c r="X657" s="150"/>
      <c r="Y657" s="150"/>
      <c r="Z657" s="150"/>
      <c r="AA657" s="150"/>
      <c r="AB657" s="150"/>
      <c r="AC657" s="149"/>
      <c r="AD657" s="149"/>
      <c r="AE657" s="149"/>
      <c r="AF657" s="150"/>
      <c r="AG657" s="150"/>
      <c r="AH657" s="149"/>
      <c r="AI657" s="149"/>
      <c r="AJ657" s="149"/>
      <c r="AK657" s="150"/>
      <c r="AL657" s="150"/>
      <c r="AM657" s="149"/>
      <c r="AN657" s="149"/>
      <c r="AO657" s="149"/>
      <c r="AP657" s="150"/>
      <c r="AQ657" s="150"/>
      <c r="AR657" s="150"/>
      <c r="AS657" s="150"/>
      <c r="AT657" s="150"/>
      <c r="AU657" s="150"/>
      <c r="AV657" s="150"/>
      <c r="AW657" s="150"/>
      <c r="AX657" s="150"/>
      <c r="AY657" s="151"/>
      <c r="AZ657" s="151"/>
      <c r="BA657" s="151"/>
      <c r="BB657" s="151"/>
      <c r="BC657" s="151"/>
      <c r="BD657" s="151"/>
      <c r="BE657" s="151"/>
      <c r="BF657" s="151"/>
      <c r="BG657" s="151"/>
      <c r="BH657" s="151"/>
      <c r="BI657" s="151"/>
    </row>
    <row r="658" spans="1:61" x14ac:dyDescent="0.25">
      <c r="A658" s="149"/>
      <c r="B658" s="149"/>
      <c r="C658" s="149"/>
      <c r="D658" s="149"/>
      <c r="E658" s="150"/>
      <c r="F658" s="150"/>
      <c r="G658" s="149"/>
      <c r="H658" s="149"/>
      <c r="I658" s="149"/>
      <c r="J658" s="150"/>
      <c r="K658" s="150"/>
      <c r="L658" s="149"/>
      <c r="M658" s="149"/>
      <c r="N658" s="149"/>
      <c r="O658" s="150"/>
      <c r="P658" s="150"/>
      <c r="Q658" s="149"/>
      <c r="R658" s="149"/>
      <c r="S658" s="149"/>
      <c r="T658" s="150"/>
      <c r="U658" s="150"/>
      <c r="V658" s="150"/>
      <c r="W658" s="150"/>
      <c r="X658" s="150"/>
      <c r="Y658" s="150"/>
      <c r="Z658" s="150"/>
      <c r="AA658" s="150"/>
      <c r="AB658" s="150"/>
      <c r="AC658" s="149"/>
      <c r="AD658" s="149"/>
      <c r="AE658" s="149"/>
      <c r="AF658" s="150"/>
      <c r="AG658" s="150"/>
      <c r="AH658" s="149"/>
      <c r="AI658" s="149"/>
      <c r="AJ658" s="149"/>
      <c r="AK658" s="150"/>
      <c r="AL658" s="150"/>
      <c r="AM658" s="149"/>
      <c r="AN658" s="149"/>
      <c r="AO658" s="149"/>
      <c r="AP658" s="150"/>
      <c r="AQ658" s="150"/>
      <c r="AR658" s="150"/>
      <c r="AS658" s="150"/>
      <c r="AT658" s="150"/>
      <c r="AU658" s="150"/>
      <c r="AV658" s="150"/>
      <c r="AW658" s="150"/>
      <c r="AX658" s="150"/>
      <c r="AY658" s="151"/>
      <c r="AZ658" s="151"/>
      <c r="BA658" s="151"/>
      <c r="BB658" s="151"/>
      <c r="BC658" s="151"/>
      <c r="BD658" s="151"/>
      <c r="BE658" s="151"/>
      <c r="BF658" s="151"/>
      <c r="BG658" s="151"/>
      <c r="BH658" s="151"/>
      <c r="BI658" s="151"/>
    </row>
    <row r="659" spans="1:61" x14ac:dyDescent="0.25">
      <c r="A659" s="149"/>
      <c r="B659" s="149"/>
      <c r="C659" s="149"/>
      <c r="D659" s="149"/>
      <c r="E659" s="150"/>
      <c r="F659" s="150"/>
      <c r="G659" s="149"/>
      <c r="H659" s="149"/>
      <c r="I659" s="149"/>
      <c r="J659" s="150"/>
      <c r="K659" s="150"/>
      <c r="L659" s="149"/>
      <c r="M659" s="149"/>
      <c r="N659" s="149"/>
      <c r="O659" s="150"/>
      <c r="P659" s="150"/>
      <c r="Q659" s="149"/>
      <c r="R659" s="149"/>
      <c r="S659" s="149"/>
      <c r="T659" s="150"/>
      <c r="U659" s="150"/>
      <c r="V659" s="150"/>
      <c r="W659" s="150"/>
      <c r="X659" s="150"/>
      <c r="Y659" s="150"/>
      <c r="Z659" s="150"/>
      <c r="AA659" s="150"/>
      <c r="AB659" s="150"/>
      <c r="AC659" s="149"/>
      <c r="AD659" s="149"/>
      <c r="AE659" s="149"/>
      <c r="AF659" s="150"/>
      <c r="AG659" s="150"/>
      <c r="AH659" s="149"/>
      <c r="AI659" s="149"/>
      <c r="AJ659" s="149"/>
      <c r="AK659" s="150"/>
      <c r="AL659" s="150"/>
      <c r="AM659" s="149"/>
      <c r="AN659" s="149"/>
      <c r="AO659" s="149"/>
      <c r="AP659" s="150"/>
      <c r="AQ659" s="150"/>
      <c r="AR659" s="150"/>
      <c r="AS659" s="150"/>
      <c r="AT659" s="150"/>
      <c r="AU659" s="150"/>
      <c r="AV659" s="150"/>
      <c r="AW659" s="150"/>
      <c r="AX659" s="150"/>
      <c r="AY659" s="151"/>
      <c r="AZ659" s="151"/>
      <c r="BA659" s="151"/>
      <c r="BB659" s="151"/>
      <c r="BC659" s="151"/>
      <c r="BD659" s="151"/>
      <c r="BE659" s="151"/>
      <c r="BF659" s="151"/>
      <c r="BG659" s="151"/>
      <c r="BH659" s="151"/>
      <c r="BI659" s="151"/>
    </row>
    <row r="660" spans="1:61" x14ac:dyDescent="0.25">
      <c r="A660" s="149"/>
      <c r="B660" s="149"/>
      <c r="C660" s="149"/>
      <c r="D660" s="149"/>
      <c r="E660" s="150"/>
      <c r="F660" s="150"/>
      <c r="G660" s="149"/>
      <c r="H660" s="149"/>
      <c r="I660" s="149"/>
      <c r="J660" s="150"/>
      <c r="K660" s="150"/>
      <c r="L660" s="149"/>
      <c r="M660" s="149"/>
      <c r="N660" s="149"/>
      <c r="O660" s="150"/>
      <c r="P660" s="150"/>
      <c r="Q660" s="149"/>
      <c r="R660" s="149"/>
      <c r="S660" s="149"/>
      <c r="T660" s="150"/>
      <c r="U660" s="150"/>
      <c r="V660" s="150"/>
      <c r="W660" s="150"/>
      <c r="X660" s="150"/>
      <c r="Y660" s="150"/>
      <c r="Z660" s="150"/>
      <c r="AA660" s="150"/>
      <c r="AB660" s="150"/>
      <c r="AC660" s="149"/>
      <c r="AD660" s="149"/>
      <c r="AE660" s="149"/>
      <c r="AF660" s="150"/>
      <c r="AG660" s="150"/>
      <c r="AH660" s="149"/>
      <c r="AI660" s="149"/>
      <c r="AJ660" s="149"/>
      <c r="AK660" s="150"/>
      <c r="AL660" s="150"/>
      <c r="AM660" s="149"/>
      <c r="AN660" s="149"/>
      <c r="AO660" s="149"/>
      <c r="AP660" s="150"/>
      <c r="AQ660" s="150"/>
      <c r="AR660" s="150"/>
      <c r="AS660" s="150"/>
      <c r="AT660" s="150"/>
      <c r="AU660" s="150"/>
      <c r="AV660" s="150"/>
      <c r="AW660" s="150"/>
      <c r="AX660" s="150"/>
      <c r="AY660" s="151"/>
      <c r="AZ660" s="151"/>
      <c r="BA660" s="151"/>
      <c r="BB660" s="151"/>
      <c r="BC660" s="151"/>
      <c r="BD660" s="151"/>
      <c r="BE660" s="151"/>
      <c r="BF660" s="151"/>
      <c r="BG660" s="151"/>
      <c r="BH660" s="151"/>
      <c r="BI660" s="151"/>
    </row>
    <row r="661" spans="1:61" x14ac:dyDescent="0.25">
      <c r="A661" s="149"/>
      <c r="B661" s="149"/>
      <c r="C661" s="149"/>
      <c r="D661" s="149"/>
      <c r="E661" s="150"/>
      <c r="F661" s="150"/>
      <c r="G661" s="149"/>
      <c r="H661" s="149"/>
      <c r="I661" s="149"/>
      <c r="J661" s="150"/>
      <c r="K661" s="150"/>
      <c r="L661" s="149"/>
      <c r="M661" s="149"/>
      <c r="N661" s="149"/>
      <c r="O661" s="150"/>
      <c r="P661" s="150"/>
      <c r="Q661" s="149"/>
      <c r="R661" s="149"/>
      <c r="S661" s="149"/>
      <c r="T661" s="150"/>
      <c r="U661" s="150"/>
      <c r="V661" s="150"/>
      <c r="W661" s="150"/>
      <c r="X661" s="150"/>
      <c r="Y661" s="150"/>
      <c r="Z661" s="150"/>
      <c r="AA661" s="150"/>
      <c r="AB661" s="150"/>
      <c r="AC661" s="149"/>
      <c r="AD661" s="149"/>
      <c r="AE661" s="149"/>
      <c r="AF661" s="150"/>
      <c r="AG661" s="150"/>
      <c r="AH661" s="149"/>
      <c r="AI661" s="149"/>
      <c r="AJ661" s="149"/>
      <c r="AK661" s="150"/>
      <c r="AL661" s="150"/>
      <c r="AM661" s="149"/>
      <c r="AN661" s="149"/>
      <c r="AO661" s="149"/>
      <c r="AP661" s="150"/>
      <c r="AQ661" s="150"/>
      <c r="AR661" s="150"/>
      <c r="AS661" s="150"/>
      <c r="AT661" s="150"/>
      <c r="AU661" s="150"/>
      <c r="AV661" s="150"/>
      <c r="AW661" s="150"/>
      <c r="AX661" s="150"/>
      <c r="AY661" s="151"/>
      <c r="AZ661" s="151"/>
      <c r="BA661" s="151"/>
      <c r="BB661" s="151"/>
      <c r="BC661" s="151"/>
      <c r="BD661" s="151"/>
      <c r="BE661" s="151"/>
      <c r="BF661" s="151"/>
      <c r="BG661" s="151"/>
      <c r="BH661" s="151"/>
      <c r="BI661" s="151"/>
    </row>
    <row r="662" spans="1:61" x14ac:dyDescent="0.25">
      <c r="A662" s="149"/>
      <c r="B662" s="149"/>
      <c r="C662" s="149"/>
      <c r="D662" s="149"/>
      <c r="E662" s="150"/>
      <c r="F662" s="150"/>
      <c r="G662" s="149"/>
      <c r="H662" s="149"/>
      <c r="I662" s="149"/>
      <c r="J662" s="150"/>
      <c r="K662" s="150"/>
      <c r="L662" s="149"/>
      <c r="M662" s="149"/>
      <c r="N662" s="149"/>
      <c r="O662" s="150"/>
      <c r="P662" s="150"/>
      <c r="Q662" s="149"/>
      <c r="R662" s="149"/>
      <c r="S662" s="149"/>
      <c r="T662" s="150"/>
      <c r="U662" s="150"/>
      <c r="V662" s="150"/>
      <c r="W662" s="150"/>
      <c r="X662" s="150"/>
      <c r="Y662" s="150"/>
      <c r="Z662" s="150"/>
      <c r="AA662" s="150"/>
      <c r="AB662" s="150"/>
      <c r="AC662" s="149"/>
      <c r="AD662" s="149"/>
      <c r="AE662" s="149"/>
      <c r="AF662" s="150"/>
      <c r="AG662" s="150"/>
      <c r="AH662" s="149"/>
      <c r="AI662" s="149"/>
      <c r="AJ662" s="149"/>
      <c r="AK662" s="150"/>
      <c r="AL662" s="150"/>
      <c r="AM662" s="149"/>
      <c r="AN662" s="149"/>
      <c r="AO662" s="149"/>
      <c r="AP662" s="150"/>
      <c r="AQ662" s="150"/>
      <c r="AR662" s="150"/>
      <c r="AS662" s="150"/>
      <c r="AT662" s="150"/>
      <c r="AU662" s="150"/>
      <c r="AV662" s="150"/>
      <c r="AW662" s="150"/>
      <c r="AX662" s="150"/>
      <c r="AY662" s="151"/>
      <c r="AZ662" s="151"/>
      <c r="BA662" s="151"/>
      <c r="BB662" s="151"/>
      <c r="BC662" s="151"/>
      <c r="BD662" s="151"/>
      <c r="BE662" s="151"/>
      <c r="BF662" s="151"/>
      <c r="BG662" s="151"/>
      <c r="BH662" s="151"/>
      <c r="BI662" s="151"/>
    </row>
    <row r="663" spans="1:61" x14ac:dyDescent="0.25">
      <c r="A663" s="149"/>
      <c r="B663" s="149"/>
      <c r="C663" s="149"/>
      <c r="D663" s="149"/>
      <c r="E663" s="150"/>
      <c r="F663" s="150"/>
      <c r="G663" s="149"/>
      <c r="H663" s="149"/>
      <c r="I663" s="149"/>
      <c r="J663" s="150"/>
      <c r="K663" s="150"/>
      <c r="L663" s="149"/>
      <c r="M663" s="149"/>
      <c r="N663" s="149"/>
      <c r="O663" s="150"/>
      <c r="P663" s="150"/>
      <c r="Q663" s="149"/>
      <c r="R663" s="149"/>
      <c r="S663" s="149"/>
      <c r="T663" s="150"/>
      <c r="U663" s="150"/>
      <c r="V663" s="150"/>
      <c r="W663" s="150"/>
      <c r="X663" s="150"/>
      <c r="Y663" s="150"/>
      <c r="Z663" s="150"/>
      <c r="AA663" s="150"/>
      <c r="AB663" s="150"/>
      <c r="AC663" s="149"/>
      <c r="AD663" s="149"/>
      <c r="AE663" s="149"/>
      <c r="AF663" s="150"/>
      <c r="AG663" s="150"/>
      <c r="AH663" s="149"/>
      <c r="AI663" s="149"/>
      <c r="AJ663" s="149"/>
      <c r="AK663" s="150"/>
      <c r="AL663" s="150"/>
      <c r="AM663" s="149"/>
      <c r="AN663" s="149"/>
      <c r="AO663" s="149"/>
      <c r="AP663" s="150"/>
      <c r="AQ663" s="150"/>
      <c r="AR663" s="150"/>
      <c r="AS663" s="150"/>
      <c r="AT663" s="150"/>
      <c r="AU663" s="150"/>
      <c r="AV663" s="150"/>
      <c r="AW663" s="150"/>
      <c r="AX663" s="150"/>
      <c r="AY663" s="151"/>
      <c r="AZ663" s="151"/>
      <c r="BA663" s="151"/>
      <c r="BB663" s="151"/>
      <c r="BC663" s="151"/>
      <c r="BD663" s="151"/>
      <c r="BE663" s="151"/>
      <c r="BF663" s="151"/>
      <c r="BG663" s="151"/>
      <c r="BH663" s="151"/>
      <c r="BI663" s="151"/>
    </row>
    <row r="664" spans="1:61" x14ac:dyDescent="0.25">
      <c r="A664" s="149"/>
      <c r="B664" s="149"/>
      <c r="C664" s="149"/>
      <c r="D664" s="149"/>
      <c r="E664" s="150"/>
      <c r="F664" s="150"/>
      <c r="G664" s="149"/>
      <c r="H664" s="149"/>
      <c r="I664" s="149"/>
      <c r="J664" s="150"/>
      <c r="K664" s="150"/>
      <c r="L664" s="149"/>
      <c r="M664" s="149"/>
      <c r="N664" s="149"/>
      <c r="O664" s="150"/>
      <c r="P664" s="150"/>
      <c r="Q664" s="149"/>
      <c r="R664" s="149"/>
      <c r="S664" s="149"/>
      <c r="T664" s="150"/>
      <c r="U664" s="150"/>
      <c r="V664" s="150"/>
      <c r="W664" s="150"/>
      <c r="X664" s="150"/>
      <c r="Y664" s="150"/>
      <c r="Z664" s="150"/>
      <c r="AA664" s="150"/>
      <c r="AB664" s="150"/>
      <c r="AC664" s="149"/>
      <c r="AD664" s="149"/>
      <c r="AE664" s="149"/>
      <c r="AF664" s="150"/>
      <c r="AG664" s="150"/>
      <c r="AH664" s="149"/>
      <c r="AI664" s="149"/>
      <c r="AJ664" s="149"/>
      <c r="AK664" s="150"/>
      <c r="AL664" s="150"/>
      <c r="AM664" s="149"/>
      <c r="AN664" s="149"/>
      <c r="AO664" s="149"/>
      <c r="AP664" s="150"/>
      <c r="AQ664" s="150"/>
      <c r="AR664" s="150"/>
      <c r="AS664" s="150"/>
      <c r="AT664" s="150"/>
      <c r="AU664" s="150"/>
      <c r="AV664" s="150"/>
      <c r="AW664" s="150"/>
      <c r="AX664" s="150"/>
      <c r="AY664" s="151"/>
      <c r="AZ664" s="151"/>
      <c r="BA664" s="151"/>
      <c r="BB664" s="151"/>
      <c r="BC664" s="151"/>
      <c r="BD664" s="151"/>
      <c r="BE664" s="151"/>
      <c r="BF664" s="151"/>
      <c r="BG664" s="151"/>
      <c r="BH664" s="151"/>
      <c r="BI664" s="151"/>
    </row>
    <row r="665" spans="1:61" x14ac:dyDescent="0.25">
      <c r="A665" s="149"/>
      <c r="B665" s="149"/>
      <c r="C665" s="149"/>
      <c r="D665" s="149"/>
      <c r="E665" s="150"/>
      <c r="F665" s="150"/>
      <c r="G665" s="149"/>
      <c r="H665" s="149"/>
      <c r="I665" s="149"/>
      <c r="J665" s="150"/>
      <c r="K665" s="150"/>
      <c r="L665" s="149"/>
      <c r="M665" s="149"/>
      <c r="N665" s="149"/>
      <c r="O665" s="150"/>
      <c r="P665" s="150"/>
      <c r="Q665" s="149"/>
      <c r="R665" s="149"/>
      <c r="S665" s="149"/>
      <c r="T665" s="150"/>
      <c r="U665" s="150"/>
      <c r="V665" s="150"/>
      <c r="W665" s="150"/>
      <c r="X665" s="150"/>
      <c r="Y665" s="150"/>
      <c r="Z665" s="150"/>
      <c r="AA665" s="150"/>
      <c r="AB665" s="150"/>
      <c r="AC665" s="149"/>
      <c r="AD665" s="149"/>
      <c r="AE665" s="149"/>
      <c r="AF665" s="150"/>
      <c r="AG665" s="150"/>
      <c r="AH665" s="149"/>
      <c r="AI665" s="149"/>
      <c r="AJ665" s="149"/>
      <c r="AK665" s="150"/>
      <c r="AL665" s="150"/>
      <c r="AM665" s="149"/>
      <c r="AN665" s="149"/>
      <c r="AO665" s="149"/>
      <c r="AP665" s="150"/>
      <c r="AQ665" s="150"/>
      <c r="AR665" s="150"/>
      <c r="AS665" s="150"/>
      <c r="AT665" s="150"/>
      <c r="AU665" s="150"/>
      <c r="AV665" s="150"/>
      <c r="AW665" s="150"/>
      <c r="AX665" s="150"/>
      <c r="AY665" s="151"/>
      <c r="AZ665" s="151"/>
      <c r="BA665" s="151"/>
      <c r="BB665" s="151"/>
      <c r="BC665" s="151"/>
      <c r="BD665" s="151"/>
      <c r="BE665" s="151"/>
      <c r="BF665" s="151"/>
      <c r="BG665" s="151"/>
      <c r="BH665" s="151"/>
      <c r="BI665" s="151"/>
    </row>
    <row r="666" spans="1:61" x14ac:dyDescent="0.25">
      <c r="A666" s="149"/>
      <c r="B666" s="149"/>
      <c r="C666" s="149"/>
      <c r="D666" s="149"/>
      <c r="E666" s="150"/>
      <c r="F666" s="150"/>
      <c r="G666" s="149"/>
      <c r="H666" s="149"/>
      <c r="I666" s="149"/>
      <c r="J666" s="150"/>
      <c r="K666" s="150"/>
      <c r="L666" s="149"/>
      <c r="M666" s="149"/>
      <c r="N666" s="149"/>
      <c r="O666" s="150"/>
      <c r="P666" s="150"/>
      <c r="Q666" s="149"/>
      <c r="R666" s="149"/>
      <c r="S666" s="149"/>
      <c r="T666" s="150"/>
      <c r="U666" s="150"/>
      <c r="V666" s="150"/>
      <c r="W666" s="150"/>
      <c r="X666" s="150"/>
      <c r="Y666" s="150"/>
      <c r="Z666" s="150"/>
      <c r="AA666" s="150"/>
      <c r="AB666" s="150"/>
      <c r="AC666" s="149"/>
      <c r="AD666" s="149"/>
      <c r="AE666" s="149"/>
      <c r="AF666" s="150"/>
      <c r="AG666" s="150"/>
      <c r="AH666" s="149"/>
      <c r="AI666" s="149"/>
      <c r="AJ666" s="149"/>
      <c r="AK666" s="150"/>
      <c r="AL666" s="150"/>
      <c r="AM666" s="149"/>
      <c r="AN666" s="149"/>
      <c r="AO666" s="149"/>
      <c r="AP666" s="150"/>
      <c r="AQ666" s="150"/>
      <c r="AR666" s="150"/>
      <c r="AS666" s="150"/>
      <c r="AT666" s="150"/>
      <c r="AU666" s="150"/>
      <c r="AV666" s="150"/>
      <c r="AW666" s="150"/>
      <c r="AX666" s="150"/>
      <c r="AY666" s="151"/>
      <c r="AZ666" s="151"/>
      <c r="BA666" s="151"/>
      <c r="BB666" s="151"/>
      <c r="BC666" s="151"/>
      <c r="BD666" s="151"/>
      <c r="BE666" s="151"/>
      <c r="BF666" s="151"/>
      <c r="BG666" s="151"/>
      <c r="BH666" s="151"/>
      <c r="BI666" s="151"/>
    </row>
    <row r="667" spans="1:61" x14ac:dyDescent="0.25">
      <c r="A667" s="149"/>
      <c r="B667" s="149"/>
      <c r="C667" s="149"/>
      <c r="D667" s="149"/>
      <c r="E667" s="150"/>
      <c r="F667" s="150"/>
      <c r="G667" s="149"/>
      <c r="H667" s="149"/>
      <c r="I667" s="149"/>
      <c r="J667" s="150"/>
      <c r="K667" s="150"/>
      <c r="L667" s="149"/>
      <c r="M667" s="149"/>
      <c r="N667" s="149"/>
      <c r="O667" s="150"/>
      <c r="P667" s="150"/>
      <c r="Q667" s="149"/>
      <c r="R667" s="149"/>
      <c r="S667" s="149"/>
      <c r="T667" s="150"/>
      <c r="U667" s="150"/>
      <c r="V667" s="150"/>
      <c r="W667" s="150"/>
      <c r="X667" s="150"/>
      <c r="Y667" s="150"/>
      <c r="Z667" s="150"/>
      <c r="AA667" s="150"/>
      <c r="AB667" s="150"/>
      <c r="AC667" s="149"/>
      <c r="AD667" s="149"/>
      <c r="AE667" s="149"/>
      <c r="AF667" s="150"/>
      <c r="AG667" s="150"/>
      <c r="AH667" s="149"/>
      <c r="AI667" s="149"/>
      <c r="AJ667" s="149"/>
      <c r="AK667" s="150"/>
      <c r="AL667" s="150"/>
      <c r="AM667" s="149"/>
      <c r="AN667" s="149"/>
      <c r="AO667" s="149"/>
      <c r="AP667" s="150"/>
      <c r="AQ667" s="150"/>
      <c r="AR667" s="150"/>
      <c r="AS667" s="150"/>
      <c r="AT667" s="150"/>
      <c r="AU667" s="150"/>
      <c r="AV667" s="150"/>
      <c r="AW667" s="150"/>
      <c r="AX667" s="150"/>
      <c r="AY667" s="151"/>
      <c r="AZ667" s="151"/>
      <c r="BA667" s="151"/>
      <c r="BB667" s="151"/>
      <c r="BC667" s="151"/>
      <c r="BD667" s="151"/>
      <c r="BE667" s="151"/>
      <c r="BF667" s="151"/>
      <c r="BG667" s="151"/>
      <c r="BH667" s="151"/>
      <c r="BI667" s="151"/>
    </row>
    <row r="668" spans="1:61" x14ac:dyDescent="0.25">
      <c r="A668" s="149"/>
      <c r="B668" s="149"/>
      <c r="C668" s="149"/>
      <c r="D668" s="149"/>
      <c r="E668" s="150"/>
      <c r="F668" s="150"/>
      <c r="G668" s="149"/>
      <c r="H668" s="149"/>
      <c r="I668" s="149"/>
      <c r="J668" s="150"/>
      <c r="K668" s="150"/>
      <c r="L668" s="149"/>
      <c r="M668" s="149"/>
      <c r="N668" s="149"/>
      <c r="O668" s="150"/>
      <c r="P668" s="150"/>
      <c r="Q668" s="149"/>
      <c r="R668" s="149"/>
      <c r="S668" s="149"/>
      <c r="T668" s="150"/>
      <c r="U668" s="150"/>
      <c r="V668" s="150"/>
      <c r="W668" s="150"/>
      <c r="X668" s="150"/>
      <c r="Y668" s="150"/>
      <c r="Z668" s="150"/>
      <c r="AA668" s="150"/>
      <c r="AB668" s="150"/>
      <c r="AC668" s="149"/>
      <c r="AD668" s="149"/>
      <c r="AE668" s="149"/>
      <c r="AF668" s="150"/>
      <c r="AG668" s="150"/>
      <c r="AH668" s="149"/>
      <c r="AI668" s="149"/>
      <c r="AJ668" s="149"/>
      <c r="AK668" s="150"/>
      <c r="AL668" s="150"/>
      <c r="AM668" s="149"/>
      <c r="AN668" s="149"/>
      <c r="AO668" s="149"/>
      <c r="AP668" s="150"/>
      <c r="AQ668" s="150"/>
      <c r="AR668" s="150"/>
      <c r="AS668" s="150"/>
      <c r="AT668" s="150"/>
      <c r="AU668" s="150"/>
      <c r="AV668" s="150"/>
      <c r="AW668" s="150"/>
      <c r="AX668" s="150"/>
      <c r="AY668" s="151"/>
      <c r="AZ668" s="151"/>
      <c r="BA668" s="151"/>
      <c r="BB668" s="151"/>
      <c r="BC668" s="151"/>
      <c r="BD668" s="151"/>
      <c r="BE668" s="151"/>
      <c r="BF668" s="151"/>
      <c r="BG668" s="151"/>
      <c r="BH668" s="151"/>
      <c r="BI668" s="151"/>
    </row>
    <row r="669" spans="1:61" x14ac:dyDescent="0.25">
      <c r="A669" s="149"/>
      <c r="B669" s="149"/>
      <c r="C669" s="149"/>
      <c r="D669" s="149"/>
      <c r="E669" s="150"/>
      <c r="F669" s="150"/>
      <c r="G669" s="149"/>
      <c r="H669" s="149"/>
      <c r="I669" s="149"/>
      <c r="J669" s="150"/>
      <c r="K669" s="150"/>
      <c r="L669" s="149"/>
      <c r="M669" s="149"/>
      <c r="N669" s="149"/>
      <c r="O669" s="150"/>
      <c r="P669" s="150"/>
      <c r="Q669" s="149"/>
      <c r="R669" s="149"/>
      <c r="S669" s="149"/>
      <c r="T669" s="150"/>
      <c r="U669" s="150"/>
      <c r="V669" s="150"/>
      <c r="W669" s="150"/>
      <c r="X669" s="150"/>
      <c r="Y669" s="150"/>
      <c r="Z669" s="150"/>
      <c r="AA669" s="150"/>
      <c r="AB669" s="150"/>
      <c r="AC669" s="149"/>
      <c r="AD669" s="149"/>
      <c r="AE669" s="149"/>
      <c r="AF669" s="150"/>
      <c r="AG669" s="150"/>
      <c r="AH669" s="149"/>
      <c r="AI669" s="149"/>
      <c r="AJ669" s="149"/>
      <c r="AK669" s="150"/>
      <c r="AL669" s="150"/>
      <c r="AM669" s="149"/>
      <c r="AN669" s="149"/>
      <c r="AO669" s="149"/>
      <c r="AP669" s="150"/>
      <c r="AQ669" s="150"/>
      <c r="AR669" s="150"/>
      <c r="AS669" s="150"/>
      <c r="AT669" s="150"/>
      <c r="AU669" s="150"/>
      <c r="AV669" s="150"/>
      <c r="AW669" s="150"/>
      <c r="AX669" s="150"/>
      <c r="AY669" s="151"/>
      <c r="AZ669" s="151"/>
      <c r="BA669" s="151"/>
      <c r="BB669" s="151"/>
      <c r="BC669" s="151"/>
      <c r="BD669" s="151"/>
      <c r="BE669" s="151"/>
      <c r="BF669" s="151"/>
      <c r="BG669" s="151"/>
      <c r="BH669" s="151"/>
      <c r="BI669" s="151"/>
    </row>
    <row r="670" spans="1:61" x14ac:dyDescent="0.25">
      <c r="A670" s="149"/>
      <c r="B670" s="149"/>
      <c r="C670" s="149"/>
      <c r="D670" s="149"/>
      <c r="E670" s="150"/>
      <c r="F670" s="150"/>
      <c r="G670" s="149"/>
      <c r="H670" s="149"/>
      <c r="I670" s="149"/>
      <c r="J670" s="150"/>
      <c r="K670" s="150"/>
      <c r="L670" s="149"/>
      <c r="M670" s="149"/>
      <c r="N670" s="149"/>
      <c r="O670" s="150"/>
      <c r="P670" s="150"/>
      <c r="Q670" s="149"/>
      <c r="R670" s="149"/>
      <c r="S670" s="149"/>
      <c r="T670" s="150"/>
      <c r="U670" s="150"/>
      <c r="V670" s="150"/>
      <c r="W670" s="150"/>
      <c r="X670" s="150"/>
      <c r="Y670" s="150"/>
      <c r="Z670" s="150"/>
      <c r="AA670" s="150"/>
      <c r="AB670" s="150"/>
      <c r="AC670" s="149"/>
      <c r="AD670" s="149"/>
      <c r="AE670" s="149"/>
      <c r="AF670" s="150"/>
      <c r="AG670" s="150"/>
      <c r="AH670" s="149"/>
      <c r="AI670" s="149"/>
      <c r="AJ670" s="149"/>
      <c r="AK670" s="150"/>
      <c r="AL670" s="150"/>
      <c r="AM670" s="149"/>
      <c r="AN670" s="149"/>
      <c r="AO670" s="149"/>
      <c r="AP670" s="150"/>
      <c r="AQ670" s="150"/>
      <c r="AR670" s="150"/>
      <c r="AS670" s="150"/>
      <c r="AT670" s="150"/>
      <c r="AU670" s="150"/>
      <c r="AV670" s="150"/>
      <c r="AW670" s="150"/>
      <c r="AX670" s="150"/>
      <c r="AY670" s="151"/>
      <c r="AZ670" s="151"/>
      <c r="BA670" s="151"/>
      <c r="BB670" s="151"/>
      <c r="BC670" s="151"/>
      <c r="BD670" s="151"/>
      <c r="BE670" s="151"/>
      <c r="BF670" s="151"/>
      <c r="BG670" s="151"/>
      <c r="BH670" s="151"/>
      <c r="BI670" s="151"/>
    </row>
    <row r="671" spans="1:61" x14ac:dyDescent="0.25">
      <c r="A671" s="149"/>
      <c r="B671" s="149"/>
      <c r="C671" s="149"/>
      <c r="D671" s="149"/>
      <c r="E671" s="150"/>
      <c r="F671" s="150"/>
      <c r="G671" s="149"/>
      <c r="H671" s="149"/>
      <c r="I671" s="149"/>
      <c r="J671" s="150"/>
      <c r="K671" s="150"/>
      <c r="L671" s="149"/>
      <c r="M671" s="149"/>
      <c r="N671" s="149"/>
      <c r="O671" s="150"/>
      <c r="P671" s="150"/>
      <c r="Q671" s="149"/>
      <c r="R671" s="149"/>
      <c r="S671" s="149"/>
      <c r="T671" s="150"/>
      <c r="U671" s="150"/>
      <c r="V671" s="150"/>
      <c r="W671" s="150"/>
      <c r="X671" s="150"/>
      <c r="Y671" s="150"/>
      <c r="Z671" s="150"/>
      <c r="AA671" s="150"/>
      <c r="AB671" s="150"/>
      <c r="AC671" s="149"/>
      <c r="AD671" s="149"/>
      <c r="AE671" s="149"/>
      <c r="AF671" s="150"/>
      <c r="AG671" s="150"/>
      <c r="AH671" s="149"/>
      <c r="AI671" s="149"/>
      <c r="AJ671" s="149"/>
      <c r="AK671" s="150"/>
      <c r="AL671" s="150"/>
      <c r="AM671" s="149"/>
      <c r="AN671" s="149"/>
      <c r="AO671" s="149"/>
      <c r="AP671" s="150"/>
      <c r="AQ671" s="150"/>
      <c r="AR671" s="150"/>
      <c r="AS671" s="150"/>
      <c r="AT671" s="150"/>
      <c r="AU671" s="150"/>
      <c r="AV671" s="150"/>
      <c r="AW671" s="150"/>
      <c r="AX671" s="150"/>
      <c r="AY671" s="151"/>
      <c r="AZ671" s="151"/>
      <c r="BA671" s="151"/>
      <c r="BB671" s="151"/>
      <c r="BC671" s="151"/>
      <c r="BD671" s="151"/>
      <c r="BE671" s="151"/>
      <c r="BF671" s="151"/>
      <c r="BG671" s="151"/>
      <c r="BH671" s="151"/>
      <c r="BI671" s="151"/>
    </row>
    <row r="672" spans="1:61" x14ac:dyDescent="0.25">
      <c r="A672" s="149"/>
      <c r="B672" s="149"/>
      <c r="C672" s="149"/>
      <c r="D672" s="149"/>
      <c r="E672" s="150"/>
      <c r="F672" s="150"/>
      <c r="G672" s="149"/>
      <c r="H672" s="149"/>
      <c r="I672" s="149"/>
      <c r="J672" s="150"/>
      <c r="K672" s="150"/>
      <c r="L672" s="149"/>
      <c r="M672" s="149"/>
      <c r="N672" s="149"/>
      <c r="O672" s="150"/>
      <c r="P672" s="150"/>
      <c r="Q672" s="149"/>
      <c r="R672" s="149"/>
      <c r="S672" s="149"/>
      <c r="T672" s="150"/>
      <c r="U672" s="150"/>
      <c r="V672" s="150"/>
      <c r="W672" s="150"/>
      <c r="X672" s="150"/>
      <c r="Y672" s="150"/>
      <c r="Z672" s="150"/>
      <c r="AA672" s="150"/>
      <c r="AB672" s="150"/>
      <c r="AC672" s="149"/>
      <c r="AD672" s="149"/>
      <c r="AE672" s="149"/>
      <c r="AF672" s="150"/>
      <c r="AG672" s="150"/>
      <c r="AH672" s="149"/>
      <c r="AI672" s="149"/>
      <c r="AJ672" s="149"/>
      <c r="AK672" s="150"/>
      <c r="AL672" s="150"/>
      <c r="AM672" s="149"/>
      <c r="AN672" s="149"/>
      <c r="AO672" s="149"/>
      <c r="AP672" s="150"/>
      <c r="AQ672" s="150"/>
      <c r="AR672" s="150"/>
      <c r="AS672" s="150"/>
      <c r="AT672" s="150"/>
      <c r="AU672" s="150"/>
      <c r="AV672" s="150"/>
      <c r="AW672" s="150"/>
      <c r="AX672" s="150"/>
      <c r="AY672" s="151"/>
      <c r="AZ672" s="151"/>
      <c r="BA672" s="151"/>
      <c r="BB672" s="151"/>
      <c r="BC672" s="151"/>
      <c r="BD672" s="151"/>
      <c r="BE672" s="151"/>
      <c r="BF672" s="151"/>
      <c r="BG672" s="151"/>
      <c r="BH672" s="151"/>
      <c r="BI672" s="151"/>
    </row>
    <row r="673" spans="1:61" x14ac:dyDescent="0.25">
      <c r="A673" s="149"/>
      <c r="B673" s="149"/>
      <c r="C673" s="149"/>
      <c r="D673" s="149"/>
      <c r="E673" s="150"/>
      <c r="F673" s="150"/>
      <c r="G673" s="149"/>
      <c r="H673" s="149"/>
      <c r="I673" s="149"/>
      <c r="J673" s="150"/>
      <c r="K673" s="150"/>
      <c r="L673" s="149"/>
      <c r="M673" s="149"/>
      <c r="N673" s="149"/>
      <c r="O673" s="150"/>
      <c r="P673" s="150"/>
      <c r="Q673" s="149"/>
      <c r="R673" s="149"/>
      <c r="S673" s="149"/>
      <c r="T673" s="150"/>
      <c r="U673" s="150"/>
      <c r="V673" s="150"/>
      <c r="W673" s="150"/>
      <c r="X673" s="150"/>
      <c r="Y673" s="150"/>
      <c r="Z673" s="150"/>
      <c r="AA673" s="150"/>
      <c r="AB673" s="150"/>
      <c r="AC673" s="149"/>
      <c r="AD673" s="149"/>
      <c r="AE673" s="149"/>
      <c r="AF673" s="150"/>
      <c r="AG673" s="150"/>
      <c r="AH673" s="149"/>
      <c r="AI673" s="149"/>
      <c r="AJ673" s="149"/>
      <c r="AK673" s="150"/>
      <c r="AL673" s="150"/>
      <c r="AM673" s="149"/>
      <c r="AN673" s="149"/>
      <c r="AO673" s="149"/>
      <c r="AP673" s="150"/>
      <c r="AQ673" s="150"/>
      <c r="AR673" s="150"/>
      <c r="AS673" s="150"/>
      <c r="AT673" s="150"/>
      <c r="AU673" s="150"/>
      <c r="AV673" s="150"/>
      <c r="AW673" s="150"/>
      <c r="AX673" s="150"/>
      <c r="AY673" s="151"/>
      <c r="AZ673" s="151"/>
      <c r="BA673" s="151"/>
      <c r="BB673" s="151"/>
      <c r="BC673" s="151"/>
      <c r="BD673" s="151"/>
      <c r="BE673" s="151"/>
      <c r="BF673" s="151"/>
      <c r="BG673" s="151"/>
      <c r="BH673" s="151"/>
      <c r="BI673" s="151"/>
    </row>
    <row r="674" spans="1:61" x14ac:dyDescent="0.25">
      <c r="A674" s="149"/>
      <c r="B674" s="149"/>
      <c r="C674" s="149"/>
      <c r="D674" s="149"/>
      <c r="E674" s="150"/>
      <c r="F674" s="150"/>
      <c r="G674" s="149"/>
      <c r="H674" s="149"/>
      <c r="I674" s="149"/>
      <c r="J674" s="150"/>
      <c r="K674" s="150"/>
      <c r="L674" s="149"/>
      <c r="M674" s="149"/>
      <c r="N674" s="149"/>
      <c r="O674" s="150"/>
      <c r="P674" s="150"/>
      <c r="Q674" s="149"/>
      <c r="R674" s="149"/>
      <c r="S674" s="149"/>
      <c r="T674" s="150"/>
      <c r="U674" s="150"/>
      <c r="V674" s="150"/>
      <c r="W674" s="150"/>
      <c r="X674" s="150"/>
      <c r="Y674" s="150"/>
      <c r="Z674" s="150"/>
      <c r="AA674" s="150"/>
      <c r="AB674" s="150"/>
      <c r="AC674" s="149"/>
      <c r="AD674" s="149"/>
      <c r="AE674" s="149"/>
      <c r="AF674" s="150"/>
      <c r="AG674" s="150"/>
      <c r="AH674" s="149"/>
      <c r="AI674" s="149"/>
      <c r="AJ674" s="149"/>
      <c r="AK674" s="150"/>
      <c r="AL674" s="150"/>
      <c r="AM674" s="149"/>
      <c r="AN674" s="149"/>
      <c r="AO674" s="149"/>
      <c r="AP674" s="150"/>
      <c r="AQ674" s="150"/>
      <c r="AR674" s="150"/>
      <c r="AS674" s="150"/>
      <c r="AT674" s="150"/>
      <c r="AU674" s="150"/>
      <c r="AV674" s="150"/>
      <c r="AW674" s="150"/>
      <c r="AX674" s="150"/>
      <c r="AY674" s="151"/>
      <c r="AZ674" s="151"/>
      <c r="BA674" s="151"/>
      <c r="BB674" s="151"/>
      <c r="BC674" s="151"/>
      <c r="BD674" s="151"/>
      <c r="BE674" s="151"/>
      <c r="BF674" s="151"/>
      <c r="BG674" s="151"/>
      <c r="BH674" s="151"/>
      <c r="BI674" s="151"/>
    </row>
    <row r="675" spans="1:61" x14ac:dyDescent="0.25">
      <c r="A675" s="149"/>
      <c r="B675" s="149"/>
      <c r="C675" s="149"/>
      <c r="D675" s="149"/>
      <c r="E675" s="150"/>
      <c r="F675" s="150"/>
      <c r="G675" s="149"/>
      <c r="H675" s="149"/>
      <c r="I675" s="149"/>
      <c r="J675" s="150"/>
      <c r="K675" s="150"/>
      <c r="L675" s="149"/>
      <c r="M675" s="149"/>
      <c r="N675" s="149"/>
      <c r="O675" s="150"/>
      <c r="P675" s="150"/>
      <c r="Q675" s="149"/>
      <c r="R675" s="149"/>
      <c r="S675" s="149"/>
      <c r="T675" s="150"/>
      <c r="U675" s="150"/>
      <c r="V675" s="150"/>
      <c r="W675" s="150"/>
      <c r="X675" s="150"/>
      <c r="Y675" s="150"/>
      <c r="Z675" s="150"/>
      <c r="AA675" s="150"/>
      <c r="AB675" s="150"/>
      <c r="AC675" s="149"/>
      <c r="AD675" s="149"/>
      <c r="AE675" s="149"/>
      <c r="AF675" s="150"/>
      <c r="AG675" s="150"/>
      <c r="AH675" s="149"/>
      <c r="AI675" s="149"/>
      <c r="AJ675" s="149"/>
      <c r="AK675" s="150"/>
      <c r="AL675" s="150"/>
      <c r="AM675" s="149"/>
      <c r="AN675" s="149"/>
      <c r="AO675" s="149"/>
      <c r="AP675" s="150"/>
      <c r="AQ675" s="150"/>
      <c r="AR675" s="150"/>
      <c r="AS675" s="150"/>
      <c r="AT675" s="150"/>
      <c r="AU675" s="150"/>
      <c r="AV675" s="150"/>
      <c r="AW675" s="150"/>
      <c r="AX675" s="150"/>
      <c r="AY675" s="151"/>
      <c r="AZ675" s="151"/>
      <c r="BA675" s="151"/>
      <c r="BB675" s="151"/>
      <c r="BC675" s="151"/>
      <c r="BD675" s="151"/>
      <c r="BE675" s="151"/>
      <c r="BF675" s="151"/>
      <c r="BG675" s="151"/>
      <c r="BH675" s="151"/>
      <c r="BI675" s="151"/>
    </row>
    <row r="676" spans="1:61" x14ac:dyDescent="0.25">
      <c r="A676" s="149"/>
      <c r="B676" s="149"/>
      <c r="C676" s="149"/>
      <c r="D676" s="149"/>
      <c r="E676" s="150"/>
      <c r="F676" s="150"/>
      <c r="G676" s="149"/>
      <c r="H676" s="149"/>
      <c r="I676" s="149"/>
      <c r="J676" s="150"/>
      <c r="K676" s="150"/>
      <c r="L676" s="149"/>
      <c r="M676" s="149"/>
      <c r="N676" s="149"/>
      <c r="O676" s="150"/>
      <c r="P676" s="150"/>
      <c r="Q676" s="149"/>
      <c r="R676" s="149"/>
      <c r="S676" s="149"/>
      <c r="T676" s="150"/>
      <c r="U676" s="150"/>
      <c r="V676" s="150"/>
      <c r="W676" s="150"/>
      <c r="X676" s="150"/>
      <c r="Y676" s="150"/>
      <c r="Z676" s="150"/>
      <c r="AA676" s="150"/>
      <c r="AB676" s="150"/>
      <c r="AC676" s="149"/>
      <c r="AD676" s="149"/>
      <c r="AE676" s="149"/>
      <c r="AF676" s="150"/>
      <c r="AG676" s="150"/>
      <c r="AH676" s="149"/>
      <c r="AI676" s="149"/>
      <c r="AJ676" s="149"/>
      <c r="AK676" s="150"/>
      <c r="AL676" s="150"/>
      <c r="AM676" s="149"/>
      <c r="AN676" s="149"/>
      <c r="AO676" s="149"/>
      <c r="AP676" s="150"/>
      <c r="AQ676" s="150"/>
      <c r="AR676" s="150"/>
      <c r="AS676" s="150"/>
      <c r="AT676" s="150"/>
      <c r="AU676" s="150"/>
      <c r="AV676" s="150"/>
      <c r="AW676" s="150"/>
      <c r="AX676" s="150"/>
      <c r="AY676" s="151"/>
      <c r="AZ676" s="151"/>
      <c r="BA676" s="151"/>
      <c r="BB676" s="151"/>
      <c r="BC676" s="151"/>
      <c r="BD676" s="151"/>
      <c r="BE676" s="151"/>
      <c r="BF676" s="151"/>
      <c r="BG676" s="151"/>
      <c r="BH676" s="151"/>
      <c r="BI676" s="151"/>
    </row>
    <row r="677" spans="1:61" x14ac:dyDescent="0.25">
      <c r="A677" s="149"/>
      <c r="B677" s="149"/>
      <c r="C677" s="149"/>
      <c r="D677" s="149"/>
      <c r="E677" s="150"/>
      <c r="F677" s="150"/>
      <c r="G677" s="149"/>
      <c r="H677" s="149"/>
      <c r="I677" s="149"/>
      <c r="J677" s="150"/>
      <c r="K677" s="150"/>
      <c r="L677" s="149"/>
      <c r="M677" s="149"/>
      <c r="N677" s="149"/>
      <c r="O677" s="150"/>
      <c r="P677" s="150"/>
      <c r="Q677" s="149"/>
      <c r="R677" s="149"/>
      <c r="S677" s="149"/>
      <c r="T677" s="150"/>
      <c r="U677" s="150"/>
      <c r="V677" s="150"/>
      <c r="W677" s="150"/>
      <c r="X677" s="150"/>
      <c r="Y677" s="150"/>
      <c r="Z677" s="150"/>
      <c r="AA677" s="150"/>
      <c r="AB677" s="150"/>
      <c r="AC677" s="149"/>
      <c r="AD677" s="149"/>
      <c r="AE677" s="149"/>
      <c r="AF677" s="150"/>
      <c r="AG677" s="150"/>
      <c r="AH677" s="149"/>
      <c r="AI677" s="149"/>
      <c r="AJ677" s="149"/>
      <c r="AK677" s="150"/>
      <c r="AL677" s="150"/>
      <c r="AM677" s="149"/>
      <c r="AN677" s="149"/>
      <c r="AO677" s="149"/>
      <c r="AP677" s="150"/>
      <c r="AQ677" s="150"/>
      <c r="AR677" s="150"/>
      <c r="AS677" s="150"/>
      <c r="AT677" s="150"/>
      <c r="AU677" s="150"/>
      <c r="AV677" s="150"/>
      <c r="AW677" s="150"/>
      <c r="AX677" s="150"/>
      <c r="AY677" s="151"/>
      <c r="AZ677" s="151"/>
      <c r="BA677" s="151"/>
      <c r="BB677" s="151"/>
      <c r="BC677" s="151"/>
      <c r="BD677" s="151"/>
      <c r="BE677" s="151"/>
      <c r="BF677" s="151"/>
      <c r="BG677" s="151"/>
      <c r="BH677" s="151"/>
      <c r="BI677" s="151"/>
    </row>
    <row r="678" spans="1:61" x14ac:dyDescent="0.25">
      <c r="A678" s="149"/>
      <c r="B678" s="149"/>
      <c r="C678" s="149"/>
      <c r="D678" s="149"/>
      <c r="E678" s="150"/>
      <c r="F678" s="150"/>
      <c r="G678" s="149"/>
      <c r="H678" s="149"/>
      <c r="I678" s="149"/>
      <c r="J678" s="150"/>
      <c r="K678" s="150"/>
      <c r="L678" s="149"/>
      <c r="M678" s="149"/>
      <c r="N678" s="149"/>
      <c r="O678" s="150"/>
      <c r="P678" s="150"/>
      <c r="Q678" s="149"/>
      <c r="R678" s="149"/>
      <c r="S678" s="149"/>
      <c r="T678" s="150"/>
      <c r="U678" s="150"/>
      <c r="V678" s="150"/>
      <c r="W678" s="150"/>
      <c r="X678" s="150"/>
      <c r="Y678" s="150"/>
      <c r="Z678" s="150"/>
      <c r="AA678" s="150"/>
      <c r="AB678" s="150"/>
      <c r="AC678" s="149"/>
      <c r="AD678" s="149"/>
      <c r="AE678" s="149"/>
      <c r="AF678" s="150"/>
      <c r="AG678" s="150"/>
      <c r="AH678" s="149"/>
      <c r="AI678" s="149"/>
      <c r="AJ678" s="149"/>
      <c r="AK678" s="150"/>
      <c r="AL678" s="150"/>
      <c r="AM678" s="149"/>
      <c r="AN678" s="149"/>
      <c r="AO678" s="149"/>
      <c r="AP678" s="150"/>
      <c r="AQ678" s="150"/>
      <c r="AR678" s="150"/>
      <c r="AS678" s="150"/>
      <c r="AT678" s="150"/>
      <c r="AU678" s="150"/>
      <c r="AV678" s="150"/>
      <c r="AW678" s="150"/>
      <c r="AX678" s="150"/>
      <c r="AY678" s="151"/>
      <c r="AZ678" s="151"/>
      <c r="BA678" s="151"/>
      <c r="BB678" s="151"/>
      <c r="BC678" s="151"/>
      <c r="BD678" s="151"/>
      <c r="BE678" s="151"/>
      <c r="BF678" s="151"/>
      <c r="BG678" s="151"/>
      <c r="BH678" s="151"/>
      <c r="BI678" s="151"/>
    </row>
    <row r="679" spans="1:61" x14ac:dyDescent="0.25">
      <c r="A679" s="149"/>
      <c r="B679" s="149"/>
      <c r="C679" s="149"/>
      <c r="D679" s="149"/>
      <c r="E679" s="150"/>
      <c r="F679" s="150"/>
      <c r="G679" s="149"/>
      <c r="H679" s="149"/>
      <c r="I679" s="149"/>
      <c r="J679" s="150"/>
      <c r="K679" s="150"/>
      <c r="L679" s="149"/>
      <c r="M679" s="149"/>
      <c r="N679" s="149"/>
      <c r="O679" s="150"/>
      <c r="P679" s="150"/>
      <c r="Q679" s="149"/>
      <c r="R679" s="149"/>
      <c r="S679" s="149"/>
      <c r="T679" s="150"/>
      <c r="U679" s="150"/>
      <c r="V679" s="150"/>
      <c r="W679" s="150"/>
      <c r="X679" s="150"/>
      <c r="Y679" s="150"/>
      <c r="Z679" s="150"/>
      <c r="AA679" s="150"/>
      <c r="AB679" s="150"/>
      <c r="AC679" s="149"/>
      <c r="AD679" s="149"/>
      <c r="AE679" s="149"/>
      <c r="AF679" s="150"/>
      <c r="AG679" s="150"/>
      <c r="AH679" s="149"/>
      <c r="AI679" s="149"/>
      <c r="AJ679" s="149"/>
      <c r="AK679" s="150"/>
      <c r="AL679" s="150"/>
      <c r="AM679" s="149"/>
      <c r="AN679" s="149"/>
      <c r="AO679" s="149"/>
      <c r="AP679" s="150"/>
      <c r="AQ679" s="150"/>
      <c r="AR679" s="150"/>
      <c r="AS679" s="150"/>
      <c r="AT679" s="150"/>
      <c r="AU679" s="150"/>
      <c r="AV679" s="150"/>
      <c r="AW679" s="150"/>
      <c r="AX679" s="150"/>
      <c r="AY679" s="151"/>
      <c r="AZ679" s="151"/>
      <c r="BA679" s="151"/>
      <c r="BB679" s="151"/>
      <c r="BC679" s="151"/>
      <c r="BD679" s="151"/>
      <c r="BE679" s="151"/>
      <c r="BF679" s="151"/>
      <c r="BG679" s="151"/>
      <c r="BH679" s="151"/>
      <c r="BI679" s="151"/>
    </row>
    <row r="680" spans="1:61" x14ac:dyDescent="0.25">
      <c r="A680" s="149"/>
      <c r="B680" s="149"/>
      <c r="C680" s="149"/>
      <c r="D680" s="149"/>
      <c r="E680" s="150"/>
      <c r="F680" s="150"/>
      <c r="G680" s="149"/>
      <c r="H680" s="149"/>
      <c r="I680" s="149"/>
      <c r="J680" s="150"/>
      <c r="K680" s="150"/>
      <c r="L680" s="149"/>
      <c r="M680" s="149"/>
      <c r="N680" s="149"/>
      <c r="O680" s="150"/>
      <c r="P680" s="150"/>
      <c r="Q680" s="149"/>
      <c r="R680" s="149"/>
      <c r="S680" s="149"/>
      <c r="T680" s="150"/>
      <c r="U680" s="150"/>
      <c r="V680" s="150"/>
      <c r="W680" s="150"/>
      <c r="X680" s="150"/>
      <c r="Y680" s="150"/>
      <c r="Z680" s="150"/>
      <c r="AA680" s="150"/>
      <c r="AB680" s="150"/>
      <c r="AC680" s="149"/>
      <c r="AD680" s="149"/>
      <c r="AE680" s="149"/>
      <c r="AF680" s="150"/>
      <c r="AG680" s="150"/>
      <c r="AH680" s="149"/>
      <c r="AI680" s="149"/>
      <c r="AJ680" s="149"/>
      <c r="AK680" s="150"/>
      <c r="AL680" s="150"/>
      <c r="AM680" s="149"/>
      <c r="AN680" s="149"/>
      <c r="AO680" s="149"/>
      <c r="AP680" s="150"/>
      <c r="AQ680" s="150"/>
      <c r="AR680" s="150"/>
      <c r="AS680" s="150"/>
      <c r="AT680" s="150"/>
      <c r="AU680" s="150"/>
      <c r="AV680" s="150"/>
      <c r="AW680" s="150"/>
      <c r="AX680" s="150"/>
      <c r="AY680" s="151"/>
      <c r="AZ680" s="151"/>
      <c r="BA680" s="151"/>
      <c r="BB680" s="151"/>
      <c r="BC680" s="151"/>
      <c r="BD680" s="151"/>
      <c r="BE680" s="151"/>
      <c r="BF680" s="151"/>
      <c r="BG680" s="151"/>
      <c r="BH680" s="151"/>
      <c r="BI680" s="151"/>
    </row>
    <row r="681" spans="1:61" x14ac:dyDescent="0.25">
      <c r="A681" s="149"/>
      <c r="B681" s="149"/>
      <c r="C681" s="149"/>
      <c r="D681" s="149"/>
      <c r="E681" s="150"/>
      <c r="F681" s="150"/>
      <c r="G681" s="149"/>
      <c r="H681" s="149"/>
      <c r="I681" s="149"/>
      <c r="J681" s="150"/>
      <c r="K681" s="150"/>
      <c r="L681" s="149"/>
      <c r="M681" s="149"/>
      <c r="N681" s="149"/>
      <c r="O681" s="150"/>
      <c r="P681" s="150"/>
      <c r="Q681" s="149"/>
      <c r="R681" s="149"/>
      <c r="S681" s="149"/>
      <c r="T681" s="150"/>
      <c r="U681" s="150"/>
      <c r="V681" s="150"/>
      <c r="W681" s="150"/>
      <c r="X681" s="150"/>
      <c r="Y681" s="150"/>
      <c r="Z681" s="150"/>
      <c r="AA681" s="150"/>
      <c r="AB681" s="150"/>
      <c r="AC681" s="149"/>
      <c r="AD681" s="149"/>
      <c r="AE681" s="149"/>
      <c r="AF681" s="150"/>
      <c r="AG681" s="150"/>
      <c r="AH681" s="149"/>
      <c r="AI681" s="149"/>
      <c r="AJ681" s="149"/>
      <c r="AK681" s="150"/>
      <c r="AL681" s="150"/>
      <c r="AM681" s="149"/>
      <c r="AN681" s="149"/>
      <c r="AO681" s="149"/>
      <c r="AP681" s="150"/>
      <c r="AQ681" s="150"/>
      <c r="AR681" s="150"/>
      <c r="AS681" s="150"/>
      <c r="AT681" s="150"/>
      <c r="AU681" s="150"/>
      <c r="AV681" s="150"/>
      <c r="AW681" s="150"/>
      <c r="AX681" s="150"/>
      <c r="AY681" s="151"/>
      <c r="AZ681" s="151"/>
      <c r="BA681" s="151"/>
      <c r="BB681" s="151"/>
      <c r="BC681" s="151"/>
      <c r="BD681" s="151"/>
      <c r="BE681" s="151"/>
      <c r="BF681" s="151"/>
      <c r="BG681" s="151"/>
      <c r="BH681" s="151"/>
      <c r="BI681" s="151"/>
    </row>
    <row r="682" spans="1:61" x14ac:dyDescent="0.25">
      <c r="A682" s="149"/>
      <c r="B682" s="149"/>
      <c r="C682" s="149"/>
      <c r="D682" s="149"/>
      <c r="E682" s="150"/>
      <c r="F682" s="150"/>
      <c r="G682" s="149"/>
      <c r="H682" s="149"/>
      <c r="I682" s="149"/>
      <c r="J682" s="150"/>
      <c r="K682" s="150"/>
      <c r="L682" s="149"/>
      <c r="M682" s="149"/>
      <c r="N682" s="149"/>
      <c r="O682" s="150"/>
      <c r="P682" s="150"/>
      <c r="Q682" s="149"/>
      <c r="R682" s="149"/>
      <c r="S682" s="149"/>
      <c r="T682" s="150"/>
      <c r="U682" s="150"/>
      <c r="V682" s="150"/>
      <c r="W682" s="150"/>
      <c r="X682" s="150"/>
      <c r="Y682" s="150"/>
      <c r="Z682" s="150"/>
      <c r="AA682" s="150"/>
      <c r="AB682" s="150"/>
      <c r="AC682" s="149"/>
      <c r="AD682" s="149"/>
      <c r="AE682" s="149"/>
      <c r="AF682" s="150"/>
      <c r="AG682" s="150"/>
      <c r="AH682" s="149"/>
      <c r="AI682" s="149"/>
      <c r="AJ682" s="149"/>
      <c r="AK682" s="150"/>
      <c r="AL682" s="150"/>
      <c r="AM682" s="149"/>
      <c r="AN682" s="149"/>
      <c r="AO682" s="149"/>
      <c r="AP682" s="150"/>
      <c r="AQ682" s="150"/>
      <c r="AR682" s="150"/>
      <c r="AS682" s="150"/>
      <c r="AT682" s="150"/>
      <c r="AU682" s="150"/>
      <c r="AV682" s="150"/>
      <c r="AW682" s="150"/>
      <c r="AX682" s="150"/>
      <c r="AY682" s="151"/>
      <c r="AZ682" s="151"/>
      <c r="BA682" s="151"/>
      <c r="BB682" s="151"/>
      <c r="BC682" s="151"/>
      <c r="BD682" s="151"/>
      <c r="BE682" s="151"/>
      <c r="BF682" s="151"/>
      <c r="BG682" s="151"/>
      <c r="BH682" s="151"/>
      <c r="BI682" s="151"/>
    </row>
    <row r="683" spans="1:61" x14ac:dyDescent="0.25">
      <c r="A683" s="149"/>
      <c r="B683" s="149"/>
      <c r="C683" s="149"/>
      <c r="D683" s="149"/>
      <c r="E683" s="150"/>
      <c r="F683" s="150"/>
      <c r="G683" s="149"/>
      <c r="H683" s="149"/>
      <c r="I683" s="149"/>
      <c r="J683" s="150"/>
      <c r="K683" s="150"/>
      <c r="L683" s="149"/>
      <c r="M683" s="149"/>
      <c r="N683" s="149"/>
      <c r="O683" s="150"/>
      <c r="P683" s="150"/>
      <c r="Q683" s="149"/>
      <c r="R683" s="149"/>
      <c r="S683" s="149"/>
      <c r="T683" s="150"/>
      <c r="U683" s="150"/>
      <c r="V683" s="150"/>
      <c r="W683" s="150"/>
      <c r="X683" s="150"/>
      <c r="Y683" s="150"/>
      <c r="Z683" s="150"/>
      <c r="AA683" s="150"/>
      <c r="AB683" s="150"/>
      <c r="AC683" s="149"/>
      <c r="AD683" s="149"/>
      <c r="AE683" s="149"/>
      <c r="AF683" s="150"/>
      <c r="AG683" s="150"/>
      <c r="AH683" s="149"/>
      <c r="AI683" s="149"/>
      <c r="AJ683" s="149"/>
      <c r="AK683" s="150"/>
      <c r="AL683" s="150"/>
      <c r="AM683" s="149"/>
      <c r="AN683" s="149"/>
      <c r="AO683" s="149"/>
      <c r="AP683" s="150"/>
      <c r="AQ683" s="150"/>
      <c r="AR683" s="150"/>
      <c r="AS683" s="150"/>
      <c r="AT683" s="150"/>
      <c r="AU683" s="150"/>
      <c r="AV683" s="150"/>
      <c r="AW683" s="150"/>
      <c r="AX683" s="150"/>
      <c r="AY683" s="151"/>
      <c r="AZ683" s="151"/>
      <c r="BA683" s="151"/>
      <c r="BB683" s="151"/>
      <c r="BC683" s="151"/>
      <c r="BD683" s="151"/>
      <c r="BE683" s="151"/>
      <c r="BF683" s="151"/>
      <c r="BG683" s="151"/>
      <c r="BH683" s="151"/>
      <c r="BI683" s="151"/>
    </row>
    <row r="684" spans="1:61" x14ac:dyDescent="0.25">
      <c r="A684" s="149"/>
      <c r="B684" s="149"/>
      <c r="C684" s="149"/>
      <c r="D684" s="149"/>
      <c r="E684" s="150"/>
      <c r="F684" s="150"/>
      <c r="G684" s="149"/>
      <c r="H684" s="149"/>
      <c r="I684" s="149"/>
      <c r="J684" s="150"/>
      <c r="K684" s="150"/>
      <c r="L684" s="149"/>
      <c r="M684" s="149"/>
      <c r="N684" s="149"/>
      <c r="O684" s="150"/>
      <c r="P684" s="150"/>
      <c r="Q684" s="149"/>
      <c r="R684" s="149"/>
      <c r="S684" s="149"/>
      <c r="T684" s="150"/>
      <c r="U684" s="150"/>
      <c r="V684" s="150"/>
      <c r="W684" s="150"/>
      <c r="X684" s="150"/>
      <c r="Y684" s="150"/>
      <c r="Z684" s="150"/>
      <c r="AA684" s="150"/>
      <c r="AB684" s="150"/>
      <c r="AC684" s="149"/>
      <c r="AD684" s="149"/>
      <c r="AE684" s="149"/>
      <c r="AF684" s="150"/>
      <c r="AG684" s="150"/>
      <c r="AH684" s="149"/>
      <c r="AI684" s="149"/>
      <c r="AJ684" s="149"/>
      <c r="AK684" s="150"/>
      <c r="AL684" s="150"/>
      <c r="AM684" s="149"/>
      <c r="AN684" s="149"/>
      <c r="AO684" s="149"/>
      <c r="AP684" s="150"/>
      <c r="AQ684" s="150"/>
      <c r="AR684" s="150"/>
      <c r="AS684" s="150"/>
      <c r="AT684" s="150"/>
      <c r="AU684" s="150"/>
      <c r="AV684" s="150"/>
      <c r="AW684" s="150"/>
      <c r="AX684" s="150"/>
      <c r="AY684" s="151"/>
      <c r="AZ684" s="151"/>
      <c r="BA684" s="151"/>
      <c r="BB684" s="151"/>
      <c r="BC684" s="151"/>
      <c r="BD684" s="151"/>
      <c r="BE684" s="151"/>
      <c r="BF684" s="151"/>
      <c r="BG684" s="151"/>
      <c r="BH684" s="151"/>
      <c r="BI684" s="151"/>
    </row>
    <row r="685" spans="1:61" x14ac:dyDescent="0.25">
      <c r="A685" s="149"/>
      <c r="B685" s="149"/>
      <c r="C685" s="149"/>
      <c r="D685" s="149"/>
      <c r="E685" s="150"/>
      <c r="F685" s="150"/>
      <c r="G685" s="149"/>
      <c r="H685" s="149"/>
      <c r="I685" s="149"/>
      <c r="J685" s="150"/>
      <c r="K685" s="150"/>
      <c r="L685" s="149"/>
      <c r="M685" s="149"/>
      <c r="N685" s="149"/>
      <c r="O685" s="150"/>
      <c r="P685" s="150"/>
      <c r="Q685" s="149"/>
      <c r="R685" s="149"/>
      <c r="S685" s="149"/>
      <c r="T685" s="150"/>
      <c r="U685" s="150"/>
      <c r="V685" s="150"/>
      <c r="W685" s="150"/>
      <c r="X685" s="150"/>
      <c r="Y685" s="150"/>
      <c r="Z685" s="150"/>
      <c r="AA685" s="150"/>
      <c r="AB685" s="150"/>
      <c r="AC685" s="149"/>
      <c r="AD685" s="149"/>
      <c r="AE685" s="149"/>
      <c r="AF685" s="150"/>
      <c r="AG685" s="150"/>
      <c r="AH685" s="149"/>
      <c r="AI685" s="149"/>
      <c r="AJ685" s="149"/>
      <c r="AK685" s="150"/>
      <c r="AL685" s="150"/>
      <c r="AM685" s="149"/>
      <c r="AN685" s="149"/>
      <c r="AO685" s="149"/>
      <c r="AP685" s="150"/>
      <c r="AQ685" s="150"/>
      <c r="AR685" s="150"/>
      <c r="AS685" s="150"/>
      <c r="AT685" s="150"/>
      <c r="AU685" s="150"/>
      <c r="AV685" s="150"/>
      <c r="AW685" s="150"/>
      <c r="AX685" s="150"/>
      <c r="AY685" s="151"/>
      <c r="AZ685" s="151"/>
      <c r="BA685" s="151"/>
      <c r="BB685" s="151"/>
      <c r="BC685" s="151"/>
      <c r="BD685" s="151"/>
      <c r="BE685" s="151"/>
      <c r="BF685" s="151"/>
      <c r="BG685" s="151"/>
      <c r="BH685" s="151"/>
      <c r="BI685" s="151"/>
    </row>
    <row r="686" spans="1:61" x14ac:dyDescent="0.25">
      <c r="A686" s="149"/>
      <c r="B686" s="149"/>
      <c r="C686" s="149"/>
      <c r="D686" s="149"/>
      <c r="E686" s="150"/>
      <c r="F686" s="150"/>
      <c r="G686" s="149"/>
      <c r="H686" s="149"/>
      <c r="I686" s="149"/>
      <c r="J686" s="150"/>
      <c r="K686" s="150"/>
      <c r="L686" s="149"/>
      <c r="M686" s="149"/>
      <c r="N686" s="149"/>
      <c r="O686" s="150"/>
      <c r="P686" s="150"/>
      <c r="Q686" s="149"/>
      <c r="R686" s="149"/>
      <c r="S686" s="149"/>
      <c r="T686" s="150"/>
      <c r="U686" s="150"/>
      <c r="V686" s="150"/>
      <c r="W686" s="150"/>
      <c r="X686" s="150"/>
      <c r="Y686" s="150"/>
      <c r="Z686" s="150"/>
      <c r="AA686" s="150"/>
      <c r="AB686" s="150"/>
      <c r="AC686" s="149"/>
      <c r="AD686" s="149"/>
      <c r="AE686" s="149"/>
      <c r="AF686" s="150"/>
      <c r="AG686" s="150"/>
      <c r="AH686" s="149"/>
      <c r="AI686" s="149"/>
      <c r="AJ686" s="149"/>
      <c r="AK686" s="150"/>
      <c r="AL686" s="150"/>
      <c r="AM686" s="149"/>
      <c r="AN686" s="149"/>
      <c r="AO686" s="149"/>
      <c r="AP686" s="150"/>
      <c r="AQ686" s="150"/>
      <c r="AR686" s="150"/>
      <c r="AS686" s="150"/>
      <c r="AT686" s="150"/>
      <c r="AU686" s="150"/>
      <c r="AV686" s="150"/>
      <c r="AW686" s="150"/>
      <c r="AX686" s="150"/>
      <c r="AY686" s="151"/>
      <c r="AZ686" s="151"/>
      <c r="BA686" s="151"/>
      <c r="BB686" s="151"/>
      <c r="BC686" s="151"/>
      <c r="BD686" s="151"/>
      <c r="BE686" s="151"/>
      <c r="BF686" s="151"/>
      <c r="BG686" s="151"/>
      <c r="BH686" s="151"/>
      <c r="BI686" s="151"/>
    </row>
    <row r="687" spans="1:61" x14ac:dyDescent="0.25">
      <c r="A687" s="149"/>
      <c r="B687" s="149"/>
      <c r="C687" s="149"/>
      <c r="D687" s="149"/>
      <c r="E687" s="150"/>
      <c r="F687" s="150"/>
      <c r="G687" s="149"/>
      <c r="H687" s="149"/>
      <c r="I687" s="149"/>
      <c r="J687" s="150"/>
      <c r="K687" s="150"/>
      <c r="L687" s="149"/>
      <c r="M687" s="149"/>
      <c r="N687" s="149"/>
      <c r="O687" s="150"/>
      <c r="P687" s="150"/>
      <c r="Q687" s="149"/>
      <c r="R687" s="149"/>
      <c r="S687" s="149"/>
      <c r="T687" s="150"/>
      <c r="U687" s="150"/>
      <c r="V687" s="150"/>
      <c r="W687" s="150"/>
      <c r="X687" s="150"/>
      <c r="Y687" s="150"/>
      <c r="Z687" s="150"/>
      <c r="AA687" s="150"/>
      <c r="AB687" s="150"/>
      <c r="AC687" s="149"/>
      <c r="AD687" s="149"/>
      <c r="AE687" s="149"/>
      <c r="AF687" s="150"/>
      <c r="AG687" s="150"/>
      <c r="AH687" s="149"/>
      <c r="AI687" s="149"/>
      <c r="AJ687" s="149"/>
      <c r="AK687" s="150"/>
      <c r="AL687" s="150"/>
      <c r="AM687" s="149"/>
      <c r="AN687" s="149"/>
      <c r="AO687" s="149"/>
      <c r="AP687" s="150"/>
      <c r="AQ687" s="150"/>
      <c r="AR687" s="150"/>
      <c r="AS687" s="150"/>
      <c r="AT687" s="150"/>
      <c r="AU687" s="150"/>
      <c r="AV687" s="150"/>
      <c r="AW687" s="150"/>
      <c r="AX687" s="150"/>
      <c r="AY687" s="151"/>
      <c r="AZ687" s="151"/>
      <c r="BA687" s="151"/>
      <c r="BB687" s="151"/>
      <c r="BC687" s="151"/>
      <c r="BD687" s="151"/>
      <c r="BE687" s="151"/>
      <c r="BF687" s="151"/>
      <c r="BG687" s="151"/>
      <c r="BH687" s="151"/>
      <c r="BI687" s="151"/>
    </row>
    <row r="688" spans="1:61" x14ac:dyDescent="0.25">
      <c r="A688" s="149"/>
      <c r="B688" s="149"/>
      <c r="C688" s="149"/>
      <c r="D688" s="149"/>
      <c r="E688" s="150"/>
      <c r="F688" s="150"/>
      <c r="G688" s="149"/>
      <c r="H688" s="149"/>
      <c r="I688" s="149"/>
      <c r="J688" s="150"/>
      <c r="K688" s="150"/>
      <c r="L688" s="149"/>
      <c r="M688" s="149"/>
      <c r="N688" s="149"/>
      <c r="O688" s="150"/>
      <c r="P688" s="150"/>
      <c r="Q688" s="149"/>
      <c r="R688" s="149"/>
      <c r="S688" s="149"/>
      <c r="T688" s="150"/>
      <c r="U688" s="150"/>
      <c r="V688" s="150"/>
      <c r="W688" s="150"/>
      <c r="X688" s="150"/>
      <c r="Y688" s="150"/>
      <c r="Z688" s="150"/>
      <c r="AA688" s="150"/>
      <c r="AB688" s="150"/>
      <c r="AC688" s="149"/>
      <c r="AD688" s="149"/>
      <c r="AE688" s="149"/>
      <c r="AF688" s="150"/>
      <c r="AG688" s="150"/>
      <c r="AH688" s="149"/>
      <c r="AI688" s="149"/>
      <c r="AJ688" s="149"/>
      <c r="AK688" s="150"/>
      <c r="AL688" s="150"/>
      <c r="AM688" s="149"/>
      <c r="AN688" s="149"/>
      <c r="AO688" s="149"/>
      <c r="AP688" s="150"/>
      <c r="AQ688" s="150"/>
      <c r="AR688" s="150"/>
      <c r="AS688" s="150"/>
      <c r="AT688" s="150"/>
      <c r="AU688" s="150"/>
      <c r="AV688" s="150"/>
      <c r="AW688" s="150"/>
      <c r="AX688" s="150"/>
      <c r="AY688" s="151"/>
      <c r="AZ688" s="151"/>
      <c r="BA688" s="151"/>
      <c r="BB688" s="151"/>
      <c r="BC688" s="151"/>
      <c r="BD688" s="151"/>
      <c r="BE688" s="151"/>
      <c r="BF688" s="151"/>
      <c r="BG688" s="151"/>
      <c r="BH688" s="151"/>
      <c r="BI688" s="151"/>
    </row>
    <row r="689" spans="1:61" x14ac:dyDescent="0.25">
      <c r="A689" s="149"/>
      <c r="B689" s="149"/>
      <c r="C689" s="149"/>
      <c r="D689" s="149"/>
      <c r="E689" s="150"/>
      <c r="F689" s="150"/>
      <c r="G689" s="149"/>
      <c r="H689" s="149"/>
      <c r="I689" s="149"/>
      <c r="J689" s="150"/>
      <c r="K689" s="150"/>
      <c r="L689" s="149"/>
      <c r="M689" s="149"/>
      <c r="N689" s="149"/>
      <c r="O689" s="150"/>
      <c r="P689" s="150"/>
      <c r="Q689" s="149"/>
      <c r="R689" s="149"/>
      <c r="S689" s="149"/>
      <c r="T689" s="150"/>
      <c r="U689" s="150"/>
      <c r="V689" s="150"/>
      <c r="W689" s="150"/>
      <c r="X689" s="150"/>
      <c r="Y689" s="150"/>
      <c r="Z689" s="150"/>
      <c r="AA689" s="150"/>
      <c r="AB689" s="150"/>
      <c r="AC689" s="149"/>
      <c r="AD689" s="149"/>
      <c r="AE689" s="149"/>
      <c r="AF689" s="150"/>
      <c r="AG689" s="150"/>
      <c r="AH689" s="149"/>
      <c r="AI689" s="149"/>
      <c r="AJ689" s="149"/>
      <c r="AK689" s="150"/>
      <c r="AL689" s="150"/>
      <c r="AM689" s="149"/>
      <c r="AN689" s="149"/>
      <c r="AO689" s="149"/>
      <c r="AP689" s="150"/>
      <c r="AQ689" s="150"/>
      <c r="AR689" s="150"/>
      <c r="AS689" s="150"/>
      <c r="AT689" s="150"/>
      <c r="AU689" s="150"/>
      <c r="AV689" s="150"/>
      <c r="AW689" s="150"/>
      <c r="AX689" s="150"/>
      <c r="AY689" s="151"/>
      <c r="AZ689" s="151"/>
      <c r="BA689" s="151"/>
      <c r="BB689" s="151"/>
      <c r="BC689" s="151"/>
      <c r="BD689" s="151"/>
      <c r="BE689" s="151"/>
      <c r="BF689" s="151"/>
      <c r="BG689" s="151"/>
      <c r="BH689" s="151"/>
      <c r="BI689" s="151"/>
    </row>
    <row r="690" spans="1:61" x14ac:dyDescent="0.25">
      <c r="A690" s="149"/>
      <c r="B690" s="149"/>
      <c r="C690" s="149"/>
      <c r="D690" s="149"/>
      <c r="E690" s="150"/>
      <c r="F690" s="150"/>
      <c r="G690" s="149"/>
      <c r="H690" s="149"/>
      <c r="I690" s="149"/>
      <c r="J690" s="150"/>
      <c r="K690" s="150"/>
      <c r="L690" s="149"/>
      <c r="M690" s="149"/>
      <c r="N690" s="149"/>
      <c r="O690" s="150"/>
      <c r="P690" s="150"/>
      <c r="Q690" s="149"/>
      <c r="R690" s="149"/>
      <c r="S690" s="149"/>
      <c r="T690" s="150"/>
      <c r="U690" s="150"/>
      <c r="V690" s="150"/>
      <c r="W690" s="150"/>
      <c r="X690" s="150"/>
      <c r="Y690" s="150"/>
      <c r="Z690" s="150"/>
      <c r="AA690" s="150"/>
      <c r="AB690" s="150"/>
      <c r="AC690" s="149"/>
      <c r="AD690" s="149"/>
      <c r="AE690" s="149"/>
      <c r="AF690" s="150"/>
      <c r="AG690" s="150"/>
      <c r="AH690" s="149"/>
      <c r="AI690" s="149"/>
      <c r="AJ690" s="149"/>
      <c r="AK690" s="150"/>
      <c r="AL690" s="150"/>
      <c r="AM690" s="149"/>
      <c r="AN690" s="149"/>
      <c r="AO690" s="149"/>
      <c r="AP690" s="150"/>
      <c r="AQ690" s="150"/>
      <c r="AR690" s="150"/>
      <c r="AS690" s="150"/>
      <c r="AT690" s="150"/>
      <c r="AU690" s="150"/>
      <c r="AV690" s="150"/>
      <c r="AW690" s="150"/>
      <c r="AX690" s="150"/>
      <c r="AY690" s="151"/>
      <c r="AZ690" s="151"/>
      <c r="BA690" s="151"/>
      <c r="BB690" s="151"/>
      <c r="BC690" s="151"/>
      <c r="BD690" s="151"/>
      <c r="BE690" s="151"/>
      <c r="BF690" s="151"/>
      <c r="BG690" s="151"/>
      <c r="BH690" s="151"/>
      <c r="BI690" s="151"/>
    </row>
    <row r="691" spans="1:61" x14ac:dyDescent="0.25">
      <c r="A691" s="149"/>
      <c r="B691" s="149"/>
      <c r="C691" s="149"/>
      <c r="D691" s="149"/>
      <c r="E691" s="150"/>
      <c r="F691" s="150"/>
      <c r="G691" s="149"/>
      <c r="H691" s="149"/>
      <c r="I691" s="149"/>
      <c r="J691" s="150"/>
      <c r="K691" s="150"/>
      <c r="L691" s="149"/>
      <c r="M691" s="149"/>
      <c r="N691" s="149"/>
      <c r="O691" s="150"/>
      <c r="P691" s="150"/>
      <c r="Q691" s="149"/>
      <c r="R691" s="149"/>
      <c r="S691" s="149"/>
      <c r="T691" s="150"/>
      <c r="U691" s="150"/>
      <c r="V691" s="150"/>
      <c r="W691" s="150"/>
      <c r="X691" s="150"/>
      <c r="Y691" s="150"/>
      <c r="Z691" s="150"/>
      <c r="AA691" s="150"/>
      <c r="AB691" s="150"/>
      <c r="AC691" s="149"/>
      <c r="AD691" s="149"/>
      <c r="AE691" s="149"/>
      <c r="AF691" s="150"/>
      <c r="AG691" s="150"/>
      <c r="AH691" s="149"/>
      <c r="AI691" s="149"/>
      <c r="AJ691" s="149"/>
      <c r="AK691" s="150"/>
      <c r="AL691" s="150"/>
      <c r="AM691" s="149"/>
      <c r="AN691" s="149"/>
      <c r="AO691" s="149"/>
      <c r="AP691" s="150"/>
      <c r="AQ691" s="150"/>
      <c r="AR691" s="150"/>
      <c r="AS691" s="150"/>
      <c r="AT691" s="150"/>
      <c r="AU691" s="150"/>
      <c r="AV691" s="150"/>
      <c r="AW691" s="150"/>
      <c r="AX691" s="150"/>
      <c r="AY691" s="151"/>
      <c r="AZ691" s="151"/>
      <c r="BA691" s="151"/>
      <c r="BB691" s="151"/>
      <c r="BC691" s="151"/>
      <c r="BD691" s="151"/>
      <c r="BE691" s="151"/>
      <c r="BF691" s="151"/>
      <c r="BG691" s="151"/>
      <c r="BH691" s="151"/>
      <c r="BI691" s="151"/>
    </row>
    <row r="692" spans="1:61" x14ac:dyDescent="0.25">
      <c r="A692" s="149"/>
      <c r="B692" s="149"/>
      <c r="C692" s="149"/>
      <c r="D692" s="149"/>
      <c r="E692" s="150"/>
      <c r="F692" s="150"/>
      <c r="G692" s="149"/>
      <c r="H692" s="149"/>
      <c r="I692" s="149"/>
      <c r="J692" s="150"/>
      <c r="K692" s="150"/>
      <c r="L692" s="149"/>
      <c r="M692" s="149"/>
      <c r="N692" s="149"/>
      <c r="O692" s="150"/>
      <c r="P692" s="150"/>
      <c r="Q692" s="149"/>
      <c r="R692" s="149"/>
      <c r="S692" s="149"/>
      <c r="T692" s="150"/>
      <c r="U692" s="150"/>
      <c r="V692" s="150"/>
      <c r="W692" s="150"/>
      <c r="X692" s="150"/>
      <c r="Y692" s="150"/>
      <c r="Z692" s="150"/>
      <c r="AA692" s="150"/>
      <c r="AB692" s="150"/>
      <c r="AC692" s="149"/>
      <c r="AD692" s="149"/>
      <c r="AE692" s="149"/>
      <c r="AF692" s="150"/>
      <c r="AG692" s="150"/>
      <c r="AH692" s="149"/>
      <c r="AI692" s="149"/>
      <c r="AJ692" s="149"/>
      <c r="AK692" s="150"/>
      <c r="AL692" s="150"/>
      <c r="AM692" s="149"/>
      <c r="AN692" s="149"/>
      <c r="AO692" s="149"/>
      <c r="AP692" s="150"/>
      <c r="AQ692" s="150"/>
      <c r="AR692" s="150"/>
      <c r="AS692" s="150"/>
      <c r="AT692" s="150"/>
      <c r="AU692" s="150"/>
      <c r="AV692" s="150"/>
      <c r="AW692" s="150"/>
      <c r="AX692" s="150"/>
      <c r="AY692" s="151"/>
      <c r="AZ692" s="151"/>
      <c r="BA692" s="151"/>
      <c r="BB692" s="151"/>
      <c r="BC692" s="151"/>
      <c r="BD692" s="151"/>
      <c r="BE692" s="151"/>
      <c r="BF692" s="151"/>
      <c r="BG692" s="151"/>
      <c r="BH692" s="151"/>
      <c r="BI692" s="151"/>
    </row>
    <row r="693" spans="1:61" x14ac:dyDescent="0.25">
      <c r="A693" s="149"/>
      <c r="B693" s="149"/>
      <c r="C693" s="149"/>
      <c r="D693" s="149"/>
      <c r="E693" s="150"/>
      <c r="F693" s="150"/>
      <c r="G693" s="149"/>
      <c r="H693" s="149"/>
      <c r="I693" s="149"/>
      <c r="J693" s="150"/>
      <c r="K693" s="150"/>
      <c r="L693" s="149"/>
      <c r="M693" s="149"/>
      <c r="N693" s="149"/>
      <c r="O693" s="150"/>
      <c r="P693" s="150"/>
      <c r="Q693" s="149"/>
      <c r="R693" s="149"/>
      <c r="S693" s="149"/>
      <c r="T693" s="150"/>
      <c r="U693" s="150"/>
      <c r="V693" s="150"/>
      <c r="W693" s="150"/>
      <c r="X693" s="150"/>
      <c r="Y693" s="150"/>
      <c r="Z693" s="150"/>
      <c r="AA693" s="150"/>
      <c r="AB693" s="150"/>
      <c r="AC693" s="149"/>
      <c r="AD693" s="149"/>
      <c r="AE693" s="149"/>
      <c r="AF693" s="150"/>
      <c r="AG693" s="150"/>
      <c r="AH693" s="149"/>
      <c r="AI693" s="149"/>
      <c r="AJ693" s="149"/>
      <c r="AK693" s="150"/>
      <c r="AL693" s="150"/>
      <c r="AM693" s="149"/>
      <c r="AN693" s="149"/>
      <c r="AO693" s="149"/>
      <c r="AP693" s="150"/>
      <c r="AQ693" s="150"/>
      <c r="AR693" s="150"/>
      <c r="AS693" s="150"/>
      <c r="AT693" s="150"/>
      <c r="AU693" s="150"/>
      <c r="AV693" s="150"/>
      <c r="AW693" s="150"/>
      <c r="AX693" s="150"/>
      <c r="AY693" s="151"/>
      <c r="AZ693" s="151"/>
      <c r="BA693" s="151"/>
      <c r="BB693" s="151"/>
      <c r="BC693" s="151"/>
      <c r="BD693" s="151"/>
      <c r="BE693" s="151"/>
      <c r="BF693" s="151"/>
      <c r="BG693" s="151"/>
      <c r="BH693" s="151"/>
      <c r="BI693" s="151"/>
    </row>
    <row r="694" spans="1:61" x14ac:dyDescent="0.25">
      <c r="A694" s="149"/>
      <c r="B694" s="149"/>
      <c r="C694" s="149"/>
      <c r="D694" s="149"/>
      <c r="E694" s="150"/>
      <c r="F694" s="150"/>
      <c r="G694" s="149"/>
      <c r="H694" s="149"/>
      <c r="I694" s="149"/>
      <c r="J694" s="150"/>
      <c r="K694" s="150"/>
      <c r="L694" s="149"/>
      <c r="M694" s="149"/>
      <c r="N694" s="149"/>
      <c r="O694" s="150"/>
      <c r="P694" s="150"/>
      <c r="Q694" s="149"/>
      <c r="R694" s="149"/>
      <c r="S694" s="149"/>
      <c r="T694" s="150"/>
      <c r="U694" s="150"/>
      <c r="V694" s="150"/>
      <c r="W694" s="150"/>
      <c r="X694" s="150"/>
      <c r="Y694" s="150"/>
      <c r="Z694" s="150"/>
      <c r="AA694" s="150"/>
      <c r="AB694" s="150"/>
      <c r="AC694" s="149"/>
      <c r="AD694" s="149"/>
      <c r="AE694" s="149"/>
      <c r="AF694" s="150"/>
      <c r="AG694" s="150"/>
      <c r="AH694" s="149"/>
      <c r="AI694" s="149"/>
      <c r="AJ694" s="149"/>
      <c r="AK694" s="150"/>
      <c r="AL694" s="150"/>
      <c r="AM694" s="149"/>
      <c r="AN694" s="149"/>
      <c r="AO694" s="149"/>
      <c r="AP694" s="150"/>
      <c r="AQ694" s="150"/>
      <c r="AR694" s="150"/>
      <c r="AS694" s="150"/>
      <c r="AT694" s="150"/>
      <c r="AU694" s="150"/>
      <c r="AV694" s="150"/>
      <c r="AW694" s="150"/>
      <c r="AX694" s="150"/>
      <c r="AY694" s="151"/>
      <c r="AZ694" s="151"/>
      <c r="BA694" s="151"/>
      <c r="BB694" s="151"/>
      <c r="BC694" s="151"/>
      <c r="BD694" s="151"/>
      <c r="BE694" s="151"/>
      <c r="BF694" s="151"/>
      <c r="BG694" s="151"/>
      <c r="BH694" s="151"/>
      <c r="BI694" s="151"/>
    </row>
    <row r="695" spans="1:61" x14ac:dyDescent="0.25">
      <c r="A695" s="149"/>
      <c r="B695" s="149"/>
      <c r="C695" s="149"/>
      <c r="D695" s="149"/>
      <c r="E695" s="150"/>
      <c r="F695" s="150"/>
      <c r="G695" s="149"/>
      <c r="H695" s="149"/>
      <c r="I695" s="149"/>
      <c r="J695" s="150"/>
      <c r="K695" s="150"/>
      <c r="L695" s="149"/>
      <c r="M695" s="149"/>
      <c r="N695" s="149"/>
      <c r="O695" s="150"/>
      <c r="P695" s="150"/>
      <c r="Q695" s="149"/>
      <c r="R695" s="149"/>
      <c r="S695" s="149"/>
      <c r="T695" s="150"/>
      <c r="U695" s="150"/>
      <c r="V695" s="150"/>
      <c r="W695" s="150"/>
      <c r="X695" s="150"/>
      <c r="Y695" s="150"/>
      <c r="Z695" s="150"/>
      <c r="AA695" s="150"/>
      <c r="AB695" s="150"/>
      <c r="AC695" s="149"/>
      <c r="AD695" s="149"/>
      <c r="AE695" s="149"/>
      <c r="AF695" s="150"/>
      <c r="AG695" s="150"/>
      <c r="AH695" s="149"/>
      <c r="AI695" s="149"/>
      <c r="AJ695" s="149"/>
      <c r="AK695" s="150"/>
      <c r="AL695" s="150"/>
      <c r="AM695" s="149"/>
      <c r="AN695" s="149"/>
      <c r="AO695" s="149"/>
      <c r="AP695" s="150"/>
      <c r="AQ695" s="150"/>
      <c r="AR695" s="150"/>
      <c r="AS695" s="150"/>
      <c r="AT695" s="150"/>
      <c r="AU695" s="150"/>
      <c r="AV695" s="150"/>
      <c r="AW695" s="150"/>
      <c r="AX695" s="150"/>
      <c r="AY695" s="151"/>
      <c r="AZ695" s="151"/>
      <c r="BA695" s="151"/>
      <c r="BB695" s="151"/>
      <c r="BC695" s="151"/>
      <c r="BD695" s="151"/>
      <c r="BE695" s="151"/>
      <c r="BF695" s="151"/>
      <c r="BG695" s="151"/>
      <c r="BH695" s="151"/>
      <c r="BI695" s="151"/>
    </row>
    <row r="696" spans="1:61" x14ac:dyDescent="0.25">
      <c r="A696" s="149"/>
      <c r="B696" s="149"/>
      <c r="C696" s="149"/>
      <c r="D696" s="149"/>
      <c r="E696" s="150"/>
      <c r="F696" s="150"/>
      <c r="G696" s="149"/>
      <c r="H696" s="149"/>
      <c r="I696" s="149"/>
      <c r="J696" s="150"/>
      <c r="K696" s="150"/>
      <c r="L696" s="149"/>
      <c r="M696" s="149"/>
      <c r="N696" s="149"/>
      <c r="O696" s="150"/>
      <c r="P696" s="150"/>
      <c r="Q696" s="149"/>
      <c r="R696" s="149"/>
      <c r="S696" s="149"/>
      <c r="T696" s="150"/>
      <c r="U696" s="150"/>
      <c r="V696" s="150"/>
      <c r="W696" s="150"/>
      <c r="X696" s="150"/>
      <c r="Y696" s="150"/>
      <c r="Z696" s="150"/>
      <c r="AA696" s="150"/>
      <c r="AB696" s="150"/>
      <c r="AC696" s="149"/>
      <c r="AD696" s="149"/>
      <c r="AE696" s="149"/>
      <c r="AF696" s="150"/>
      <c r="AG696" s="150"/>
      <c r="AH696" s="149"/>
      <c r="AI696" s="149"/>
      <c r="AJ696" s="149"/>
      <c r="AK696" s="150"/>
      <c r="AL696" s="150"/>
      <c r="AM696" s="149"/>
      <c r="AN696" s="149"/>
      <c r="AO696" s="149"/>
      <c r="AP696" s="150"/>
      <c r="AQ696" s="150"/>
      <c r="AR696" s="150"/>
      <c r="AS696" s="150"/>
      <c r="AT696" s="150"/>
      <c r="AU696" s="150"/>
      <c r="AV696" s="150"/>
      <c r="AW696" s="150"/>
      <c r="AX696" s="150"/>
      <c r="AY696" s="151"/>
      <c r="AZ696" s="151"/>
      <c r="BA696" s="151"/>
      <c r="BB696" s="151"/>
      <c r="BC696" s="151"/>
      <c r="BD696" s="151"/>
      <c r="BE696" s="151"/>
      <c r="BF696" s="151"/>
      <c r="BG696" s="151"/>
      <c r="BH696" s="151"/>
      <c r="BI696" s="151"/>
    </row>
    <row r="697" spans="1:61" x14ac:dyDescent="0.25">
      <c r="A697" s="149"/>
      <c r="B697" s="149"/>
      <c r="C697" s="149"/>
      <c r="D697" s="149"/>
      <c r="E697" s="150"/>
      <c r="F697" s="150"/>
      <c r="G697" s="149"/>
      <c r="H697" s="149"/>
      <c r="I697" s="149"/>
      <c r="J697" s="150"/>
      <c r="K697" s="150"/>
      <c r="L697" s="149"/>
      <c r="M697" s="149"/>
      <c r="N697" s="149"/>
      <c r="O697" s="150"/>
      <c r="P697" s="150"/>
      <c r="Q697" s="149"/>
      <c r="R697" s="149"/>
      <c r="S697" s="149"/>
      <c r="T697" s="150"/>
      <c r="U697" s="150"/>
      <c r="V697" s="150"/>
      <c r="W697" s="150"/>
      <c r="X697" s="150"/>
      <c r="Y697" s="150"/>
      <c r="Z697" s="150"/>
      <c r="AA697" s="150"/>
      <c r="AB697" s="150"/>
      <c r="AC697" s="149"/>
      <c r="AD697" s="149"/>
      <c r="AE697" s="149"/>
      <c r="AF697" s="150"/>
      <c r="AG697" s="150"/>
      <c r="AH697" s="149"/>
      <c r="AI697" s="149"/>
      <c r="AJ697" s="149"/>
      <c r="AK697" s="150"/>
      <c r="AL697" s="150"/>
      <c r="AM697" s="149"/>
      <c r="AN697" s="149"/>
      <c r="AO697" s="149"/>
      <c r="AP697" s="150"/>
      <c r="AQ697" s="150"/>
      <c r="AR697" s="150"/>
      <c r="AS697" s="150"/>
      <c r="AT697" s="150"/>
      <c r="AU697" s="150"/>
      <c r="AV697" s="150"/>
      <c r="AW697" s="150"/>
      <c r="AX697" s="150"/>
      <c r="AY697" s="151"/>
      <c r="AZ697" s="151"/>
      <c r="BA697" s="151"/>
      <c r="BB697" s="151"/>
      <c r="BC697" s="151"/>
      <c r="BD697" s="151"/>
      <c r="BE697" s="151"/>
      <c r="BF697" s="151"/>
      <c r="BG697" s="151"/>
      <c r="BH697" s="151"/>
      <c r="BI697" s="151"/>
    </row>
    <row r="698" spans="1:61" x14ac:dyDescent="0.25">
      <c r="A698" s="149"/>
      <c r="B698" s="149"/>
      <c r="C698" s="149"/>
      <c r="D698" s="149"/>
      <c r="E698" s="150"/>
      <c r="F698" s="150"/>
      <c r="G698" s="149"/>
      <c r="H698" s="149"/>
      <c r="I698" s="149"/>
      <c r="J698" s="150"/>
      <c r="K698" s="150"/>
      <c r="L698" s="149"/>
      <c r="M698" s="149"/>
      <c r="N698" s="149"/>
      <c r="O698" s="150"/>
      <c r="P698" s="150"/>
      <c r="Q698" s="149"/>
      <c r="R698" s="149"/>
      <c r="S698" s="149"/>
      <c r="T698" s="150"/>
      <c r="U698" s="150"/>
      <c r="V698" s="150"/>
      <c r="W698" s="150"/>
      <c r="X698" s="150"/>
      <c r="Y698" s="150"/>
      <c r="Z698" s="150"/>
      <c r="AA698" s="150"/>
      <c r="AB698" s="150"/>
      <c r="AC698" s="149"/>
      <c r="AD698" s="149"/>
      <c r="AE698" s="149"/>
      <c r="AF698" s="150"/>
      <c r="AG698" s="150"/>
      <c r="AH698" s="149"/>
      <c r="AI698" s="149"/>
      <c r="AJ698" s="149"/>
      <c r="AK698" s="150"/>
      <c r="AL698" s="150"/>
      <c r="AM698" s="149"/>
      <c r="AN698" s="149"/>
      <c r="AO698" s="149"/>
      <c r="AP698" s="150"/>
      <c r="AQ698" s="150"/>
      <c r="AR698" s="150"/>
      <c r="AS698" s="150"/>
      <c r="AT698" s="150"/>
      <c r="AU698" s="150"/>
      <c r="AV698" s="150"/>
      <c r="AW698" s="150"/>
      <c r="AX698" s="150"/>
      <c r="AY698" s="151"/>
      <c r="AZ698" s="151"/>
      <c r="BA698" s="151"/>
      <c r="BB698" s="151"/>
      <c r="BC698" s="151"/>
      <c r="BD698" s="151"/>
      <c r="BE698" s="151"/>
      <c r="BF698" s="151"/>
      <c r="BG698" s="151"/>
      <c r="BH698" s="151"/>
      <c r="BI698" s="151"/>
    </row>
    <row r="699" spans="1:61" x14ac:dyDescent="0.25">
      <c r="A699" s="149"/>
      <c r="B699" s="149"/>
      <c r="C699" s="149"/>
      <c r="D699" s="149"/>
      <c r="E699" s="150"/>
      <c r="F699" s="150"/>
      <c r="G699" s="149"/>
      <c r="H699" s="149"/>
      <c r="I699" s="149"/>
      <c r="J699" s="150"/>
      <c r="K699" s="150"/>
      <c r="L699" s="149"/>
      <c r="M699" s="149"/>
      <c r="N699" s="149"/>
      <c r="O699" s="150"/>
      <c r="P699" s="150"/>
      <c r="Q699" s="149"/>
      <c r="R699" s="149"/>
      <c r="S699" s="149"/>
      <c r="T699" s="150"/>
      <c r="U699" s="150"/>
      <c r="V699" s="150"/>
      <c r="W699" s="150"/>
      <c r="X699" s="150"/>
      <c r="Y699" s="150"/>
      <c r="Z699" s="150"/>
      <c r="AA699" s="150"/>
      <c r="AB699" s="150"/>
      <c r="AC699" s="149"/>
      <c r="AD699" s="149"/>
      <c r="AE699" s="149"/>
      <c r="AF699" s="150"/>
      <c r="AG699" s="150"/>
      <c r="AH699" s="149"/>
      <c r="AI699" s="149"/>
      <c r="AJ699" s="149"/>
      <c r="AK699" s="150"/>
      <c r="AL699" s="150"/>
      <c r="AM699" s="149"/>
      <c r="AN699" s="149"/>
      <c r="AO699" s="149"/>
      <c r="AP699" s="150"/>
      <c r="AQ699" s="150"/>
      <c r="AR699" s="150"/>
      <c r="AS699" s="150"/>
      <c r="AT699" s="150"/>
      <c r="AU699" s="150"/>
      <c r="AV699" s="150"/>
      <c r="AW699" s="150"/>
      <c r="AX699" s="150"/>
      <c r="AY699" s="151"/>
      <c r="AZ699" s="151"/>
      <c r="BA699" s="151"/>
      <c r="BB699" s="151"/>
      <c r="BC699" s="151"/>
      <c r="BD699" s="151"/>
      <c r="BE699" s="151"/>
      <c r="BF699" s="151"/>
      <c r="BG699" s="151"/>
      <c r="BH699" s="151"/>
      <c r="BI699" s="151"/>
    </row>
    <row r="700" spans="1:61" x14ac:dyDescent="0.25">
      <c r="A700" s="149"/>
      <c r="B700" s="149"/>
      <c r="C700" s="149"/>
      <c r="D700" s="149"/>
      <c r="E700" s="150"/>
      <c r="F700" s="150"/>
      <c r="G700" s="149"/>
      <c r="H700" s="149"/>
      <c r="I700" s="149"/>
      <c r="J700" s="150"/>
      <c r="K700" s="150"/>
      <c r="L700" s="149"/>
      <c r="M700" s="149"/>
      <c r="N700" s="149"/>
      <c r="O700" s="150"/>
      <c r="P700" s="150"/>
      <c r="Q700" s="149"/>
      <c r="R700" s="149"/>
      <c r="S700" s="149"/>
      <c r="T700" s="150"/>
      <c r="U700" s="150"/>
      <c r="V700" s="150"/>
      <c r="W700" s="150"/>
      <c r="X700" s="150"/>
      <c r="Y700" s="150"/>
      <c r="Z700" s="150"/>
      <c r="AA700" s="150"/>
      <c r="AB700" s="150"/>
      <c r="AC700" s="149"/>
      <c r="AD700" s="149"/>
      <c r="AE700" s="149"/>
      <c r="AF700" s="150"/>
      <c r="AG700" s="150"/>
      <c r="AH700" s="149"/>
      <c r="AI700" s="149"/>
      <c r="AJ700" s="149"/>
      <c r="AK700" s="150"/>
      <c r="AL700" s="150"/>
      <c r="AM700" s="149"/>
      <c r="AN700" s="149"/>
      <c r="AO700" s="149"/>
      <c r="AP700" s="150"/>
      <c r="AQ700" s="150"/>
      <c r="AR700" s="150"/>
      <c r="AS700" s="150"/>
      <c r="AT700" s="150"/>
      <c r="AU700" s="150"/>
      <c r="AV700" s="150"/>
      <c r="AW700" s="150"/>
      <c r="AX700" s="150"/>
      <c r="AY700" s="151"/>
      <c r="AZ700" s="151"/>
      <c r="BA700" s="151"/>
      <c r="BB700" s="151"/>
      <c r="BC700" s="151"/>
      <c r="BD700" s="151"/>
      <c r="BE700" s="151"/>
      <c r="BF700" s="151"/>
      <c r="BG700" s="151"/>
      <c r="BH700" s="151"/>
      <c r="BI700" s="151"/>
    </row>
    <row r="701" spans="1:61" x14ac:dyDescent="0.25">
      <c r="A701" s="149"/>
      <c r="B701" s="149"/>
      <c r="C701" s="149"/>
      <c r="D701" s="149"/>
      <c r="E701" s="150"/>
      <c r="F701" s="150"/>
      <c r="G701" s="149"/>
      <c r="H701" s="149"/>
      <c r="I701" s="149"/>
      <c r="J701" s="150"/>
      <c r="K701" s="150"/>
      <c r="L701" s="149"/>
      <c r="M701" s="149"/>
      <c r="N701" s="149"/>
      <c r="O701" s="150"/>
      <c r="P701" s="150"/>
      <c r="Q701" s="149"/>
      <c r="R701" s="149"/>
      <c r="S701" s="149"/>
      <c r="T701" s="150"/>
      <c r="U701" s="150"/>
      <c r="V701" s="150"/>
      <c r="W701" s="150"/>
      <c r="X701" s="150"/>
      <c r="Y701" s="150"/>
      <c r="Z701" s="150"/>
      <c r="AA701" s="150"/>
      <c r="AB701" s="150"/>
      <c r="AC701" s="149"/>
      <c r="AD701" s="149"/>
      <c r="AE701" s="149"/>
      <c r="AF701" s="150"/>
      <c r="AG701" s="150"/>
      <c r="AH701" s="149"/>
      <c r="AI701" s="149"/>
      <c r="AJ701" s="149"/>
      <c r="AK701" s="150"/>
      <c r="AL701" s="150"/>
      <c r="AM701" s="149"/>
      <c r="AN701" s="149"/>
      <c r="AO701" s="149"/>
      <c r="AP701" s="150"/>
      <c r="AQ701" s="150"/>
      <c r="AR701" s="150"/>
      <c r="AS701" s="150"/>
      <c r="AT701" s="150"/>
      <c r="AU701" s="150"/>
      <c r="AV701" s="150"/>
      <c r="AW701" s="150"/>
      <c r="AX701" s="150"/>
      <c r="AY701" s="151"/>
      <c r="AZ701" s="151"/>
      <c r="BA701" s="151"/>
      <c r="BB701" s="151"/>
      <c r="BC701" s="151"/>
      <c r="BD701" s="151"/>
      <c r="BE701" s="151"/>
      <c r="BF701" s="151"/>
      <c r="BG701" s="151"/>
      <c r="BH701" s="151"/>
      <c r="BI701" s="151"/>
    </row>
    <row r="702" spans="1:61" x14ac:dyDescent="0.25">
      <c r="A702" s="149"/>
      <c r="B702" s="149"/>
      <c r="C702" s="149"/>
      <c r="D702" s="149"/>
      <c r="E702" s="150"/>
      <c r="F702" s="150"/>
      <c r="G702" s="149"/>
      <c r="H702" s="149"/>
      <c r="I702" s="149"/>
      <c r="J702" s="150"/>
      <c r="K702" s="150"/>
      <c r="L702" s="149"/>
      <c r="M702" s="149"/>
      <c r="N702" s="149"/>
      <c r="O702" s="150"/>
      <c r="P702" s="150"/>
      <c r="Q702" s="149"/>
      <c r="R702" s="149"/>
      <c r="S702" s="149"/>
      <c r="T702" s="150"/>
      <c r="U702" s="150"/>
      <c r="V702" s="150"/>
      <c r="W702" s="150"/>
      <c r="X702" s="150"/>
      <c r="Y702" s="150"/>
      <c r="Z702" s="150"/>
      <c r="AA702" s="150"/>
      <c r="AB702" s="150"/>
      <c r="AC702" s="149"/>
      <c r="AD702" s="149"/>
      <c r="AE702" s="149"/>
      <c r="AF702" s="150"/>
      <c r="AG702" s="150"/>
      <c r="AH702" s="149"/>
      <c r="AI702" s="149"/>
      <c r="AJ702" s="149"/>
      <c r="AK702" s="150"/>
      <c r="AL702" s="150"/>
      <c r="AM702" s="149"/>
      <c r="AN702" s="149"/>
      <c r="AO702" s="149"/>
      <c r="AP702" s="150"/>
      <c r="AQ702" s="150"/>
      <c r="AR702" s="150"/>
      <c r="AS702" s="150"/>
      <c r="AT702" s="150"/>
      <c r="AU702" s="150"/>
      <c r="AV702" s="150"/>
      <c r="AW702" s="150"/>
      <c r="AX702" s="150"/>
      <c r="AY702" s="151"/>
      <c r="AZ702" s="151"/>
      <c r="BA702" s="151"/>
      <c r="BB702" s="151"/>
      <c r="BC702" s="151"/>
      <c r="BD702" s="151"/>
      <c r="BE702" s="151"/>
      <c r="BF702" s="151"/>
      <c r="BG702" s="151"/>
      <c r="BH702" s="151"/>
      <c r="BI702" s="151"/>
    </row>
    <row r="703" spans="1:61" x14ac:dyDescent="0.25">
      <c r="A703" s="149"/>
      <c r="B703" s="149"/>
      <c r="C703" s="149"/>
      <c r="D703" s="149"/>
      <c r="E703" s="150"/>
      <c r="F703" s="150"/>
      <c r="G703" s="149"/>
      <c r="H703" s="149"/>
      <c r="I703" s="149"/>
      <c r="J703" s="150"/>
      <c r="K703" s="150"/>
      <c r="L703" s="149"/>
      <c r="M703" s="149"/>
      <c r="N703" s="149"/>
      <c r="O703" s="150"/>
      <c r="P703" s="150"/>
      <c r="Q703" s="149"/>
      <c r="R703" s="149"/>
      <c r="S703" s="149"/>
      <c r="T703" s="150"/>
      <c r="U703" s="150"/>
      <c r="V703" s="150"/>
      <c r="W703" s="150"/>
      <c r="X703" s="150"/>
      <c r="Y703" s="150"/>
      <c r="Z703" s="150"/>
      <c r="AA703" s="150"/>
      <c r="AB703" s="150"/>
      <c r="AC703" s="149"/>
      <c r="AD703" s="149"/>
      <c r="AE703" s="149"/>
      <c r="AF703" s="150"/>
      <c r="AG703" s="150"/>
      <c r="AH703" s="149"/>
      <c r="AI703" s="149"/>
      <c r="AJ703" s="149"/>
      <c r="AK703" s="150"/>
      <c r="AL703" s="150"/>
      <c r="AM703" s="149"/>
      <c r="AN703" s="149"/>
      <c r="AO703" s="149"/>
      <c r="AP703" s="150"/>
      <c r="AQ703" s="150"/>
      <c r="AR703" s="150"/>
      <c r="AS703" s="150"/>
      <c r="AT703" s="150"/>
      <c r="AU703" s="150"/>
      <c r="AV703" s="150"/>
      <c r="AW703" s="150"/>
      <c r="AX703" s="150"/>
      <c r="AY703" s="151"/>
      <c r="AZ703" s="151"/>
      <c r="BA703" s="151"/>
      <c r="BB703" s="151"/>
      <c r="BC703" s="151"/>
      <c r="BD703" s="151"/>
      <c r="BE703" s="151"/>
      <c r="BF703" s="151"/>
      <c r="BG703" s="151"/>
      <c r="BH703" s="151"/>
      <c r="BI703" s="151"/>
    </row>
    <row r="704" spans="1:61" x14ac:dyDescent="0.25">
      <c r="A704" s="149"/>
      <c r="B704" s="149"/>
      <c r="C704" s="149"/>
      <c r="D704" s="149"/>
      <c r="E704" s="150"/>
      <c r="F704" s="150"/>
      <c r="G704" s="149"/>
      <c r="H704" s="149"/>
      <c r="I704" s="149"/>
      <c r="J704" s="150"/>
      <c r="K704" s="150"/>
      <c r="L704" s="149"/>
      <c r="M704" s="149"/>
      <c r="N704" s="149"/>
      <c r="O704" s="150"/>
      <c r="P704" s="150"/>
      <c r="Q704" s="149"/>
      <c r="R704" s="149"/>
      <c r="S704" s="149"/>
      <c r="T704" s="150"/>
      <c r="U704" s="150"/>
      <c r="V704" s="150"/>
      <c r="W704" s="150"/>
      <c r="X704" s="150"/>
      <c r="Y704" s="150"/>
      <c r="Z704" s="150"/>
      <c r="AA704" s="150"/>
      <c r="AB704" s="150"/>
      <c r="AC704" s="149"/>
      <c r="AD704" s="149"/>
      <c r="AE704" s="149"/>
      <c r="AF704" s="150"/>
      <c r="AG704" s="150"/>
      <c r="AH704" s="149"/>
      <c r="AI704" s="149"/>
      <c r="AJ704" s="149"/>
      <c r="AK704" s="150"/>
      <c r="AL704" s="150"/>
      <c r="AM704" s="149"/>
      <c r="AN704" s="149"/>
      <c r="AO704" s="149"/>
      <c r="AP704" s="150"/>
      <c r="AQ704" s="150"/>
      <c r="AR704" s="150"/>
      <c r="AS704" s="150"/>
      <c r="AT704" s="150"/>
      <c r="AU704" s="150"/>
      <c r="AV704" s="150"/>
      <c r="AW704" s="150"/>
      <c r="AX704" s="150"/>
      <c r="AY704" s="151"/>
      <c r="AZ704" s="151"/>
      <c r="BA704" s="151"/>
      <c r="BB704" s="151"/>
      <c r="BC704" s="151"/>
      <c r="BD704" s="151"/>
      <c r="BE704" s="151"/>
      <c r="BF704" s="151"/>
      <c r="BG704" s="151"/>
      <c r="BH704" s="151"/>
      <c r="BI704" s="151"/>
    </row>
    <row r="705" spans="1:61" x14ac:dyDescent="0.25">
      <c r="A705" s="149"/>
      <c r="B705" s="149"/>
      <c r="C705" s="149"/>
      <c r="D705" s="149"/>
      <c r="E705" s="150"/>
      <c r="F705" s="150"/>
      <c r="G705" s="149"/>
      <c r="H705" s="149"/>
      <c r="I705" s="149"/>
      <c r="J705" s="150"/>
      <c r="K705" s="150"/>
      <c r="L705" s="149"/>
      <c r="M705" s="149"/>
      <c r="N705" s="149"/>
      <c r="O705" s="150"/>
      <c r="P705" s="150"/>
      <c r="Q705" s="149"/>
      <c r="R705" s="149"/>
      <c r="S705" s="149"/>
      <c r="T705" s="150"/>
      <c r="U705" s="150"/>
      <c r="V705" s="150"/>
      <c r="W705" s="150"/>
      <c r="X705" s="150"/>
      <c r="Y705" s="150"/>
      <c r="Z705" s="150"/>
      <c r="AA705" s="150"/>
      <c r="AB705" s="150"/>
      <c r="AC705" s="149"/>
      <c r="AD705" s="149"/>
      <c r="AE705" s="149"/>
      <c r="AF705" s="150"/>
      <c r="AG705" s="150"/>
      <c r="AH705" s="149"/>
      <c r="AI705" s="149"/>
      <c r="AJ705" s="149"/>
      <c r="AK705" s="150"/>
      <c r="AL705" s="150"/>
      <c r="AM705" s="149"/>
      <c r="AN705" s="149"/>
      <c r="AO705" s="149"/>
      <c r="AP705" s="150"/>
      <c r="AQ705" s="150"/>
      <c r="AR705" s="150"/>
      <c r="AS705" s="150"/>
      <c r="AT705" s="150"/>
      <c r="AU705" s="150"/>
      <c r="AV705" s="150"/>
      <c r="AW705" s="150"/>
      <c r="AX705" s="150"/>
      <c r="AY705" s="151"/>
      <c r="AZ705" s="151"/>
      <c r="BA705" s="151"/>
      <c r="BB705" s="151"/>
      <c r="BC705" s="151"/>
      <c r="BD705" s="151"/>
      <c r="BE705" s="151"/>
      <c r="BF705" s="151"/>
      <c r="BG705" s="151"/>
      <c r="BH705" s="151"/>
      <c r="BI705" s="151"/>
    </row>
    <row r="706" spans="1:61" x14ac:dyDescent="0.25">
      <c r="A706" s="149"/>
      <c r="B706" s="149"/>
      <c r="C706" s="149"/>
      <c r="D706" s="149"/>
      <c r="E706" s="150"/>
      <c r="F706" s="150"/>
      <c r="G706" s="149"/>
      <c r="H706" s="149"/>
      <c r="I706" s="149"/>
      <c r="J706" s="150"/>
      <c r="K706" s="150"/>
      <c r="L706" s="149"/>
      <c r="M706" s="149"/>
      <c r="N706" s="149"/>
      <c r="O706" s="150"/>
      <c r="P706" s="150"/>
      <c r="Q706" s="149"/>
      <c r="R706" s="149"/>
      <c r="S706" s="149"/>
      <c r="T706" s="150"/>
      <c r="U706" s="150"/>
      <c r="V706" s="150"/>
      <c r="W706" s="150"/>
      <c r="X706" s="150"/>
      <c r="Y706" s="150"/>
      <c r="Z706" s="150"/>
      <c r="AA706" s="150"/>
      <c r="AB706" s="150"/>
      <c r="AC706" s="149"/>
      <c r="AD706" s="149"/>
      <c r="AE706" s="149"/>
      <c r="AF706" s="150"/>
      <c r="AG706" s="150"/>
      <c r="AH706" s="149"/>
      <c r="AI706" s="149"/>
      <c r="AJ706" s="149"/>
      <c r="AK706" s="150"/>
      <c r="AL706" s="150"/>
      <c r="AM706" s="149"/>
      <c r="AN706" s="149"/>
      <c r="AO706" s="149"/>
      <c r="AP706" s="150"/>
      <c r="AQ706" s="150"/>
      <c r="AR706" s="150"/>
      <c r="AS706" s="150"/>
      <c r="AT706" s="150"/>
      <c r="AU706" s="150"/>
      <c r="AV706" s="150"/>
      <c r="AW706" s="150"/>
      <c r="AX706" s="150"/>
      <c r="AY706" s="151"/>
      <c r="AZ706" s="151"/>
      <c r="BA706" s="151"/>
      <c r="BB706" s="151"/>
      <c r="BC706" s="151"/>
      <c r="BD706" s="151"/>
      <c r="BE706" s="151"/>
      <c r="BF706" s="151"/>
      <c r="BG706" s="151"/>
      <c r="BH706" s="151"/>
      <c r="BI706" s="151"/>
    </row>
    <row r="707" spans="1:61" x14ac:dyDescent="0.25">
      <c r="A707" s="149"/>
      <c r="B707" s="149"/>
      <c r="C707" s="149"/>
      <c r="D707" s="149"/>
      <c r="E707" s="150"/>
      <c r="F707" s="150"/>
      <c r="G707" s="149"/>
      <c r="H707" s="149"/>
      <c r="I707" s="149"/>
      <c r="J707" s="150"/>
      <c r="K707" s="150"/>
      <c r="L707" s="149"/>
      <c r="M707" s="149"/>
      <c r="N707" s="149"/>
      <c r="O707" s="150"/>
      <c r="P707" s="150"/>
      <c r="Q707" s="149"/>
      <c r="R707" s="149"/>
      <c r="S707" s="149"/>
      <c r="T707" s="150"/>
      <c r="U707" s="150"/>
      <c r="V707" s="150"/>
      <c r="W707" s="150"/>
      <c r="X707" s="150"/>
      <c r="Y707" s="150"/>
      <c r="Z707" s="150"/>
      <c r="AA707" s="150"/>
      <c r="AB707" s="150"/>
      <c r="AC707" s="149"/>
      <c r="AD707" s="149"/>
      <c r="AE707" s="149"/>
      <c r="AF707" s="150"/>
      <c r="AG707" s="150"/>
      <c r="AH707" s="149"/>
      <c r="AI707" s="149"/>
      <c r="AJ707" s="149"/>
      <c r="AK707" s="150"/>
      <c r="AL707" s="150"/>
      <c r="AM707" s="149"/>
      <c r="AN707" s="149"/>
      <c r="AO707" s="149"/>
      <c r="AP707" s="150"/>
      <c r="AQ707" s="150"/>
      <c r="AR707" s="150"/>
      <c r="AS707" s="150"/>
      <c r="AT707" s="150"/>
      <c r="AU707" s="150"/>
      <c r="AV707" s="150"/>
      <c r="AW707" s="150"/>
      <c r="AX707" s="150"/>
      <c r="AY707" s="151"/>
      <c r="AZ707" s="151"/>
      <c r="BA707" s="151"/>
      <c r="BB707" s="151"/>
      <c r="BC707" s="151"/>
      <c r="BD707" s="151"/>
      <c r="BE707" s="151"/>
      <c r="BF707" s="151"/>
      <c r="BG707" s="151"/>
      <c r="BH707" s="151"/>
      <c r="BI707" s="151"/>
    </row>
    <row r="708" spans="1:61" x14ac:dyDescent="0.25">
      <c r="A708" s="149"/>
      <c r="B708" s="149"/>
      <c r="C708" s="149"/>
      <c r="D708" s="149"/>
      <c r="E708" s="150"/>
      <c r="F708" s="150"/>
      <c r="G708" s="149"/>
      <c r="H708" s="149"/>
      <c r="I708" s="149"/>
      <c r="J708" s="150"/>
      <c r="K708" s="150"/>
      <c r="L708" s="149"/>
      <c r="M708" s="149"/>
      <c r="N708" s="149"/>
      <c r="O708" s="150"/>
      <c r="P708" s="150"/>
      <c r="Q708" s="149"/>
      <c r="R708" s="149"/>
      <c r="S708" s="149"/>
      <c r="T708" s="150"/>
      <c r="U708" s="150"/>
      <c r="V708" s="150"/>
      <c r="W708" s="150"/>
      <c r="X708" s="150"/>
      <c r="Y708" s="150"/>
      <c r="Z708" s="150"/>
      <c r="AA708" s="150"/>
      <c r="AB708" s="150"/>
      <c r="AC708" s="149"/>
      <c r="AD708" s="149"/>
      <c r="AE708" s="149"/>
      <c r="AF708" s="150"/>
      <c r="AG708" s="150"/>
      <c r="AH708" s="149"/>
      <c r="AI708" s="149"/>
      <c r="AJ708" s="149"/>
      <c r="AK708" s="150"/>
      <c r="AL708" s="150"/>
      <c r="AM708" s="149"/>
      <c r="AN708" s="149"/>
      <c r="AO708" s="149"/>
      <c r="AP708" s="150"/>
      <c r="AQ708" s="150"/>
      <c r="AR708" s="150"/>
      <c r="AS708" s="150"/>
      <c r="AT708" s="150"/>
      <c r="AU708" s="150"/>
      <c r="AV708" s="150"/>
      <c r="AW708" s="150"/>
      <c r="AX708" s="150"/>
      <c r="AY708" s="151"/>
      <c r="AZ708" s="151"/>
      <c r="BA708" s="151"/>
      <c r="BB708" s="151"/>
      <c r="BC708" s="151"/>
      <c r="BD708" s="151"/>
      <c r="BE708" s="151"/>
      <c r="BF708" s="151"/>
      <c r="BG708" s="151"/>
      <c r="BH708" s="151"/>
      <c r="BI708" s="151"/>
    </row>
    <row r="709" spans="1:61" x14ac:dyDescent="0.25">
      <c r="A709" s="149"/>
      <c r="B709" s="149"/>
      <c r="C709" s="149"/>
      <c r="D709" s="149"/>
      <c r="E709" s="150"/>
      <c r="F709" s="150"/>
      <c r="G709" s="149"/>
      <c r="H709" s="149"/>
      <c r="I709" s="149"/>
      <c r="J709" s="150"/>
      <c r="K709" s="150"/>
      <c r="L709" s="149"/>
      <c r="M709" s="149"/>
      <c r="N709" s="149"/>
      <c r="O709" s="150"/>
      <c r="P709" s="150"/>
      <c r="Q709" s="149"/>
      <c r="R709" s="149"/>
      <c r="S709" s="149"/>
      <c r="T709" s="150"/>
      <c r="U709" s="150"/>
      <c r="V709" s="150"/>
      <c r="W709" s="150"/>
      <c r="X709" s="150"/>
      <c r="Y709" s="150"/>
      <c r="Z709" s="150"/>
      <c r="AA709" s="150"/>
      <c r="AB709" s="150"/>
      <c r="AC709" s="149"/>
      <c r="AD709" s="149"/>
      <c r="AE709" s="149"/>
      <c r="AF709" s="150"/>
      <c r="AG709" s="150"/>
      <c r="AH709" s="149"/>
      <c r="AI709" s="149"/>
      <c r="AJ709" s="149"/>
      <c r="AK709" s="150"/>
      <c r="AL709" s="150"/>
      <c r="AM709" s="149"/>
      <c r="AN709" s="149"/>
      <c r="AO709" s="149"/>
      <c r="AP709" s="150"/>
      <c r="AQ709" s="150"/>
      <c r="AR709" s="150"/>
      <c r="AS709" s="150"/>
      <c r="AT709" s="150"/>
      <c r="AU709" s="150"/>
      <c r="AV709" s="150"/>
      <c r="AW709" s="150"/>
      <c r="AX709" s="150"/>
      <c r="AY709" s="151"/>
      <c r="AZ709" s="151"/>
      <c r="BA709" s="151"/>
      <c r="BB709" s="151"/>
      <c r="BC709" s="151"/>
      <c r="BD709" s="151"/>
      <c r="BE709" s="151"/>
      <c r="BF709" s="151"/>
      <c r="BG709" s="151"/>
      <c r="BH709" s="151"/>
      <c r="BI709" s="151"/>
    </row>
    <row r="710" spans="1:61" x14ac:dyDescent="0.25">
      <c r="A710" s="149"/>
      <c r="B710" s="149"/>
      <c r="C710" s="149"/>
      <c r="D710" s="149"/>
      <c r="E710" s="150"/>
      <c r="F710" s="150"/>
      <c r="G710" s="149"/>
      <c r="H710" s="149"/>
      <c r="I710" s="149"/>
      <c r="J710" s="150"/>
      <c r="K710" s="150"/>
      <c r="L710" s="149"/>
      <c r="M710" s="149"/>
      <c r="N710" s="149"/>
      <c r="O710" s="150"/>
      <c r="P710" s="150"/>
      <c r="Q710" s="149"/>
      <c r="R710" s="149"/>
      <c r="S710" s="149"/>
      <c r="T710" s="150"/>
      <c r="U710" s="150"/>
      <c r="V710" s="150"/>
      <c r="W710" s="150"/>
      <c r="X710" s="150"/>
      <c r="Y710" s="150"/>
      <c r="Z710" s="150"/>
      <c r="AA710" s="150"/>
      <c r="AB710" s="150"/>
      <c r="AC710" s="149"/>
      <c r="AD710" s="149"/>
      <c r="AE710" s="149"/>
      <c r="AF710" s="150"/>
      <c r="AG710" s="150"/>
      <c r="AH710" s="149"/>
      <c r="AI710" s="149"/>
      <c r="AJ710" s="149"/>
      <c r="AK710" s="150"/>
      <c r="AL710" s="150"/>
      <c r="AM710" s="149"/>
      <c r="AN710" s="149"/>
      <c r="AO710" s="149"/>
      <c r="AP710" s="150"/>
      <c r="AQ710" s="150"/>
      <c r="AR710" s="150"/>
      <c r="AS710" s="150"/>
      <c r="AT710" s="150"/>
      <c r="AU710" s="150"/>
      <c r="AV710" s="150"/>
      <c r="AW710" s="150"/>
      <c r="AX710" s="150"/>
      <c r="AY710" s="151"/>
      <c r="AZ710" s="151"/>
      <c r="BA710" s="151"/>
      <c r="BB710" s="151"/>
      <c r="BC710" s="151"/>
      <c r="BD710" s="151"/>
      <c r="BE710" s="151"/>
      <c r="BF710" s="151"/>
      <c r="BG710" s="151"/>
      <c r="BH710" s="151"/>
      <c r="BI710" s="151"/>
    </row>
    <row r="711" spans="1:61" x14ac:dyDescent="0.25">
      <c r="A711" s="149"/>
      <c r="B711" s="149"/>
      <c r="C711" s="149"/>
      <c r="D711" s="149"/>
      <c r="E711" s="150"/>
      <c r="F711" s="150"/>
      <c r="G711" s="149"/>
      <c r="H711" s="149"/>
      <c r="I711" s="149"/>
      <c r="J711" s="150"/>
      <c r="K711" s="150"/>
      <c r="L711" s="149"/>
      <c r="M711" s="149"/>
      <c r="N711" s="149"/>
      <c r="O711" s="150"/>
      <c r="P711" s="150"/>
      <c r="Q711" s="149"/>
      <c r="R711" s="149"/>
      <c r="S711" s="149"/>
      <c r="T711" s="150"/>
      <c r="U711" s="150"/>
      <c r="V711" s="150"/>
      <c r="W711" s="150"/>
      <c r="X711" s="150"/>
      <c r="Y711" s="150"/>
      <c r="Z711" s="150"/>
      <c r="AA711" s="150"/>
      <c r="AB711" s="150"/>
      <c r="AC711" s="149"/>
      <c r="AD711" s="149"/>
      <c r="AE711" s="149"/>
      <c r="AF711" s="150"/>
      <c r="AG711" s="150"/>
      <c r="AH711" s="149"/>
      <c r="AI711" s="149"/>
      <c r="AJ711" s="149"/>
      <c r="AK711" s="150"/>
      <c r="AL711" s="150"/>
      <c r="AM711" s="149"/>
      <c r="AN711" s="149"/>
      <c r="AO711" s="149"/>
      <c r="AP711" s="150"/>
      <c r="AQ711" s="150"/>
      <c r="AR711" s="150"/>
      <c r="AS711" s="150"/>
      <c r="AT711" s="150"/>
      <c r="AU711" s="150"/>
      <c r="AV711" s="150"/>
      <c r="AW711" s="150"/>
      <c r="AX711" s="150"/>
      <c r="AY711" s="151"/>
      <c r="AZ711" s="151"/>
      <c r="BA711" s="151"/>
      <c r="BB711" s="151"/>
      <c r="BC711" s="151"/>
      <c r="BD711" s="151"/>
      <c r="BE711" s="151"/>
      <c r="BF711" s="151"/>
      <c r="BG711" s="151"/>
      <c r="BH711" s="151"/>
      <c r="BI711" s="151"/>
    </row>
    <row r="712" spans="1:61" x14ac:dyDescent="0.25">
      <c r="A712" s="149"/>
      <c r="B712" s="149"/>
      <c r="C712" s="149"/>
      <c r="D712" s="149"/>
      <c r="E712" s="150"/>
      <c r="F712" s="150"/>
      <c r="G712" s="149"/>
      <c r="H712" s="149"/>
      <c r="I712" s="149"/>
      <c r="J712" s="150"/>
      <c r="K712" s="150"/>
      <c r="L712" s="149"/>
      <c r="M712" s="149"/>
      <c r="N712" s="149"/>
      <c r="O712" s="150"/>
      <c r="P712" s="150"/>
      <c r="Q712" s="149"/>
      <c r="R712" s="149"/>
      <c r="S712" s="149"/>
      <c r="T712" s="150"/>
      <c r="U712" s="150"/>
      <c r="V712" s="150"/>
      <c r="W712" s="150"/>
      <c r="X712" s="150"/>
      <c r="Y712" s="150"/>
      <c r="Z712" s="150"/>
      <c r="AA712" s="150"/>
      <c r="AB712" s="150"/>
      <c r="AC712" s="149"/>
      <c r="AD712" s="149"/>
      <c r="AE712" s="149"/>
      <c r="AF712" s="150"/>
      <c r="AG712" s="150"/>
      <c r="AH712" s="149"/>
      <c r="AI712" s="149"/>
      <c r="AJ712" s="149"/>
      <c r="AK712" s="150"/>
      <c r="AL712" s="150"/>
      <c r="AM712" s="149"/>
      <c r="AN712" s="149"/>
      <c r="AO712" s="149"/>
      <c r="AP712" s="150"/>
      <c r="AQ712" s="150"/>
      <c r="AR712" s="150"/>
      <c r="AS712" s="150"/>
      <c r="AT712" s="150"/>
      <c r="AU712" s="150"/>
      <c r="AV712" s="150"/>
      <c r="AW712" s="150"/>
      <c r="AX712" s="150"/>
      <c r="AY712" s="151"/>
      <c r="AZ712" s="151"/>
      <c r="BA712" s="151"/>
      <c r="BB712" s="151"/>
      <c r="BC712" s="151"/>
      <c r="BD712" s="151"/>
      <c r="BE712" s="151"/>
      <c r="BF712" s="151"/>
      <c r="BG712" s="151"/>
      <c r="BH712" s="151"/>
      <c r="BI712" s="151"/>
    </row>
    <row r="713" spans="1:61" x14ac:dyDescent="0.25">
      <c r="A713" s="149"/>
      <c r="B713" s="149"/>
      <c r="C713" s="149"/>
      <c r="D713" s="149"/>
      <c r="E713" s="150"/>
      <c r="F713" s="150"/>
      <c r="G713" s="149"/>
      <c r="H713" s="149"/>
      <c r="I713" s="149"/>
      <c r="J713" s="150"/>
      <c r="K713" s="150"/>
      <c r="L713" s="149"/>
      <c r="M713" s="149"/>
      <c r="N713" s="149"/>
      <c r="O713" s="150"/>
      <c r="P713" s="150"/>
      <c r="Q713" s="149"/>
      <c r="R713" s="149"/>
      <c r="S713" s="149"/>
      <c r="T713" s="150"/>
      <c r="U713" s="150"/>
      <c r="V713" s="150"/>
      <c r="W713" s="150"/>
      <c r="X713" s="150"/>
      <c r="Y713" s="150"/>
      <c r="Z713" s="150"/>
      <c r="AA713" s="150"/>
      <c r="AB713" s="150"/>
      <c r="AC713" s="149"/>
      <c r="AD713" s="149"/>
      <c r="AE713" s="149"/>
      <c r="AF713" s="150"/>
      <c r="AG713" s="150"/>
      <c r="AH713" s="149"/>
      <c r="AI713" s="149"/>
      <c r="AJ713" s="149"/>
      <c r="AK713" s="150"/>
      <c r="AL713" s="150"/>
      <c r="AM713" s="149"/>
      <c r="AN713" s="149"/>
      <c r="AO713" s="149"/>
      <c r="AP713" s="150"/>
      <c r="AQ713" s="150"/>
      <c r="AR713" s="150"/>
      <c r="AS713" s="150"/>
      <c r="AT713" s="150"/>
      <c r="AU713" s="150"/>
      <c r="AV713" s="150"/>
      <c r="AW713" s="150"/>
      <c r="AX713" s="150"/>
      <c r="AY713" s="151"/>
      <c r="AZ713" s="151"/>
      <c r="BA713" s="151"/>
      <c r="BB713" s="151"/>
      <c r="BC713" s="151"/>
      <c r="BD713" s="151"/>
      <c r="BE713" s="151"/>
      <c r="BF713" s="151"/>
      <c r="BG713" s="151"/>
      <c r="BH713" s="151"/>
      <c r="BI713" s="151"/>
    </row>
    <row r="714" spans="1:61" x14ac:dyDescent="0.25">
      <c r="A714" s="149"/>
      <c r="B714" s="149"/>
      <c r="C714" s="149"/>
      <c r="D714" s="149"/>
      <c r="E714" s="150"/>
      <c r="F714" s="150"/>
      <c r="G714" s="149"/>
      <c r="H714" s="149"/>
      <c r="I714" s="149"/>
      <c r="J714" s="150"/>
      <c r="K714" s="150"/>
      <c r="L714" s="149"/>
      <c r="M714" s="149"/>
      <c r="N714" s="149"/>
      <c r="O714" s="150"/>
      <c r="P714" s="150"/>
      <c r="Q714" s="149"/>
      <c r="R714" s="149"/>
      <c r="S714" s="149"/>
      <c r="T714" s="150"/>
      <c r="U714" s="150"/>
      <c r="V714" s="150"/>
      <c r="W714" s="150"/>
      <c r="X714" s="150"/>
      <c r="Y714" s="150"/>
      <c r="Z714" s="150"/>
      <c r="AA714" s="150"/>
      <c r="AB714" s="150"/>
      <c r="AC714" s="149"/>
      <c r="AD714" s="149"/>
      <c r="AE714" s="149"/>
      <c r="AF714" s="150"/>
      <c r="AG714" s="150"/>
      <c r="AH714" s="149"/>
      <c r="AI714" s="149"/>
      <c r="AJ714" s="149"/>
      <c r="AK714" s="150"/>
      <c r="AL714" s="150"/>
      <c r="AM714" s="149"/>
      <c r="AN714" s="149"/>
      <c r="AO714" s="149"/>
      <c r="AP714" s="150"/>
      <c r="AQ714" s="150"/>
      <c r="AR714" s="150"/>
      <c r="AS714" s="150"/>
      <c r="AT714" s="150"/>
      <c r="AU714" s="150"/>
      <c r="AV714" s="150"/>
      <c r="AW714" s="150"/>
      <c r="AX714" s="150"/>
      <c r="AY714" s="151"/>
      <c r="AZ714" s="151"/>
      <c r="BA714" s="151"/>
      <c r="BB714" s="151"/>
      <c r="BC714" s="151"/>
      <c r="BD714" s="151"/>
      <c r="BE714" s="151"/>
      <c r="BF714" s="151"/>
      <c r="BG714" s="151"/>
      <c r="BH714" s="151"/>
      <c r="BI714" s="151"/>
    </row>
    <row r="715" spans="1:61" x14ac:dyDescent="0.25">
      <c r="A715" s="149"/>
      <c r="B715" s="149"/>
      <c r="C715" s="149"/>
      <c r="D715" s="149"/>
      <c r="E715" s="150"/>
      <c r="F715" s="150"/>
      <c r="G715" s="149"/>
      <c r="H715" s="149"/>
      <c r="I715" s="149"/>
      <c r="J715" s="150"/>
      <c r="K715" s="150"/>
      <c r="L715" s="149"/>
      <c r="M715" s="149"/>
      <c r="N715" s="149"/>
      <c r="O715" s="150"/>
      <c r="P715" s="150"/>
      <c r="Q715" s="149"/>
      <c r="R715" s="149"/>
      <c r="S715" s="149"/>
      <c r="T715" s="150"/>
      <c r="U715" s="150"/>
      <c r="V715" s="150"/>
      <c r="W715" s="150"/>
      <c r="X715" s="150"/>
      <c r="Y715" s="150"/>
      <c r="Z715" s="150"/>
      <c r="AA715" s="150"/>
      <c r="AB715" s="150"/>
      <c r="AC715" s="149"/>
      <c r="AD715" s="149"/>
      <c r="AE715" s="149"/>
      <c r="AF715" s="150"/>
      <c r="AG715" s="150"/>
      <c r="AH715" s="149"/>
      <c r="AI715" s="149"/>
      <c r="AJ715" s="149"/>
      <c r="AK715" s="150"/>
      <c r="AL715" s="150"/>
      <c r="AM715" s="149"/>
      <c r="AN715" s="149"/>
      <c r="AO715" s="149"/>
      <c r="AP715" s="150"/>
      <c r="AQ715" s="150"/>
      <c r="AR715" s="150"/>
      <c r="AS715" s="150"/>
      <c r="AT715" s="150"/>
      <c r="AU715" s="150"/>
      <c r="AV715" s="150"/>
      <c r="AW715" s="150"/>
      <c r="AX715" s="150"/>
      <c r="AY715" s="151"/>
      <c r="AZ715" s="151"/>
      <c r="BA715" s="151"/>
      <c r="BB715" s="151"/>
      <c r="BC715" s="151"/>
      <c r="BD715" s="151"/>
      <c r="BE715" s="151"/>
      <c r="BF715" s="151"/>
      <c r="BG715" s="151"/>
      <c r="BH715" s="151"/>
      <c r="BI715" s="151"/>
    </row>
    <row r="716" spans="1:61" x14ac:dyDescent="0.25">
      <c r="A716" s="149"/>
      <c r="B716" s="149"/>
      <c r="C716" s="149"/>
      <c r="D716" s="149"/>
      <c r="E716" s="150"/>
      <c r="F716" s="150"/>
      <c r="G716" s="149"/>
      <c r="H716" s="149"/>
      <c r="I716" s="149"/>
      <c r="J716" s="150"/>
      <c r="K716" s="150"/>
      <c r="L716" s="149"/>
      <c r="M716" s="149"/>
      <c r="N716" s="149"/>
      <c r="O716" s="150"/>
      <c r="P716" s="150"/>
      <c r="Q716" s="149"/>
      <c r="R716" s="149"/>
      <c r="S716" s="149"/>
      <c r="T716" s="150"/>
      <c r="U716" s="150"/>
      <c r="V716" s="150"/>
      <c r="W716" s="150"/>
      <c r="X716" s="150"/>
      <c r="Y716" s="150"/>
      <c r="Z716" s="150"/>
      <c r="AA716" s="150"/>
      <c r="AB716" s="150"/>
      <c r="AC716" s="149"/>
      <c r="AD716" s="149"/>
      <c r="AE716" s="149"/>
      <c r="AF716" s="150"/>
      <c r="AG716" s="150"/>
      <c r="AH716" s="149"/>
      <c r="AI716" s="149"/>
      <c r="AJ716" s="149"/>
      <c r="AK716" s="150"/>
      <c r="AL716" s="150"/>
      <c r="AM716" s="149"/>
      <c r="AN716" s="149"/>
      <c r="AO716" s="149"/>
      <c r="AP716" s="150"/>
      <c r="AQ716" s="150"/>
      <c r="AR716" s="150"/>
      <c r="AS716" s="150"/>
      <c r="AT716" s="150"/>
      <c r="AU716" s="150"/>
      <c r="AV716" s="150"/>
      <c r="AW716" s="150"/>
      <c r="AX716" s="150"/>
      <c r="AY716" s="151"/>
      <c r="AZ716" s="151"/>
      <c r="BA716" s="151"/>
      <c r="BB716" s="151"/>
      <c r="BC716" s="151"/>
      <c r="BD716" s="151"/>
      <c r="BE716" s="151"/>
      <c r="BF716" s="151"/>
      <c r="BG716" s="151"/>
      <c r="BH716" s="151"/>
      <c r="BI716" s="151"/>
    </row>
    <row r="717" spans="1:61" x14ac:dyDescent="0.25">
      <c r="A717" s="149"/>
      <c r="B717" s="149"/>
      <c r="C717" s="149"/>
      <c r="D717" s="149"/>
      <c r="E717" s="150"/>
      <c r="F717" s="150"/>
      <c r="G717" s="149"/>
      <c r="H717" s="149"/>
      <c r="I717" s="149"/>
      <c r="J717" s="150"/>
      <c r="K717" s="150"/>
      <c r="L717" s="149"/>
      <c r="M717" s="149"/>
      <c r="N717" s="149"/>
      <c r="O717" s="150"/>
      <c r="P717" s="150"/>
      <c r="Q717" s="149"/>
      <c r="R717" s="149"/>
      <c r="S717" s="149"/>
      <c r="T717" s="150"/>
      <c r="U717" s="150"/>
      <c r="V717" s="150"/>
      <c r="W717" s="150"/>
      <c r="X717" s="150"/>
      <c r="Y717" s="150"/>
      <c r="Z717" s="150"/>
      <c r="AA717" s="150"/>
      <c r="AB717" s="150"/>
      <c r="AC717" s="149"/>
      <c r="AD717" s="149"/>
      <c r="AE717" s="149"/>
      <c r="AF717" s="150"/>
      <c r="AG717" s="150"/>
      <c r="AH717" s="149"/>
      <c r="AI717" s="149"/>
      <c r="AJ717" s="149"/>
      <c r="AK717" s="150"/>
      <c r="AL717" s="150"/>
      <c r="AM717" s="149"/>
      <c r="AN717" s="149"/>
      <c r="AO717" s="149"/>
      <c r="AP717" s="150"/>
      <c r="AQ717" s="150"/>
      <c r="AR717" s="150"/>
      <c r="AS717" s="150"/>
      <c r="AT717" s="150"/>
      <c r="AU717" s="150"/>
      <c r="AV717" s="150"/>
      <c r="AW717" s="150"/>
      <c r="AX717" s="150"/>
      <c r="AY717" s="151"/>
      <c r="AZ717" s="151"/>
      <c r="BA717" s="151"/>
      <c r="BB717" s="151"/>
      <c r="BC717" s="151"/>
      <c r="BD717" s="151"/>
      <c r="BE717" s="151"/>
      <c r="BF717" s="151"/>
      <c r="BG717" s="151"/>
      <c r="BH717" s="151"/>
      <c r="BI717" s="151"/>
    </row>
    <row r="718" spans="1:61" x14ac:dyDescent="0.25">
      <c r="A718" s="149"/>
      <c r="B718" s="149"/>
      <c r="C718" s="149"/>
      <c r="D718" s="149"/>
      <c r="E718" s="150"/>
      <c r="F718" s="150"/>
      <c r="G718" s="149"/>
      <c r="H718" s="149"/>
      <c r="I718" s="149"/>
      <c r="J718" s="150"/>
      <c r="K718" s="150"/>
      <c r="L718" s="149"/>
      <c r="M718" s="149"/>
      <c r="N718" s="149"/>
      <c r="O718" s="150"/>
      <c r="P718" s="150"/>
      <c r="Q718" s="149"/>
      <c r="R718" s="149"/>
      <c r="S718" s="149"/>
      <c r="T718" s="150"/>
      <c r="U718" s="150"/>
      <c r="V718" s="150"/>
      <c r="W718" s="150"/>
      <c r="X718" s="150"/>
      <c r="Y718" s="150"/>
      <c r="Z718" s="150"/>
      <c r="AA718" s="150"/>
      <c r="AB718" s="150"/>
      <c r="AC718" s="149"/>
      <c r="AD718" s="149"/>
      <c r="AE718" s="149"/>
      <c r="AF718" s="150"/>
      <c r="AG718" s="150"/>
      <c r="AH718" s="149"/>
      <c r="AI718" s="149"/>
      <c r="AJ718" s="149"/>
      <c r="AK718" s="150"/>
      <c r="AL718" s="150"/>
      <c r="AM718" s="149"/>
      <c r="AN718" s="149"/>
      <c r="AO718" s="149"/>
      <c r="AP718" s="150"/>
      <c r="AQ718" s="150"/>
      <c r="AR718" s="150"/>
      <c r="AS718" s="150"/>
      <c r="AT718" s="150"/>
      <c r="AU718" s="150"/>
      <c r="AV718" s="150"/>
      <c r="AW718" s="150"/>
      <c r="AX718" s="150"/>
      <c r="AY718" s="151"/>
      <c r="AZ718" s="151"/>
      <c r="BA718" s="151"/>
      <c r="BB718" s="151"/>
      <c r="BC718" s="151"/>
      <c r="BD718" s="151"/>
      <c r="BE718" s="151"/>
      <c r="BF718" s="151"/>
      <c r="BG718" s="151"/>
      <c r="BH718" s="151"/>
      <c r="BI718" s="151"/>
    </row>
    <row r="719" spans="1:61" x14ac:dyDescent="0.25">
      <c r="A719" s="149"/>
      <c r="B719" s="149"/>
      <c r="C719" s="149"/>
      <c r="D719" s="149"/>
      <c r="E719" s="150"/>
      <c r="F719" s="150"/>
      <c r="G719" s="149"/>
      <c r="H719" s="149"/>
      <c r="I719" s="149"/>
      <c r="J719" s="150"/>
      <c r="K719" s="150"/>
      <c r="L719" s="149"/>
      <c r="M719" s="149"/>
      <c r="N719" s="149"/>
      <c r="O719" s="150"/>
      <c r="P719" s="150"/>
      <c r="Q719" s="149"/>
      <c r="R719" s="149"/>
      <c r="S719" s="149"/>
      <c r="T719" s="150"/>
      <c r="U719" s="150"/>
      <c r="V719" s="150"/>
      <c r="W719" s="150"/>
      <c r="X719" s="150"/>
      <c r="Y719" s="150"/>
      <c r="Z719" s="150"/>
      <c r="AA719" s="150"/>
      <c r="AB719" s="150"/>
      <c r="AC719" s="149"/>
      <c r="AD719" s="149"/>
      <c r="AE719" s="149"/>
      <c r="AF719" s="150"/>
      <c r="AG719" s="150"/>
      <c r="AH719" s="149"/>
      <c r="AI719" s="149"/>
      <c r="AJ719" s="149"/>
      <c r="AK719" s="150"/>
      <c r="AL719" s="150"/>
      <c r="AM719" s="149"/>
      <c r="AN719" s="149"/>
      <c r="AO719" s="149"/>
      <c r="AP719" s="150"/>
      <c r="AQ719" s="150"/>
      <c r="AR719" s="150"/>
      <c r="AS719" s="150"/>
      <c r="AT719" s="150"/>
      <c r="AU719" s="150"/>
      <c r="AV719" s="150"/>
      <c r="AW719" s="150"/>
      <c r="AX719" s="150"/>
      <c r="AY719" s="151"/>
      <c r="AZ719" s="151"/>
      <c r="BA719" s="151"/>
      <c r="BB719" s="151"/>
      <c r="BC719" s="151"/>
      <c r="BD719" s="151"/>
      <c r="BE719" s="151"/>
      <c r="BF719" s="151"/>
      <c r="BG719" s="151"/>
      <c r="BH719" s="151"/>
      <c r="BI719" s="151"/>
    </row>
    <row r="720" spans="1:61" x14ac:dyDescent="0.25">
      <c r="A720" s="149"/>
      <c r="B720" s="149"/>
      <c r="C720" s="149"/>
      <c r="D720" s="149"/>
      <c r="E720" s="150"/>
      <c r="F720" s="150"/>
      <c r="G720" s="149"/>
      <c r="H720" s="149"/>
      <c r="I720" s="149"/>
      <c r="J720" s="150"/>
      <c r="K720" s="150"/>
      <c r="L720" s="149"/>
      <c r="M720" s="149"/>
      <c r="N720" s="149"/>
      <c r="O720" s="150"/>
      <c r="P720" s="150"/>
      <c r="Q720" s="149"/>
      <c r="R720" s="149"/>
      <c r="S720" s="149"/>
      <c r="T720" s="150"/>
      <c r="U720" s="150"/>
      <c r="V720" s="150"/>
      <c r="W720" s="150"/>
      <c r="X720" s="150"/>
      <c r="Y720" s="150"/>
      <c r="Z720" s="150"/>
      <c r="AA720" s="150"/>
      <c r="AB720" s="150"/>
      <c r="AC720" s="149"/>
      <c r="AD720" s="149"/>
      <c r="AE720" s="149"/>
      <c r="AF720" s="150"/>
      <c r="AG720" s="150"/>
      <c r="AH720" s="149"/>
      <c r="AI720" s="149"/>
      <c r="AJ720" s="149"/>
      <c r="AK720" s="150"/>
      <c r="AL720" s="150"/>
      <c r="AM720" s="149"/>
      <c r="AN720" s="149"/>
      <c r="AO720" s="149"/>
      <c r="AP720" s="150"/>
      <c r="AQ720" s="150"/>
      <c r="AR720" s="150"/>
      <c r="AS720" s="150"/>
      <c r="AT720" s="150"/>
      <c r="AU720" s="150"/>
      <c r="AV720" s="150"/>
      <c r="AW720" s="150"/>
      <c r="AX720" s="150"/>
      <c r="AY720" s="151"/>
      <c r="AZ720" s="151"/>
      <c r="BA720" s="151"/>
      <c r="BB720" s="151"/>
      <c r="BC720" s="151"/>
      <c r="BD720" s="151"/>
      <c r="BE720" s="151"/>
      <c r="BF720" s="151"/>
      <c r="BG720" s="151"/>
      <c r="BH720" s="151"/>
      <c r="BI720" s="151"/>
    </row>
    <row r="721" spans="1:61" x14ac:dyDescent="0.25">
      <c r="A721" s="149"/>
      <c r="B721" s="149"/>
      <c r="C721" s="149"/>
      <c r="D721" s="149"/>
      <c r="E721" s="150"/>
      <c r="F721" s="150"/>
      <c r="G721" s="149"/>
      <c r="H721" s="149"/>
      <c r="I721" s="149"/>
      <c r="J721" s="150"/>
      <c r="K721" s="150"/>
      <c r="L721" s="149"/>
      <c r="M721" s="149"/>
      <c r="N721" s="149"/>
      <c r="O721" s="150"/>
      <c r="P721" s="150"/>
      <c r="Q721" s="149"/>
      <c r="R721" s="149"/>
      <c r="S721" s="149"/>
      <c r="T721" s="150"/>
      <c r="U721" s="150"/>
      <c r="V721" s="150"/>
      <c r="W721" s="150"/>
      <c r="X721" s="150"/>
      <c r="Y721" s="150"/>
      <c r="Z721" s="150"/>
      <c r="AA721" s="150"/>
      <c r="AB721" s="150"/>
      <c r="AC721" s="149"/>
      <c r="AD721" s="149"/>
      <c r="AE721" s="149"/>
      <c r="AF721" s="150"/>
      <c r="AG721" s="150"/>
      <c r="AH721" s="149"/>
      <c r="AI721" s="149"/>
      <c r="AJ721" s="149"/>
      <c r="AK721" s="150"/>
      <c r="AL721" s="150"/>
      <c r="AM721" s="149"/>
      <c r="AN721" s="149"/>
      <c r="AO721" s="149"/>
      <c r="AP721" s="150"/>
      <c r="AQ721" s="150"/>
      <c r="AR721" s="150"/>
      <c r="AS721" s="150"/>
      <c r="AT721" s="150"/>
      <c r="AU721" s="150"/>
      <c r="AV721" s="150"/>
      <c r="AW721" s="150"/>
      <c r="AX721" s="150"/>
      <c r="AY721" s="151"/>
      <c r="AZ721" s="151"/>
      <c r="BA721" s="151"/>
      <c r="BB721" s="151"/>
      <c r="BC721" s="151"/>
      <c r="BD721" s="151"/>
      <c r="BE721" s="151"/>
      <c r="BF721" s="151"/>
      <c r="BG721" s="151"/>
      <c r="BH721" s="151"/>
      <c r="BI721" s="151"/>
    </row>
    <row r="722" spans="1:61" x14ac:dyDescent="0.25">
      <c r="A722" s="149"/>
      <c r="B722" s="149"/>
      <c r="C722" s="149"/>
      <c r="D722" s="149"/>
      <c r="E722" s="150"/>
      <c r="F722" s="150"/>
      <c r="G722" s="149"/>
      <c r="H722" s="149"/>
      <c r="I722" s="149"/>
      <c r="J722" s="150"/>
      <c r="K722" s="150"/>
      <c r="L722" s="149"/>
      <c r="M722" s="149"/>
      <c r="N722" s="149"/>
      <c r="O722" s="150"/>
      <c r="P722" s="150"/>
      <c r="Q722" s="149"/>
      <c r="R722" s="149"/>
      <c r="S722" s="149"/>
      <c r="T722" s="150"/>
      <c r="U722" s="150"/>
      <c r="V722" s="150"/>
      <c r="W722" s="150"/>
      <c r="X722" s="150"/>
      <c r="Y722" s="150"/>
      <c r="Z722" s="150"/>
      <c r="AA722" s="150"/>
      <c r="AB722" s="150"/>
      <c r="AC722" s="149"/>
      <c r="AD722" s="149"/>
      <c r="AE722" s="149"/>
      <c r="AF722" s="150"/>
      <c r="AG722" s="150"/>
      <c r="AH722" s="149"/>
      <c r="AI722" s="149"/>
      <c r="AJ722" s="149"/>
      <c r="AK722" s="150"/>
      <c r="AL722" s="150"/>
      <c r="AM722" s="149"/>
      <c r="AN722" s="149"/>
      <c r="AO722" s="149"/>
      <c r="AP722" s="150"/>
      <c r="AQ722" s="150"/>
      <c r="AR722" s="150"/>
      <c r="AS722" s="150"/>
      <c r="AT722" s="150"/>
      <c r="AU722" s="150"/>
      <c r="AV722" s="150"/>
      <c r="AW722" s="150"/>
      <c r="AX722" s="150"/>
      <c r="AY722" s="151"/>
      <c r="AZ722" s="151"/>
      <c r="BA722" s="151"/>
      <c r="BB722" s="151"/>
      <c r="BC722" s="151"/>
      <c r="BD722" s="151"/>
      <c r="BE722" s="151"/>
      <c r="BF722" s="151"/>
      <c r="BG722" s="151"/>
      <c r="BH722" s="151"/>
      <c r="BI722" s="151"/>
    </row>
    <row r="723" spans="1:61" x14ac:dyDescent="0.25">
      <c r="A723" s="149"/>
      <c r="B723" s="149"/>
      <c r="C723" s="149"/>
      <c r="D723" s="149"/>
      <c r="E723" s="150"/>
      <c r="F723" s="150"/>
      <c r="G723" s="149"/>
      <c r="H723" s="149"/>
      <c r="I723" s="149"/>
      <c r="J723" s="150"/>
      <c r="K723" s="150"/>
      <c r="L723" s="149"/>
      <c r="M723" s="149"/>
      <c r="N723" s="149"/>
      <c r="O723" s="150"/>
      <c r="P723" s="150"/>
      <c r="Q723" s="149"/>
      <c r="R723" s="149"/>
      <c r="S723" s="149"/>
      <c r="T723" s="150"/>
      <c r="U723" s="150"/>
      <c r="V723" s="150"/>
      <c r="W723" s="150"/>
      <c r="X723" s="150"/>
      <c r="Y723" s="150"/>
      <c r="Z723" s="150"/>
      <c r="AA723" s="150"/>
      <c r="AB723" s="150"/>
      <c r="AC723" s="149"/>
      <c r="AD723" s="149"/>
      <c r="AE723" s="149"/>
      <c r="AF723" s="150"/>
      <c r="AG723" s="150"/>
      <c r="AH723" s="149"/>
      <c r="AI723" s="149"/>
      <c r="AJ723" s="149"/>
      <c r="AK723" s="150"/>
      <c r="AL723" s="150"/>
      <c r="AM723" s="149"/>
      <c r="AN723" s="149"/>
      <c r="AO723" s="149"/>
      <c r="AP723" s="150"/>
      <c r="AQ723" s="150"/>
      <c r="AR723" s="150"/>
      <c r="AS723" s="150"/>
      <c r="AT723" s="150"/>
      <c r="AU723" s="150"/>
      <c r="AV723" s="150"/>
      <c r="AW723" s="150"/>
      <c r="AX723" s="150"/>
      <c r="AY723" s="151"/>
      <c r="AZ723" s="151"/>
      <c r="BA723" s="151"/>
      <c r="BB723" s="151"/>
      <c r="BC723" s="151"/>
      <c r="BD723" s="151"/>
      <c r="BE723" s="151"/>
      <c r="BF723" s="151"/>
      <c r="BG723" s="151"/>
      <c r="BH723" s="151"/>
      <c r="BI723" s="151"/>
    </row>
    <row r="724" spans="1:61" x14ac:dyDescent="0.25">
      <c r="A724" s="149"/>
      <c r="B724" s="149"/>
      <c r="C724" s="149"/>
      <c r="D724" s="149"/>
      <c r="E724" s="150"/>
      <c r="F724" s="150"/>
      <c r="G724" s="149"/>
      <c r="H724" s="149"/>
      <c r="I724" s="149"/>
      <c r="J724" s="150"/>
      <c r="K724" s="150"/>
      <c r="L724" s="149"/>
      <c r="M724" s="149"/>
      <c r="N724" s="149"/>
      <c r="O724" s="150"/>
      <c r="P724" s="150"/>
      <c r="Q724" s="149"/>
      <c r="R724" s="149"/>
      <c r="S724" s="149"/>
      <c r="T724" s="150"/>
      <c r="U724" s="150"/>
      <c r="V724" s="150"/>
      <c r="W724" s="150"/>
      <c r="X724" s="150"/>
      <c r="Y724" s="150"/>
      <c r="Z724" s="150"/>
      <c r="AA724" s="150"/>
      <c r="AB724" s="150"/>
      <c r="AC724" s="149"/>
      <c r="AD724" s="149"/>
      <c r="AE724" s="149"/>
      <c r="AF724" s="150"/>
      <c r="AG724" s="150"/>
      <c r="AH724" s="149"/>
      <c r="AI724" s="149"/>
      <c r="AJ724" s="149"/>
      <c r="AK724" s="150"/>
      <c r="AL724" s="150"/>
      <c r="AM724" s="149"/>
      <c r="AN724" s="149"/>
      <c r="AO724" s="149"/>
      <c r="AP724" s="150"/>
      <c r="AQ724" s="150"/>
      <c r="AR724" s="150"/>
      <c r="AS724" s="150"/>
      <c r="AT724" s="150"/>
      <c r="AU724" s="150"/>
      <c r="AV724" s="150"/>
      <c r="AW724" s="150"/>
      <c r="AX724" s="150"/>
      <c r="AY724" s="151"/>
      <c r="AZ724" s="151"/>
      <c r="BA724" s="151"/>
      <c r="BB724" s="151"/>
      <c r="BC724" s="151"/>
      <c r="BD724" s="151"/>
      <c r="BE724" s="151"/>
      <c r="BF724" s="151"/>
      <c r="BG724" s="151"/>
      <c r="BH724" s="151"/>
      <c r="BI724" s="151"/>
    </row>
    <row r="725" spans="1:61" x14ac:dyDescent="0.25">
      <c r="A725" s="149"/>
      <c r="B725" s="149"/>
      <c r="C725" s="149"/>
      <c r="D725" s="149"/>
      <c r="E725" s="150"/>
      <c r="F725" s="150"/>
      <c r="G725" s="149"/>
      <c r="H725" s="149"/>
      <c r="I725" s="149"/>
      <c r="J725" s="150"/>
      <c r="K725" s="150"/>
      <c r="L725" s="149"/>
      <c r="M725" s="149"/>
      <c r="N725" s="149"/>
      <c r="O725" s="150"/>
      <c r="P725" s="150"/>
      <c r="Q725" s="149"/>
      <c r="R725" s="149"/>
      <c r="S725" s="149"/>
      <c r="T725" s="150"/>
      <c r="U725" s="150"/>
      <c r="V725" s="150"/>
      <c r="W725" s="150"/>
      <c r="X725" s="150"/>
      <c r="Y725" s="150"/>
      <c r="Z725" s="150"/>
      <c r="AA725" s="150"/>
      <c r="AB725" s="150"/>
      <c r="AC725" s="149"/>
      <c r="AD725" s="149"/>
      <c r="AE725" s="149"/>
      <c r="AF725" s="150"/>
      <c r="AG725" s="150"/>
      <c r="AH725" s="149"/>
      <c r="AI725" s="149"/>
      <c r="AJ725" s="149"/>
      <c r="AK725" s="150"/>
      <c r="AL725" s="150"/>
      <c r="AM725" s="149"/>
      <c r="AN725" s="149"/>
      <c r="AO725" s="149"/>
      <c r="AP725" s="150"/>
      <c r="AQ725" s="150"/>
      <c r="AR725" s="150"/>
      <c r="AS725" s="150"/>
      <c r="AT725" s="150"/>
      <c r="AU725" s="150"/>
      <c r="AV725" s="150"/>
      <c r="AW725" s="150"/>
      <c r="AX725" s="150"/>
      <c r="AY725" s="151"/>
      <c r="AZ725" s="151"/>
      <c r="BA725" s="151"/>
      <c r="BB725" s="151"/>
      <c r="BC725" s="151"/>
      <c r="BD725" s="151"/>
      <c r="BE725" s="151"/>
      <c r="BF725" s="151"/>
      <c r="BG725" s="151"/>
      <c r="BH725" s="151"/>
      <c r="BI725" s="151"/>
    </row>
    <row r="726" spans="1:61" x14ac:dyDescent="0.25">
      <c r="A726" s="149"/>
      <c r="B726" s="149"/>
      <c r="C726" s="149"/>
      <c r="D726" s="149"/>
      <c r="E726" s="150"/>
      <c r="F726" s="150"/>
      <c r="G726" s="149"/>
      <c r="H726" s="149"/>
      <c r="I726" s="149"/>
      <c r="J726" s="150"/>
      <c r="K726" s="150"/>
      <c r="L726" s="149"/>
      <c r="M726" s="149"/>
      <c r="N726" s="149"/>
      <c r="O726" s="150"/>
      <c r="P726" s="150"/>
      <c r="Q726" s="149"/>
      <c r="R726" s="149"/>
      <c r="S726" s="149"/>
      <c r="T726" s="150"/>
      <c r="U726" s="150"/>
      <c r="V726" s="150"/>
      <c r="W726" s="150"/>
      <c r="X726" s="150"/>
      <c r="Y726" s="150"/>
      <c r="Z726" s="150"/>
      <c r="AA726" s="150"/>
      <c r="AB726" s="150"/>
      <c r="AC726" s="149"/>
      <c r="AD726" s="149"/>
      <c r="AE726" s="149"/>
      <c r="AF726" s="150"/>
      <c r="AG726" s="150"/>
      <c r="AH726" s="149"/>
      <c r="AI726" s="149"/>
      <c r="AJ726" s="149"/>
      <c r="AK726" s="150"/>
      <c r="AL726" s="150"/>
      <c r="AM726" s="149"/>
      <c r="AN726" s="149"/>
      <c r="AO726" s="149"/>
      <c r="AP726" s="150"/>
      <c r="AQ726" s="150"/>
      <c r="AR726" s="150"/>
      <c r="AS726" s="150"/>
      <c r="AT726" s="150"/>
      <c r="AU726" s="150"/>
      <c r="AV726" s="150"/>
      <c r="AW726" s="150"/>
      <c r="AX726" s="150"/>
      <c r="AY726" s="151"/>
      <c r="AZ726" s="151"/>
      <c r="BA726" s="151"/>
      <c r="BB726" s="151"/>
      <c r="BC726" s="151"/>
      <c r="BD726" s="151"/>
      <c r="BE726" s="151"/>
      <c r="BF726" s="151"/>
      <c r="BG726" s="151"/>
      <c r="BH726" s="151"/>
      <c r="BI726" s="151"/>
    </row>
    <row r="727" spans="1:61" x14ac:dyDescent="0.25">
      <c r="A727" s="149"/>
      <c r="B727" s="149"/>
      <c r="C727" s="149"/>
      <c r="D727" s="149"/>
      <c r="E727" s="150"/>
      <c r="F727" s="150"/>
      <c r="G727" s="149"/>
      <c r="H727" s="149"/>
      <c r="I727" s="149"/>
      <c r="J727" s="150"/>
      <c r="K727" s="150"/>
      <c r="L727" s="149"/>
      <c r="M727" s="149"/>
      <c r="N727" s="149"/>
      <c r="O727" s="150"/>
      <c r="P727" s="150"/>
      <c r="Q727" s="149"/>
      <c r="R727" s="149"/>
      <c r="S727" s="149"/>
      <c r="T727" s="150"/>
      <c r="U727" s="150"/>
      <c r="V727" s="150"/>
      <c r="W727" s="150"/>
      <c r="X727" s="150"/>
      <c r="Y727" s="150"/>
      <c r="Z727" s="150"/>
      <c r="AA727" s="150"/>
      <c r="AB727" s="150"/>
      <c r="AC727" s="149"/>
      <c r="AD727" s="149"/>
      <c r="AE727" s="149"/>
      <c r="AF727" s="150"/>
      <c r="AG727" s="150"/>
      <c r="AH727" s="149"/>
      <c r="AI727" s="149"/>
      <c r="AJ727" s="149"/>
      <c r="AK727" s="150"/>
      <c r="AL727" s="150"/>
      <c r="AM727" s="149"/>
      <c r="AN727" s="149"/>
      <c r="AO727" s="149"/>
      <c r="AP727" s="150"/>
      <c r="AQ727" s="150"/>
      <c r="AR727" s="150"/>
      <c r="AS727" s="150"/>
      <c r="AT727" s="150"/>
      <c r="AU727" s="150"/>
      <c r="AV727" s="150"/>
      <c r="AW727" s="150"/>
      <c r="AX727" s="150"/>
      <c r="AY727" s="151"/>
      <c r="AZ727" s="151"/>
      <c r="BA727" s="151"/>
      <c r="BB727" s="151"/>
      <c r="BC727" s="151"/>
      <c r="BD727" s="151"/>
      <c r="BE727" s="151"/>
      <c r="BF727" s="151"/>
      <c r="BG727" s="151"/>
      <c r="BH727" s="151"/>
      <c r="BI727" s="151"/>
    </row>
    <row r="728" spans="1:61" x14ac:dyDescent="0.25">
      <c r="A728" s="149"/>
      <c r="B728" s="149"/>
      <c r="C728" s="149"/>
      <c r="D728" s="149"/>
      <c r="E728" s="150"/>
      <c r="F728" s="150"/>
      <c r="G728" s="149"/>
      <c r="H728" s="149"/>
      <c r="I728" s="149"/>
      <c r="J728" s="150"/>
      <c r="K728" s="150"/>
      <c r="L728" s="149"/>
      <c r="M728" s="149"/>
      <c r="N728" s="149"/>
      <c r="O728" s="150"/>
      <c r="P728" s="150"/>
      <c r="Q728" s="149"/>
      <c r="R728" s="149"/>
      <c r="S728" s="149"/>
      <c r="T728" s="150"/>
      <c r="U728" s="150"/>
      <c r="V728" s="150"/>
      <c r="W728" s="150"/>
      <c r="X728" s="150"/>
      <c r="Y728" s="150"/>
      <c r="Z728" s="150"/>
      <c r="AA728" s="150"/>
      <c r="AB728" s="150"/>
      <c r="AC728" s="149"/>
      <c r="AD728" s="149"/>
      <c r="AE728" s="149"/>
      <c r="AF728" s="150"/>
      <c r="AG728" s="150"/>
      <c r="AH728" s="149"/>
      <c r="AI728" s="149"/>
      <c r="AJ728" s="149"/>
      <c r="AK728" s="150"/>
      <c r="AL728" s="150"/>
      <c r="AM728" s="149"/>
      <c r="AN728" s="149"/>
      <c r="AO728" s="149"/>
      <c r="AP728" s="150"/>
      <c r="AQ728" s="150"/>
      <c r="AR728" s="150"/>
      <c r="AS728" s="150"/>
      <c r="AT728" s="150"/>
      <c r="AU728" s="150"/>
      <c r="AV728" s="150"/>
      <c r="AW728" s="150"/>
      <c r="AX728" s="150"/>
      <c r="AY728" s="151"/>
      <c r="AZ728" s="151"/>
      <c r="BA728" s="151"/>
      <c r="BB728" s="151"/>
      <c r="BC728" s="151"/>
      <c r="BD728" s="151"/>
      <c r="BE728" s="151"/>
      <c r="BF728" s="151"/>
      <c r="BG728" s="151"/>
      <c r="BH728" s="151"/>
      <c r="BI728" s="151"/>
    </row>
    <row r="729" spans="1:61" x14ac:dyDescent="0.25">
      <c r="A729" s="149"/>
      <c r="B729" s="149"/>
      <c r="C729" s="149"/>
      <c r="D729" s="149"/>
      <c r="E729" s="150"/>
      <c r="F729" s="150"/>
      <c r="G729" s="149"/>
      <c r="H729" s="149"/>
      <c r="I729" s="149"/>
      <c r="J729" s="150"/>
      <c r="K729" s="150"/>
      <c r="L729" s="149"/>
      <c r="M729" s="149"/>
      <c r="N729" s="149"/>
      <c r="O729" s="150"/>
      <c r="P729" s="150"/>
      <c r="Q729" s="149"/>
      <c r="R729" s="149"/>
      <c r="S729" s="149"/>
      <c r="T729" s="150"/>
      <c r="U729" s="150"/>
      <c r="V729" s="150"/>
      <c r="W729" s="150"/>
      <c r="X729" s="150"/>
      <c r="Y729" s="150"/>
      <c r="Z729" s="150"/>
      <c r="AA729" s="150"/>
      <c r="AB729" s="150"/>
      <c r="AC729" s="149"/>
      <c r="AD729" s="149"/>
      <c r="AE729" s="149"/>
      <c r="AF729" s="150"/>
      <c r="AG729" s="150"/>
      <c r="AH729" s="149"/>
      <c r="AI729" s="149"/>
      <c r="AJ729" s="149"/>
      <c r="AK729" s="150"/>
      <c r="AL729" s="150"/>
      <c r="AM729" s="149"/>
      <c r="AN729" s="149"/>
      <c r="AO729" s="149"/>
      <c r="AP729" s="150"/>
      <c r="AQ729" s="150"/>
      <c r="AR729" s="150"/>
      <c r="AS729" s="150"/>
      <c r="AT729" s="150"/>
      <c r="AU729" s="150"/>
      <c r="AV729" s="150"/>
      <c r="AW729" s="150"/>
      <c r="AX729" s="150"/>
      <c r="AY729" s="151"/>
      <c r="AZ729" s="151"/>
      <c r="BA729" s="151"/>
      <c r="BB729" s="151"/>
      <c r="BC729" s="151"/>
      <c r="BD729" s="151"/>
      <c r="BE729" s="151"/>
      <c r="BF729" s="151"/>
      <c r="BG729" s="151"/>
      <c r="BH729" s="151"/>
      <c r="BI729" s="151"/>
    </row>
    <row r="730" spans="1:61" x14ac:dyDescent="0.25">
      <c r="A730" s="149"/>
      <c r="B730" s="149"/>
      <c r="C730" s="149"/>
      <c r="D730" s="149"/>
      <c r="E730" s="150"/>
      <c r="F730" s="150"/>
      <c r="G730" s="149"/>
      <c r="H730" s="149"/>
      <c r="I730" s="149"/>
      <c r="J730" s="150"/>
      <c r="K730" s="150"/>
      <c r="L730" s="149"/>
      <c r="M730" s="149"/>
      <c r="N730" s="149"/>
      <c r="O730" s="150"/>
      <c r="P730" s="150"/>
      <c r="Q730" s="149"/>
      <c r="R730" s="149"/>
      <c r="S730" s="149"/>
      <c r="T730" s="150"/>
      <c r="U730" s="150"/>
      <c r="V730" s="150"/>
      <c r="W730" s="150"/>
      <c r="X730" s="150"/>
      <c r="Y730" s="150"/>
      <c r="Z730" s="150"/>
      <c r="AA730" s="150"/>
      <c r="AB730" s="150"/>
      <c r="AC730" s="149"/>
      <c r="AD730" s="149"/>
      <c r="AE730" s="149"/>
      <c r="AF730" s="150"/>
      <c r="AG730" s="150"/>
      <c r="AH730" s="149"/>
      <c r="AI730" s="149"/>
      <c r="AJ730" s="149"/>
      <c r="AK730" s="150"/>
      <c r="AL730" s="150"/>
      <c r="AM730" s="149"/>
      <c r="AN730" s="149"/>
      <c r="AO730" s="149"/>
      <c r="AP730" s="150"/>
      <c r="AQ730" s="150"/>
      <c r="AR730" s="150"/>
      <c r="AS730" s="150"/>
      <c r="AT730" s="150"/>
      <c r="AU730" s="150"/>
      <c r="AV730" s="150"/>
      <c r="AW730" s="150"/>
      <c r="AX730" s="150"/>
      <c r="AY730" s="151"/>
      <c r="AZ730" s="151"/>
      <c r="BA730" s="151"/>
      <c r="BB730" s="151"/>
      <c r="BC730" s="151"/>
      <c r="BD730" s="151"/>
      <c r="BE730" s="151"/>
      <c r="BF730" s="151"/>
      <c r="BG730" s="151"/>
      <c r="BH730" s="151"/>
      <c r="BI730" s="151"/>
    </row>
    <row r="731" spans="1:61" x14ac:dyDescent="0.25">
      <c r="A731" s="149"/>
      <c r="B731" s="149"/>
      <c r="C731" s="149"/>
      <c r="D731" s="149"/>
      <c r="E731" s="150"/>
      <c r="F731" s="150"/>
      <c r="G731" s="149"/>
      <c r="H731" s="149"/>
      <c r="I731" s="149"/>
      <c r="J731" s="150"/>
      <c r="K731" s="150"/>
      <c r="L731" s="149"/>
      <c r="M731" s="149"/>
      <c r="N731" s="149"/>
      <c r="O731" s="150"/>
      <c r="P731" s="150"/>
      <c r="Q731" s="149"/>
      <c r="R731" s="149"/>
      <c r="S731" s="149"/>
      <c r="T731" s="150"/>
      <c r="U731" s="150"/>
      <c r="V731" s="150"/>
      <c r="W731" s="150"/>
      <c r="X731" s="150"/>
      <c r="Y731" s="150"/>
      <c r="Z731" s="150"/>
      <c r="AA731" s="150"/>
      <c r="AB731" s="150"/>
      <c r="AC731" s="149"/>
      <c r="AD731" s="149"/>
      <c r="AE731" s="149"/>
      <c r="AF731" s="150"/>
      <c r="AG731" s="150"/>
      <c r="AH731" s="149"/>
      <c r="AI731" s="149"/>
      <c r="AJ731" s="149"/>
      <c r="AK731" s="150"/>
      <c r="AL731" s="150"/>
      <c r="AM731" s="149"/>
      <c r="AN731" s="149"/>
      <c r="AO731" s="149"/>
      <c r="AP731" s="150"/>
      <c r="AQ731" s="150"/>
      <c r="AR731" s="150"/>
      <c r="AS731" s="150"/>
      <c r="AT731" s="150"/>
      <c r="AU731" s="150"/>
      <c r="AV731" s="150"/>
      <c r="AW731" s="150"/>
      <c r="AX731" s="150"/>
      <c r="AY731" s="151"/>
      <c r="AZ731" s="151"/>
      <c r="BA731" s="151"/>
      <c r="BB731" s="151"/>
      <c r="BC731" s="151"/>
      <c r="BD731" s="151"/>
      <c r="BE731" s="151"/>
      <c r="BF731" s="151"/>
      <c r="BG731" s="151"/>
      <c r="BH731" s="151"/>
      <c r="BI731" s="151"/>
    </row>
    <row r="732" spans="1:61" x14ac:dyDescent="0.25">
      <c r="A732" s="149"/>
      <c r="B732" s="149"/>
      <c r="C732" s="149"/>
      <c r="D732" s="149"/>
      <c r="E732" s="150"/>
      <c r="F732" s="150"/>
      <c r="G732" s="149"/>
      <c r="H732" s="149"/>
      <c r="I732" s="149"/>
      <c r="J732" s="150"/>
      <c r="K732" s="150"/>
      <c r="L732" s="149"/>
      <c r="M732" s="149"/>
      <c r="N732" s="149"/>
      <c r="O732" s="150"/>
      <c r="P732" s="150"/>
      <c r="Q732" s="149"/>
      <c r="R732" s="149"/>
      <c r="S732" s="149"/>
      <c r="T732" s="150"/>
      <c r="U732" s="150"/>
      <c r="V732" s="150"/>
      <c r="W732" s="150"/>
      <c r="X732" s="150"/>
      <c r="Y732" s="150"/>
      <c r="Z732" s="150"/>
      <c r="AA732" s="150"/>
      <c r="AB732" s="150"/>
      <c r="AC732" s="149"/>
      <c r="AD732" s="149"/>
      <c r="AE732" s="149"/>
      <c r="AF732" s="150"/>
      <c r="AG732" s="150"/>
      <c r="AH732" s="149"/>
      <c r="AI732" s="149"/>
      <c r="AJ732" s="149"/>
      <c r="AK732" s="150"/>
      <c r="AL732" s="150"/>
      <c r="AM732" s="149"/>
      <c r="AN732" s="149"/>
      <c r="AO732" s="149"/>
      <c r="AP732" s="150"/>
      <c r="AQ732" s="150"/>
      <c r="AR732" s="150"/>
      <c r="AS732" s="150"/>
      <c r="AT732" s="150"/>
      <c r="AU732" s="150"/>
      <c r="AV732" s="150"/>
      <c r="AW732" s="150"/>
      <c r="AX732" s="150"/>
      <c r="AY732" s="151"/>
      <c r="AZ732" s="151"/>
      <c r="BA732" s="151"/>
      <c r="BB732" s="151"/>
      <c r="BC732" s="151"/>
      <c r="BD732" s="151"/>
      <c r="BE732" s="151"/>
      <c r="BF732" s="151"/>
      <c r="BG732" s="151"/>
      <c r="BH732" s="151"/>
      <c r="BI732" s="151"/>
    </row>
    <row r="733" spans="1:61" x14ac:dyDescent="0.25">
      <c r="A733" s="149"/>
      <c r="B733" s="149"/>
      <c r="C733" s="149"/>
      <c r="D733" s="149"/>
      <c r="E733" s="150"/>
      <c r="F733" s="150"/>
      <c r="G733" s="149"/>
      <c r="H733" s="149"/>
      <c r="I733" s="149"/>
      <c r="J733" s="150"/>
      <c r="K733" s="150"/>
      <c r="L733" s="149"/>
      <c r="M733" s="149"/>
      <c r="N733" s="149"/>
      <c r="O733" s="150"/>
      <c r="P733" s="150"/>
      <c r="Q733" s="149"/>
      <c r="R733" s="149"/>
      <c r="S733" s="149"/>
      <c r="T733" s="150"/>
      <c r="U733" s="150"/>
      <c r="V733" s="150"/>
      <c r="W733" s="150"/>
      <c r="X733" s="150"/>
      <c r="Y733" s="150"/>
      <c r="Z733" s="150"/>
      <c r="AA733" s="150"/>
      <c r="AB733" s="150"/>
      <c r="AC733" s="149"/>
      <c r="AD733" s="149"/>
      <c r="AE733" s="149"/>
      <c r="AF733" s="150"/>
      <c r="AG733" s="150"/>
      <c r="AH733" s="149"/>
      <c r="AI733" s="149"/>
      <c r="AJ733" s="149"/>
      <c r="AK733" s="150"/>
      <c r="AL733" s="150"/>
      <c r="AM733" s="149"/>
      <c r="AN733" s="149"/>
      <c r="AO733" s="149"/>
      <c r="AP733" s="150"/>
      <c r="AQ733" s="150"/>
      <c r="AR733" s="150"/>
      <c r="AS733" s="150"/>
      <c r="AT733" s="150"/>
      <c r="AU733" s="150"/>
      <c r="AV733" s="150"/>
      <c r="AW733" s="150"/>
      <c r="AX733" s="150"/>
      <c r="AY733" s="151"/>
      <c r="AZ733" s="151"/>
      <c r="BA733" s="151"/>
      <c r="BB733" s="151"/>
      <c r="BC733" s="151"/>
      <c r="BD733" s="151"/>
      <c r="BE733" s="151"/>
      <c r="BF733" s="151"/>
      <c r="BG733" s="151"/>
      <c r="BH733" s="151"/>
      <c r="BI733" s="151"/>
    </row>
    <row r="734" spans="1:61" x14ac:dyDescent="0.25">
      <c r="A734" s="149"/>
      <c r="B734" s="149"/>
      <c r="C734" s="149"/>
      <c r="D734" s="149"/>
      <c r="E734" s="150"/>
      <c r="F734" s="150"/>
      <c r="G734" s="149"/>
      <c r="H734" s="149"/>
      <c r="I734" s="149"/>
      <c r="J734" s="150"/>
      <c r="K734" s="150"/>
      <c r="L734" s="149"/>
      <c r="M734" s="149"/>
      <c r="N734" s="149"/>
      <c r="O734" s="150"/>
      <c r="P734" s="150"/>
      <c r="Q734" s="149"/>
      <c r="R734" s="149"/>
      <c r="S734" s="149"/>
      <c r="T734" s="150"/>
      <c r="U734" s="150"/>
      <c r="V734" s="150"/>
      <c r="W734" s="150"/>
      <c r="X734" s="150"/>
      <c r="Y734" s="150"/>
      <c r="Z734" s="150"/>
      <c r="AA734" s="150"/>
      <c r="AB734" s="150"/>
      <c r="AC734" s="149"/>
      <c r="AD734" s="149"/>
      <c r="AE734" s="149"/>
      <c r="AF734" s="150"/>
      <c r="AG734" s="150"/>
      <c r="AH734" s="149"/>
      <c r="AI734" s="149"/>
      <c r="AJ734" s="149"/>
      <c r="AK734" s="150"/>
      <c r="AL734" s="150"/>
      <c r="AM734" s="149"/>
      <c r="AN734" s="149"/>
      <c r="AO734" s="149"/>
      <c r="AP734" s="150"/>
      <c r="AQ734" s="150"/>
      <c r="AR734" s="150"/>
      <c r="AS734" s="150"/>
      <c r="AT734" s="150"/>
      <c r="AU734" s="150"/>
      <c r="AV734" s="150"/>
      <c r="AW734" s="150"/>
      <c r="AX734" s="150"/>
      <c r="AY734" s="151"/>
      <c r="AZ734" s="151"/>
      <c r="BA734" s="151"/>
      <c r="BB734" s="151"/>
      <c r="BC734" s="151"/>
      <c r="BD734" s="151"/>
      <c r="BE734" s="151"/>
      <c r="BF734" s="151"/>
      <c r="BG734" s="151"/>
      <c r="BH734" s="151"/>
      <c r="BI734" s="151"/>
    </row>
    <row r="735" spans="1:61" x14ac:dyDescent="0.25">
      <c r="A735" s="149"/>
      <c r="B735" s="149"/>
      <c r="C735" s="149"/>
      <c r="D735" s="149"/>
      <c r="E735" s="150"/>
      <c r="F735" s="150"/>
      <c r="G735" s="149"/>
      <c r="H735" s="149"/>
      <c r="I735" s="149"/>
      <c r="J735" s="150"/>
      <c r="K735" s="150"/>
      <c r="L735" s="149"/>
      <c r="M735" s="149"/>
      <c r="N735" s="149"/>
      <c r="O735" s="150"/>
      <c r="P735" s="150"/>
      <c r="Q735" s="149"/>
      <c r="R735" s="149"/>
      <c r="S735" s="149"/>
      <c r="T735" s="150"/>
      <c r="U735" s="150"/>
      <c r="V735" s="150"/>
      <c r="W735" s="150"/>
      <c r="X735" s="150"/>
      <c r="Y735" s="150"/>
      <c r="Z735" s="150"/>
      <c r="AA735" s="150"/>
      <c r="AB735" s="150"/>
      <c r="AC735" s="149"/>
      <c r="AD735" s="149"/>
      <c r="AE735" s="149"/>
      <c r="AF735" s="150"/>
      <c r="AG735" s="150"/>
      <c r="AH735" s="149"/>
      <c r="AI735" s="149"/>
      <c r="AJ735" s="149"/>
      <c r="AK735" s="150"/>
      <c r="AL735" s="150"/>
      <c r="AM735" s="149"/>
      <c r="AN735" s="149"/>
      <c r="AO735" s="149"/>
      <c r="AP735" s="150"/>
      <c r="AQ735" s="150"/>
      <c r="AR735" s="150"/>
      <c r="AS735" s="150"/>
      <c r="AT735" s="150"/>
      <c r="AU735" s="150"/>
      <c r="AV735" s="150"/>
      <c r="AW735" s="150"/>
      <c r="AX735" s="150"/>
      <c r="AY735" s="151"/>
      <c r="AZ735" s="151"/>
      <c r="BA735" s="151"/>
      <c r="BB735" s="151"/>
      <c r="BC735" s="151"/>
      <c r="BD735" s="151"/>
      <c r="BE735" s="151"/>
      <c r="BF735" s="151"/>
      <c r="BG735" s="151"/>
      <c r="BH735" s="151"/>
      <c r="BI735" s="151"/>
    </row>
    <row r="736" spans="1:61" x14ac:dyDescent="0.25">
      <c r="A736" s="149"/>
      <c r="B736" s="149"/>
      <c r="C736" s="149"/>
      <c r="D736" s="149"/>
      <c r="E736" s="150"/>
      <c r="F736" s="150"/>
      <c r="G736" s="149"/>
      <c r="H736" s="149"/>
      <c r="I736" s="149"/>
      <c r="J736" s="150"/>
      <c r="K736" s="150"/>
      <c r="L736" s="149"/>
      <c r="M736" s="149"/>
      <c r="N736" s="149"/>
      <c r="O736" s="150"/>
      <c r="P736" s="150"/>
      <c r="Q736" s="149"/>
      <c r="R736" s="149"/>
      <c r="S736" s="149"/>
      <c r="T736" s="150"/>
      <c r="U736" s="150"/>
      <c r="V736" s="150"/>
      <c r="W736" s="150"/>
      <c r="X736" s="150"/>
      <c r="Y736" s="150"/>
      <c r="Z736" s="150"/>
      <c r="AA736" s="150"/>
      <c r="AB736" s="150"/>
      <c r="AC736" s="149"/>
      <c r="AD736" s="149"/>
      <c r="AE736" s="149"/>
      <c r="AF736" s="150"/>
      <c r="AG736" s="150"/>
      <c r="AH736" s="149"/>
      <c r="AI736" s="149"/>
      <c r="AJ736" s="149"/>
      <c r="AK736" s="150"/>
      <c r="AL736" s="150"/>
      <c r="AM736" s="149"/>
      <c r="AN736" s="149"/>
      <c r="AO736" s="149"/>
      <c r="AP736" s="150"/>
      <c r="AQ736" s="150"/>
      <c r="AR736" s="150"/>
      <c r="AS736" s="150"/>
      <c r="AT736" s="150"/>
      <c r="AU736" s="150"/>
      <c r="AV736" s="150"/>
      <c r="AW736" s="150"/>
      <c r="AX736" s="150"/>
      <c r="AY736" s="151"/>
      <c r="AZ736" s="151"/>
      <c r="BA736" s="151"/>
      <c r="BB736" s="151"/>
      <c r="BC736" s="151"/>
      <c r="BD736" s="151"/>
      <c r="BE736" s="151"/>
      <c r="BF736" s="151"/>
      <c r="BG736" s="151"/>
      <c r="BH736" s="151"/>
      <c r="BI736" s="151"/>
    </row>
    <row r="737" spans="1:61" x14ac:dyDescent="0.25">
      <c r="A737" s="149"/>
      <c r="B737" s="149"/>
      <c r="C737" s="149"/>
      <c r="D737" s="149"/>
      <c r="E737" s="150"/>
      <c r="F737" s="150"/>
      <c r="G737" s="149"/>
      <c r="H737" s="149"/>
      <c r="I737" s="149"/>
      <c r="J737" s="150"/>
      <c r="K737" s="150"/>
      <c r="L737" s="149"/>
      <c r="M737" s="149"/>
      <c r="N737" s="149"/>
      <c r="O737" s="150"/>
      <c r="P737" s="150"/>
      <c r="Q737" s="149"/>
      <c r="R737" s="149"/>
      <c r="S737" s="149"/>
      <c r="T737" s="150"/>
      <c r="U737" s="150"/>
      <c r="V737" s="150"/>
      <c r="W737" s="150"/>
      <c r="X737" s="150"/>
      <c r="Y737" s="150"/>
      <c r="Z737" s="150"/>
      <c r="AA737" s="150"/>
      <c r="AB737" s="150"/>
      <c r="AC737" s="149"/>
      <c r="AD737" s="149"/>
      <c r="AE737" s="149"/>
      <c r="AF737" s="150"/>
      <c r="AG737" s="150"/>
      <c r="AH737" s="149"/>
      <c r="AI737" s="149"/>
      <c r="AJ737" s="149"/>
      <c r="AK737" s="150"/>
      <c r="AL737" s="150"/>
      <c r="AM737" s="149"/>
      <c r="AN737" s="149"/>
      <c r="AO737" s="149"/>
      <c r="AP737" s="150"/>
      <c r="AQ737" s="150"/>
      <c r="AR737" s="150"/>
      <c r="AS737" s="150"/>
      <c r="AT737" s="150"/>
      <c r="AU737" s="150"/>
      <c r="AV737" s="150"/>
      <c r="AW737" s="150"/>
      <c r="AX737" s="150"/>
      <c r="AY737" s="151"/>
      <c r="AZ737" s="151"/>
      <c r="BA737" s="151"/>
      <c r="BB737" s="151"/>
      <c r="BC737" s="151"/>
      <c r="BD737" s="151"/>
      <c r="BE737" s="151"/>
      <c r="BF737" s="151"/>
      <c r="BG737" s="151"/>
      <c r="BH737" s="151"/>
      <c r="BI737" s="151"/>
    </row>
    <row r="738" spans="1:61" x14ac:dyDescent="0.25">
      <c r="A738" s="149"/>
      <c r="B738" s="149"/>
      <c r="C738" s="149"/>
      <c r="D738" s="149"/>
      <c r="E738" s="150"/>
      <c r="F738" s="150"/>
      <c r="G738" s="149"/>
      <c r="H738" s="149"/>
      <c r="I738" s="149"/>
      <c r="J738" s="150"/>
      <c r="K738" s="150"/>
      <c r="L738" s="149"/>
      <c r="M738" s="149"/>
      <c r="N738" s="149"/>
      <c r="O738" s="150"/>
      <c r="P738" s="150"/>
      <c r="Q738" s="149"/>
      <c r="R738" s="149"/>
      <c r="S738" s="149"/>
      <c r="T738" s="150"/>
      <c r="U738" s="150"/>
      <c r="V738" s="150"/>
      <c r="W738" s="150"/>
      <c r="X738" s="150"/>
      <c r="Y738" s="150"/>
      <c r="Z738" s="150"/>
      <c r="AA738" s="150"/>
      <c r="AB738" s="150"/>
      <c r="AC738" s="149"/>
      <c r="AD738" s="149"/>
      <c r="AE738" s="149"/>
      <c r="AF738" s="150"/>
      <c r="AG738" s="150"/>
      <c r="AH738" s="149"/>
      <c r="AI738" s="149"/>
      <c r="AJ738" s="149"/>
      <c r="AK738" s="150"/>
      <c r="AL738" s="150"/>
      <c r="AM738" s="149"/>
      <c r="AN738" s="149"/>
      <c r="AO738" s="149"/>
      <c r="AP738" s="150"/>
      <c r="AQ738" s="150"/>
      <c r="AR738" s="150"/>
      <c r="AS738" s="150"/>
      <c r="AT738" s="150"/>
      <c r="AU738" s="150"/>
      <c r="AV738" s="150"/>
      <c r="AW738" s="150"/>
      <c r="AX738" s="150"/>
      <c r="AY738" s="151"/>
      <c r="AZ738" s="151"/>
      <c r="BA738" s="151"/>
      <c r="BB738" s="151"/>
      <c r="BC738" s="151"/>
      <c r="BD738" s="151"/>
      <c r="BE738" s="151"/>
      <c r="BF738" s="151"/>
      <c r="BG738" s="151"/>
      <c r="BH738" s="151"/>
      <c r="BI738" s="151"/>
    </row>
    <row r="739" spans="1:61" x14ac:dyDescent="0.25">
      <c r="A739" s="149"/>
      <c r="B739" s="149"/>
      <c r="C739" s="149"/>
      <c r="D739" s="149"/>
      <c r="E739" s="150"/>
      <c r="F739" s="150"/>
      <c r="G739" s="149"/>
      <c r="H739" s="149"/>
      <c r="I739" s="149"/>
      <c r="J739" s="150"/>
      <c r="K739" s="150"/>
      <c r="L739" s="149"/>
      <c r="M739" s="149"/>
      <c r="N739" s="149"/>
      <c r="O739" s="150"/>
      <c r="P739" s="150"/>
      <c r="Q739" s="149"/>
      <c r="R739" s="149"/>
      <c r="S739" s="149"/>
      <c r="T739" s="150"/>
      <c r="U739" s="150"/>
      <c r="V739" s="150"/>
      <c r="W739" s="150"/>
      <c r="X739" s="150"/>
      <c r="Y739" s="150"/>
      <c r="Z739" s="150"/>
      <c r="AA739" s="150"/>
      <c r="AB739" s="150"/>
      <c r="AC739" s="149"/>
      <c r="AD739" s="149"/>
      <c r="AE739" s="149"/>
      <c r="AF739" s="150"/>
      <c r="AG739" s="150"/>
      <c r="AH739" s="149"/>
      <c r="AI739" s="149"/>
      <c r="AJ739" s="149"/>
      <c r="AK739" s="150"/>
      <c r="AL739" s="150"/>
      <c r="AM739" s="149"/>
      <c r="AN739" s="149"/>
      <c r="AO739" s="149"/>
      <c r="AP739" s="150"/>
      <c r="AQ739" s="150"/>
      <c r="AR739" s="150"/>
      <c r="AS739" s="150"/>
      <c r="AT739" s="150"/>
      <c r="AU739" s="150"/>
      <c r="AV739" s="150"/>
      <c r="AW739" s="150"/>
      <c r="AX739" s="150"/>
      <c r="AY739" s="151"/>
      <c r="AZ739" s="151"/>
      <c r="BA739" s="151"/>
      <c r="BB739" s="151"/>
      <c r="BC739" s="151"/>
      <c r="BD739" s="151"/>
      <c r="BE739" s="151"/>
      <c r="BF739" s="151"/>
      <c r="BG739" s="151"/>
      <c r="BH739" s="151"/>
      <c r="BI739" s="151"/>
    </row>
    <row r="740" spans="1:61" x14ac:dyDescent="0.25">
      <c r="A740" s="149"/>
      <c r="B740" s="149"/>
      <c r="C740" s="149"/>
      <c r="D740" s="149"/>
      <c r="E740" s="150"/>
      <c r="F740" s="150"/>
      <c r="G740" s="149"/>
      <c r="H740" s="149"/>
      <c r="I740" s="149"/>
      <c r="J740" s="150"/>
      <c r="K740" s="150"/>
      <c r="L740" s="149"/>
      <c r="M740" s="149"/>
      <c r="N740" s="149"/>
      <c r="O740" s="150"/>
      <c r="P740" s="150"/>
      <c r="Q740" s="149"/>
      <c r="R740" s="149"/>
      <c r="S740" s="149"/>
      <c r="T740" s="150"/>
      <c r="U740" s="150"/>
      <c r="V740" s="150"/>
      <c r="W740" s="150"/>
      <c r="X740" s="150"/>
      <c r="Y740" s="150"/>
      <c r="Z740" s="150"/>
      <c r="AA740" s="150"/>
      <c r="AB740" s="150"/>
      <c r="AC740" s="149"/>
      <c r="AD740" s="149"/>
      <c r="AE740" s="149"/>
      <c r="AF740" s="150"/>
      <c r="AG740" s="150"/>
      <c r="AH740" s="149"/>
      <c r="AI740" s="149"/>
      <c r="AJ740" s="149"/>
      <c r="AK740" s="150"/>
      <c r="AL740" s="150"/>
      <c r="AM740" s="149"/>
      <c r="AN740" s="149"/>
      <c r="AO740" s="149"/>
      <c r="AP740" s="150"/>
      <c r="AQ740" s="150"/>
      <c r="AR740" s="150"/>
      <c r="AS740" s="150"/>
      <c r="AT740" s="150"/>
      <c r="AU740" s="150"/>
      <c r="AV740" s="150"/>
      <c r="AW740" s="150"/>
      <c r="AX740" s="150"/>
      <c r="AY740" s="151"/>
      <c r="AZ740" s="151"/>
      <c r="BA740" s="151"/>
      <c r="BB740" s="151"/>
      <c r="BC740" s="151"/>
      <c r="BD740" s="151"/>
      <c r="BE740" s="151"/>
      <c r="BF740" s="151"/>
      <c r="BG740" s="151"/>
      <c r="BH740" s="151"/>
      <c r="BI740" s="151"/>
    </row>
    <row r="741" spans="1:61" x14ac:dyDescent="0.25">
      <c r="A741" s="149"/>
      <c r="B741" s="149"/>
      <c r="C741" s="149"/>
      <c r="D741" s="149"/>
      <c r="E741" s="150"/>
      <c r="F741" s="150"/>
      <c r="G741" s="149"/>
      <c r="H741" s="149"/>
      <c r="I741" s="149"/>
      <c r="J741" s="150"/>
      <c r="K741" s="150"/>
      <c r="L741" s="149"/>
      <c r="M741" s="149"/>
      <c r="N741" s="149"/>
      <c r="O741" s="150"/>
      <c r="P741" s="150"/>
      <c r="Q741" s="149"/>
      <c r="R741" s="149"/>
      <c r="S741" s="149"/>
      <c r="T741" s="150"/>
      <c r="U741" s="150"/>
      <c r="V741" s="150"/>
      <c r="W741" s="150"/>
      <c r="X741" s="150"/>
      <c r="Y741" s="150"/>
      <c r="Z741" s="150"/>
      <c r="AA741" s="150"/>
      <c r="AB741" s="150"/>
      <c r="AC741" s="149"/>
      <c r="AD741" s="149"/>
      <c r="AE741" s="149"/>
      <c r="AF741" s="150"/>
      <c r="AG741" s="150"/>
      <c r="AH741" s="149"/>
      <c r="AI741" s="149"/>
      <c r="AJ741" s="149"/>
      <c r="AK741" s="150"/>
      <c r="AL741" s="150"/>
      <c r="AM741" s="149"/>
      <c r="AN741" s="149"/>
      <c r="AO741" s="149"/>
      <c r="AP741" s="150"/>
      <c r="AQ741" s="150"/>
      <c r="AR741" s="150"/>
      <c r="AS741" s="150"/>
      <c r="AT741" s="150"/>
      <c r="AU741" s="150"/>
      <c r="AV741" s="150"/>
      <c r="AW741" s="150"/>
      <c r="AX741" s="150"/>
      <c r="AY741" s="151"/>
      <c r="AZ741" s="151"/>
      <c r="BA741" s="151"/>
      <c r="BB741" s="151"/>
      <c r="BC741" s="151"/>
      <c r="BD741" s="151"/>
      <c r="BE741" s="151"/>
      <c r="BF741" s="151"/>
      <c r="BG741" s="151"/>
      <c r="BH741" s="151"/>
      <c r="BI741" s="151"/>
    </row>
    <row r="742" spans="1:61" x14ac:dyDescent="0.25">
      <c r="A742" s="149"/>
      <c r="B742" s="149"/>
      <c r="C742" s="149"/>
      <c r="D742" s="149"/>
      <c r="E742" s="150"/>
      <c r="F742" s="150"/>
      <c r="G742" s="149"/>
      <c r="H742" s="149"/>
      <c r="I742" s="149"/>
      <c r="J742" s="150"/>
      <c r="K742" s="150"/>
      <c r="L742" s="149"/>
      <c r="M742" s="149"/>
      <c r="N742" s="149"/>
      <c r="O742" s="150"/>
      <c r="P742" s="150"/>
      <c r="Q742" s="149"/>
      <c r="R742" s="149"/>
      <c r="S742" s="149"/>
      <c r="T742" s="150"/>
      <c r="U742" s="150"/>
      <c r="V742" s="150"/>
      <c r="W742" s="150"/>
      <c r="X742" s="150"/>
      <c r="Y742" s="150"/>
      <c r="Z742" s="150"/>
      <c r="AA742" s="150"/>
      <c r="AB742" s="150"/>
      <c r="AC742" s="149"/>
      <c r="AD742" s="149"/>
      <c r="AE742" s="149"/>
      <c r="AF742" s="150"/>
      <c r="AG742" s="150"/>
      <c r="AH742" s="149"/>
      <c r="AI742" s="149"/>
      <c r="AJ742" s="149"/>
      <c r="AK742" s="150"/>
      <c r="AL742" s="150"/>
      <c r="AM742" s="149"/>
      <c r="AN742" s="149"/>
      <c r="AO742" s="149"/>
      <c r="AP742" s="150"/>
      <c r="AQ742" s="150"/>
      <c r="AR742" s="150"/>
      <c r="AS742" s="150"/>
      <c r="AT742" s="150"/>
      <c r="AU742" s="150"/>
      <c r="AV742" s="150"/>
      <c r="AW742" s="150"/>
      <c r="AX742" s="150"/>
      <c r="AY742" s="151"/>
      <c r="AZ742" s="151"/>
      <c r="BA742" s="151"/>
      <c r="BB742" s="151"/>
      <c r="BC742" s="151"/>
      <c r="BD742" s="151"/>
      <c r="BE742" s="151"/>
      <c r="BF742" s="151"/>
      <c r="BG742" s="151"/>
      <c r="BH742" s="151"/>
      <c r="BI742" s="151"/>
    </row>
    <row r="743" spans="1:61" x14ac:dyDescent="0.25">
      <c r="A743" s="149"/>
      <c r="B743" s="149"/>
      <c r="C743" s="149"/>
      <c r="D743" s="149"/>
      <c r="E743" s="150"/>
      <c r="F743" s="150"/>
      <c r="G743" s="149"/>
      <c r="H743" s="149"/>
      <c r="I743" s="149"/>
      <c r="J743" s="150"/>
      <c r="K743" s="150"/>
      <c r="L743" s="149"/>
      <c r="M743" s="149"/>
      <c r="N743" s="149"/>
      <c r="O743" s="150"/>
      <c r="P743" s="150"/>
      <c r="Q743" s="149"/>
      <c r="R743" s="149"/>
      <c r="S743" s="149"/>
      <c r="T743" s="150"/>
      <c r="U743" s="150"/>
      <c r="V743" s="150"/>
      <c r="W743" s="150"/>
      <c r="X743" s="150"/>
      <c r="Y743" s="150"/>
      <c r="Z743" s="150"/>
      <c r="AA743" s="150"/>
      <c r="AB743" s="150"/>
      <c r="AC743" s="149"/>
      <c r="AD743" s="149"/>
      <c r="AE743" s="149"/>
      <c r="AF743" s="150"/>
      <c r="AG743" s="150"/>
      <c r="AH743" s="149"/>
      <c r="AI743" s="149"/>
      <c r="AJ743" s="149"/>
      <c r="AK743" s="150"/>
      <c r="AL743" s="150"/>
      <c r="AM743" s="149"/>
      <c r="AN743" s="149"/>
      <c r="AO743" s="149"/>
      <c r="AP743" s="150"/>
      <c r="AQ743" s="150"/>
      <c r="AR743" s="150"/>
      <c r="AS743" s="150"/>
      <c r="AT743" s="150"/>
      <c r="AU743" s="150"/>
      <c r="AV743" s="150"/>
      <c r="AW743" s="150"/>
      <c r="AX743" s="150"/>
      <c r="AY743" s="151"/>
      <c r="AZ743" s="151"/>
      <c r="BA743" s="151"/>
      <c r="BB743" s="151"/>
      <c r="BC743" s="151"/>
      <c r="BD743" s="151"/>
      <c r="BE743" s="151"/>
      <c r="BF743" s="151"/>
      <c r="BG743" s="151"/>
      <c r="BH743" s="151"/>
      <c r="BI743" s="151"/>
    </row>
    <row r="744" spans="1:61" x14ac:dyDescent="0.25">
      <c r="A744" s="149"/>
      <c r="B744" s="149"/>
      <c r="C744" s="149"/>
      <c r="D744" s="149"/>
      <c r="E744" s="150"/>
      <c r="F744" s="150"/>
      <c r="G744" s="149"/>
      <c r="H744" s="149"/>
      <c r="I744" s="149"/>
      <c r="J744" s="150"/>
      <c r="K744" s="150"/>
      <c r="L744" s="149"/>
      <c r="M744" s="149"/>
      <c r="N744" s="149"/>
      <c r="O744" s="150"/>
      <c r="P744" s="150"/>
      <c r="Q744" s="149"/>
      <c r="R744" s="149"/>
      <c r="S744" s="149"/>
      <c r="T744" s="150"/>
      <c r="U744" s="150"/>
      <c r="V744" s="150"/>
      <c r="W744" s="150"/>
      <c r="X744" s="150"/>
      <c r="Y744" s="150"/>
      <c r="Z744" s="150"/>
      <c r="AA744" s="150"/>
      <c r="AB744" s="150"/>
      <c r="AC744" s="149"/>
      <c r="AD744" s="149"/>
      <c r="AE744" s="149"/>
      <c r="AF744" s="150"/>
      <c r="AG744" s="150"/>
      <c r="AH744" s="149"/>
      <c r="AI744" s="149"/>
      <c r="AJ744" s="149"/>
      <c r="AK744" s="150"/>
      <c r="AL744" s="150"/>
      <c r="AM744" s="149"/>
      <c r="AN744" s="149"/>
      <c r="AO744" s="149"/>
      <c r="AP744" s="150"/>
      <c r="AQ744" s="150"/>
      <c r="AR744" s="150"/>
      <c r="AS744" s="150"/>
      <c r="AT744" s="150"/>
      <c r="AU744" s="150"/>
      <c r="AV744" s="150"/>
      <c r="AW744" s="150"/>
      <c r="AX744" s="150"/>
      <c r="AY744" s="151"/>
      <c r="AZ744" s="151"/>
      <c r="BA744" s="151"/>
      <c r="BB744" s="151"/>
      <c r="BC744" s="151"/>
      <c r="BD744" s="151"/>
      <c r="BE744" s="151"/>
      <c r="BF744" s="151"/>
      <c r="BG744" s="151"/>
      <c r="BH744" s="151"/>
      <c r="BI744" s="151"/>
    </row>
    <row r="745" spans="1:61" x14ac:dyDescent="0.25">
      <c r="A745" s="149"/>
      <c r="B745" s="149"/>
      <c r="C745" s="149"/>
      <c r="D745" s="149"/>
      <c r="E745" s="150"/>
      <c r="F745" s="150"/>
      <c r="G745" s="149"/>
      <c r="H745" s="149"/>
      <c r="I745" s="149"/>
      <c r="J745" s="150"/>
      <c r="K745" s="150"/>
      <c r="L745" s="149"/>
      <c r="M745" s="149"/>
      <c r="N745" s="149"/>
      <c r="O745" s="150"/>
      <c r="P745" s="150"/>
      <c r="Q745" s="149"/>
      <c r="R745" s="149"/>
      <c r="S745" s="149"/>
      <c r="T745" s="150"/>
      <c r="U745" s="150"/>
      <c r="V745" s="150"/>
      <c r="W745" s="150"/>
      <c r="X745" s="150"/>
      <c r="Y745" s="150"/>
      <c r="Z745" s="150"/>
      <c r="AA745" s="150"/>
      <c r="AB745" s="150"/>
      <c r="AC745" s="149"/>
      <c r="AD745" s="149"/>
      <c r="AE745" s="149"/>
      <c r="AF745" s="150"/>
      <c r="AG745" s="150"/>
      <c r="AH745" s="149"/>
      <c r="AI745" s="149"/>
      <c r="AJ745" s="149"/>
      <c r="AK745" s="150"/>
      <c r="AL745" s="150"/>
      <c r="AM745" s="149"/>
      <c r="AN745" s="149"/>
      <c r="AO745" s="149"/>
      <c r="AP745" s="150"/>
      <c r="AQ745" s="150"/>
      <c r="AR745" s="150"/>
      <c r="AS745" s="150"/>
      <c r="AT745" s="150"/>
      <c r="AU745" s="150"/>
      <c r="AV745" s="150"/>
      <c r="AW745" s="150"/>
      <c r="AX745" s="150"/>
      <c r="AY745" s="151"/>
      <c r="AZ745" s="151"/>
      <c r="BA745" s="151"/>
      <c r="BB745" s="151"/>
      <c r="BC745" s="151"/>
      <c r="BD745" s="151"/>
      <c r="BE745" s="151"/>
      <c r="BF745" s="151"/>
      <c r="BG745" s="151"/>
      <c r="BH745" s="151"/>
      <c r="BI745" s="151"/>
    </row>
    <row r="746" spans="1:61" x14ac:dyDescent="0.25">
      <c r="A746" s="149"/>
      <c r="B746" s="149"/>
      <c r="C746" s="149"/>
      <c r="D746" s="149"/>
      <c r="E746" s="150"/>
      <c r="F746" s="150"/>
      <c r="G746" s="149"/>
      <c r="H746" s="149"/>
      <c r="I746" s="149"/>
      <c r="J746" s="150"/>
      <c r="K746" s="150"/>
      <c r="L746" s="149"/>
      <c r="M746" s="149"/>
      <c r="N746" s="149"/>
      <c r="O746" s="150"/>
      <c r="P746" s="150"/>
      <c r="Q746" s="149"/>
      <c r="R746" s="149"/>
      <c r="S746" s="149"/>
      <c r="T746" s="150"/>
      <c r="U746" s="150"/>
      <c r="V746" s="150"/>
      <c r="W746" s="150"/>
      <c r="X746" s="150"/>
      <c r="Y746" s="150"/>
      <c r="Z746" s="150"/>
      <c r="AA746" s="150"/>
      <c r="AB746" s="150"/>
      <c r="AC746" s="149"/>
      <c r="AD746" s="149"/>
      <c r="AE746" s="149"/>
      <c r="AF746" s="150"/>
      <c r="AG746" s="150"/>
      <c r="AH746" s="149"/>
      <c r="AI746" s="149"/>
      <c r="AJ746" s="149"/>
      <c r="AK746" s="150"/>
      <c r="AL746" s="150"/>
      <c r="AM746" s="149"/>
      <c r="AN746" s="149"/>
      <c r="AO746" s="149"/>
      <c r="AP746" s="150"/>
      <c r="AQ746" s="150"/>
      <c r="AR746" s="150"/>
      <c r="AS746" s="150"/>
      <c r="AT746" s="150"/>
      <c r="AU746" s="150"/>
      <c r="AV746" s="150"/>
      <c r="AW746" s="150"/>
      <c r="AX746" s="150"/>
      <c r="AY746" s="151"/>
      <c r="AZ746" s="151"/>
      <c r="BA746" s="151"/>
      <c r="BB746" s="151"/>
      <c r="BC746" s="151"/>
      <c r="BD746" s="151"/>
      <c r="BE746" s="151"/>
      <c r="BF746" s="151"/>
      <c r="BG746" s="151"/>
      <c r="BH746" s="151"/>
      <c r="BI746" s="151"/>
    </row>
    <row r="747" spans="1:61" x14ac:dyDescent="0.25">
      <c r="A747" s="149"/>
      <c r="B747" s="149"/>
      <c r="C747" s="149"/>
      <c r="D747" s="149"/>
      <c r="E747" s="150"/>
      <c r="F747" s="150"/>
      <c r="G747" s="149"/>
      <c r="H747" s="149"/>
      <c r="I747" s="149"/>
      <c r="J747" s="150"/>
      <c r="K747" s="150"/>
      <c r="L747" s="149"/>
      <c r="M747" s="149"/>
      <c r="N747" s="149"/>
      <c r="O747" s="150"/>
      <c r="P747" s="150"/>
      <c r="Q747" s="149"/>
      <c r="R747" s="149"/>
      <c r="S747" s="149"/>
      <c r="T747" s="150"/>
      <c r="U747" s="150"/>
      <c r="V747" s="150"/>
      <c r="W747" s="150"/>
      <c r="X747" s="150"/>
      <c r="Y747" s="150"/>
      <c r="Z747" s="150"/>
      <c r="AA747" s="150"/>
      <c r="AB747" s="150"/>
      <c r="AC747" s="149"/>
      <c r="AD747" s="149"/>
      <c r="AE747" s="149"/>
      <c r="AF747" s="150"/>
      <c r="AG747" s="150"/>
      <c r="AH747" s="149"/>
      <c r="AI747" s="149"/>
      <c r="AJ747" s="149"/>
      <c r="AK747" s="150"/>
      <c r="AL747" s="150"/>
      <c r="AM747" s="149"/>
      <c r="AN747" s="149"/>
      <c r="AO747" s="149"/>
      <c r="AP747" s="150"/>
      <c r="AQ747" s="150"/>
      <c r="AR747" s="150"/>
      <c r="AS747" s="150"/>
      <c r="AT747" s="150"/>
      <c r="AU747" s="150"/>
      <c r="AV747" s="150"/>
      <c r="AW747" s="150"/>
      <c r="AX747" s="150"/>
      <c r="AY747" s="151"/>
      <c r="AZ747" s="151"/>
      <c r="BA747" s="151"/>
      <c r="BB747" s="151"/>
      <c r="BC747" s="151"/>
      <c r="BD747" s="151"/>
      <c r="BE747" s="151"/>
      <c r="BF747" s="151"/>
      <c r="BG747" s="151"/>
      <c r="BH747" s="151"/>
      <c r="BI747" s="151"/>
    </row>
    <row r="748" spans="1:61" x14ac:dyDescent="0.25">
      <c r="A748" s="149"/>
      <c r="B748" s="149"/>
      <c r="C748" s="149"/>
      <c r="D748" s="149"/>
      <c r="E748" s="150"/>
      <c r="F748" s="150"/>
      <c r="G748" s="149"/>
      <c r="H748" s="149"/>
      <c r="I748" s="149"/>
      <c r="J748" s="150"/>
      <c r="K748" s="150"/>
      <c r="L748" s="149"/>
      <c r="M748" s="149"/>
      <c r="N748" s="149"/>
      <c r="O748" s="150"/>
      <c r="P748" s="150"/>
      <c r="Q748" s="149"/>
      <c r="R748" s="149"/>
      <c r="S748" s="149"/>
      <c r="T748" s="150"/>
      <c r="U748" s="150"/>
      <c r="V748" s="150"/>
      <c r="W748" s="150"/>
      <c r="X748" s="150"/>
      <c r="Y748" s="150"/>
      <c r="Z748" s="150"/>
      <c r="AA748" s="150"/>
      <c r="AB748" s="150"/>
      <c r="AC748" s="149"/>
      <c r="AD748" s="149"/>
      <c r="AE748" s="149"/>
      <c r="AF748" s="150"/>
      <c r="AG748" s="150"/>
      <c r="AH748" s="149"/>
      <c r="AI748" s="149"/>
      <c r="AJ748" s="149"/>
      <c r="AK748" s="150"/>
      <c r="AL748" s="150"/>
      <c r="AM748" s="149"/>
      <c r="AN748" s="149"/>
      <c r="AO748" s="149"/>
      <c r="AP748" s="150"/>
      <c r="AQ748" s="150"/>
      <c r="AR748" s="150"/>
      <c r="AS748" s="150"/>
      <c r="AT748" s="150"/>
      <c r="AU748" s="150"/>
      <c r="AV748" s="150"/>
      <c r="AW748" s="150"/>
      <c r="AX748" s="150"/>
      <c r="AY748" s="151"/>
      <c r="AZ748" s="151"/>
      <c r="BA748" s="151"/>
      <c r="BB748" s="151"/>
      <c r="BC748" s="151"/>
      <c r="BD748" s="151"/>
      <c r="BE748" s="151"/>
      <c r="BF748" s="151"/>
      <c r="BG748" s="151"/>
      <c r="BH748" s="151"/>
      <c r="BI748" s="151"/>
    </row>
    <row r="749" spans="1:61" x14ac:dyDescent="0.25">
      <c r="A749" s="149"/>
      <c r="B749" s="149"/>
      <c r="C749" s="149"/>
      <c r="D749" s="149"/>
      <c r="E749" s="150"/>
      <c r="F749" s="150"/>
      <c r="G749" s="149"/>
      <c r="H749" s="149"/>
      <c r="I749" s="149"/>
      <c r="J749" s="150"/>
      <c r="K749" s="150"/>
      <c r="L749" s="149"/>
      <c r="M749" s="149"/>
      <c r="N749" s="149"/>
      <c r="O749" s="150"/>
      <c r="P749" s="150"/>
      <c r="Q749" s="149"/>
      <c r="R749" s="149"/>
      <c r="S749" s="149"/>
      <c r="T749" s="150"/>
      <c r="U749" s="150"/>
      <c r="V749" s="150"/>
      <c r="W749" s="150"/>
      <c r="X749" s="150"/>
      <c r="Y749" s="150"/>
      <c r="Z749" s="150"/>
      <c r="AA749" s="150"/>
      <c r="AB749" s="150"/>
      <c r="AC749" s="149"/>
      <c r="AD749" s="149"/>
      <c r="AE749" s="149"/>
      <c r="AF749" s="150"/>
      <c r="AG749" s="150"/>
      <c r="AH749" s="149"/>
      <c r="AI749" s="149"/>
      <c r="AJ749" s="149"/>
      <c r="AK749" s="150"/>
      <c r="AL749" s="150"/>
      <c r="AM749" s="149"/>
      <c r="AN749" s="149"/>
      <c r="AO749" s="149"/>
      <c r="AP749" s="150"/>
      <c r="AQ749" s="150"/>
      <c r="AR749" s="150"/>
      <c r="AS749" s="150"/>
      <c r="AT749" s="150"/>
      <c r="AU749" s="150"/>
      <c r="AV749" s="150"/>
      <c r="AW749" s="150"/>
      <c r="AX749" s="150"/>
      <c r="AY749" s="151"/>
      <c r="AZ749" s="151"/>
      <c r="BA749" s="151"/>
      <c r="BB749" s="151"/>
      <c r="BC749" s="151"/>
      <c r="BD749" s="151"/>
      <c r="BE749" s="151"/>
      <c r="BF749" s="151"/>
      <c r="BG749" s="151"/>
      <c r="BH749" s="151"/>
      <c r="BI749" s="151"/>
    </row>
    <row r="750" spans="1:61" x14ac:dyDescent="0.25">
      <c r="A750" s="149"/>
      <c r="B750" s="149"/>
      <c r="C750" s="149"/>
      <c r="D750" s="149"/>
      <c r="E750" s="150"/>
      <c r="F750" s="150"/>
      <c r="G750" s="149"/>
      <c r="H750" s="149"/>
      <c r="I750" s="149"/>
      <c r="J750" s="150"/>
      <c r="K750" s="150"/>
      <c r="L750" s="149"/>
      <c r="M750" s="149"/>
      <c r="N750" s="149"/>
      <c r="O750" s="150"/>
      <c r="P750" s="150"/>
      <c r="Q750" s="149"/>
      <c r="R750" s="149"/>
      <c r="S750" s="149"/>
      <c r="T750" s="150"/>
      <c r="U750" s="150"/>
      <c r="V750" s="150"/>
      <c r="W750" s="150"/>
      <c r="X750" s="150"/>
      <c r="Y750" s="150"/>
      <c r="Z750" s="150"/>
      <c r="AA750" s="150"/>
      <c r="AB750" s="150"/>
      <c r="AC750" s="149"/>
      <c r="AD750" s="149"/>
      <c r="AE750" s="149"/>
      <c r="AF750" s="150"/>
      <c r="AG750" s="150"/>
      <c r="AH750" s="149"/>
      <c r="AI750" s="149"/>
      <c r="AJ750" s="149"/>
      <c r="AK750" s="150"/>
      <c r="AL750" s="150"/>
      <c r="AM750" s="149"/>
      <c r="AN750" s="149"/>
      <c r="AO750" s="149"/>
      <c r="AP750" s="150"/>
      <c r="AQ750" s="150"/>
      <c r="AR750" s="150"/>
      <c r="AS750" s="150"/>
      <c r="AT750" s="150"/>
      <c r="AU750" s="150"/>
      <c r="AV750" s="150"/>
      <c r="AW750" s="150"/>
      <c r="AX750" s="150"/>
      <c r="AY750" s="151"/>
      <c r="AZ750" s="151"/>
      <c r="BA750" s="151"/>
      <c r="BB750" s="151"/>
      <c r="BC750" s="151"/>
      <c r="BD750" s="151"/>
      <c r="BE750" s="151"/>
      <c r="BF750" s="151"/>
      <c r="BG750" s="151"/>
      <c r="BH750" s="151"/>
      <c r="BI750" s="151"/>
    </row>
    <row r="751" spans="1:61" x14ac:dyDescent="0.25">
      <c r="A751" s="149"/>
      <c r="B751" s="149"/>
      <c r="C751" s="149"/>
      <c r="D751" s="149"/>
      <c r="E751" s="150"/>
      <c r="F751" s="150"/>
      <c r="G751" s="149"/>
      <c r="H751" s="149"/>
      <c r="I751" s="149"/>
      <c r="J751" s="150"/>
      <c r="K751" s="150"/>
      <c r="L751" s="149"/>
      <c r="M751" s="149"/>
      <c r="N751" s="149"/>
      <c r="O751" s="150"/>
      <c r="P751" s="150"/>
      <c r="Q751" s="149"/>
      <c r="R751" s="149"/>
      <c r="S751" s="149"/>
      <c r="T751" s="150"/>
      <c r="U751" s="150"/>
      <c r="V751" s="150"/>
      <c r="W751" s="150"/>
      <c r="X751" s="150"/>
      <c r="Y751" s="150"/>
      <c r="Z751" s="150"/>
      <c r="AA751" s="150"/>
      <c r="AB751" s="150"/>
      <c r="AC751" s="149"/>
      <c r="AD751" s="149"/>
      <c r="AE751" s="149"/>
      <c r="AF751" s="150"/>
      <c r="AG751" s="150"/>
      <c r="AH751" s="149"/>
      <c r="AI751" s="149"/>
      <c r="AJ751" s="149"/>
      <c r="AK751" s="150"/>
      <c r="AL751" s="150"/>
      <c r="AM751" s="149"/>
      <c r="AN751" s="149"/>
      <c r="AO751" s="149"/>
      <c r="AP751" s="150"/>
      <c r="AQ751" s="150"/>
      <c r="AR751" s="150"/>
      <c r="AS751" s="150"/>
      <c r="AT751" s="150"/>
      <c r="AU751" s="150"/>
      <c r="AV751" s="150"/>
      <c r="AW751" s="150"/>
      <c r="AX751" s="150"/>
      <c r="AY751" s="151"/>
      <c r="AZ751" s="151"/>
      <c r="BA751" s="151"/>
      <c r="BB751" s="151"/>
      <c r="BC751" s="151"/>
      <c r="BD751" s="151"/>
      <c r="BE751" s="151"/>
      <c r="BF751" s="151"/>
      <c r="BG751" s="151"/>
      <c r="BH751" s="151"/>
      <c r="BI751" s="151"/>
    </row>
    <row r="752" spans="1:61" x14ac:dyDescent="0.25">
      <c r="A752" s="149"/>
      <c r="B752" s="149"/>
      <c r="C752" s="149"/>
      <c r="D752" s="149"/>
      <c r="E752" s="150"/>
      <c r="F752" s="150"/>
      <c r="G752" s="149"/>
      <c r="H752" s="149"/>
      <c r="I752" s="149"/>
      <c r="J752" s="150"/>
      <c r="K752" s="150"/>
      <c r="L752" s="149"/>
      <c r="M752" s="149"/>
      <c r="N752" s="149"/>
      <c r="O752" s="150"/>
      <c r="P752" s="150"/>
      <c r="Q752" s="149"/>
      <c r="R752" s="149"/>
      <c r="S752" s="149"/>
      <c r="T752" s="150"/>
      <c r="U752" s="150"/>
      <c r="V752" s="150"/>
      <c r="W752" s="150"/>
      <c r="X752" s="150"/>
      <c r="Y752" s="150"/>
      <c r="Z752" s="150"/>
      <c r="AA752" s="150"/>
      <c r="AB752" s="150"/>
      <c r="AC752" s="149"/>
      <c r="AD752" s="149"/>
      <c r="AE752" s="149"/>
      <c r="AF752" s="150"/>
      <c r="AG752" s="150"/>
      <c r="AH752" s="149"/>
      <c r="AI752" s="149"/>
      <c r="AJ752" s="149"/>
      <c r="AK752" s="150"/>
      <c r="AL752" s="150"/>
      <c r="AM752" s="149"/>
      <c r="AN752" s="149"/>
      <c r="AO752" s="149"/>
      <c r="AP752" s="150"/>
      <c r="AQ752" s="150"/>
      <c r="AR752" s="150"/>
      <c r="AS752" s="150"/>
      <c r="AT752" s="150"/>
      <c r="AU752" s="150"/>
      <c r="AV752" s="150"/>
      <c r="AW752" s="150"/>
      <c r="AX752" s="150"/>
      <c r="AY752" s="151"/>
      <c r="AZ752" s="151"/>
      <c r="BA752" s="151"/>
      <c r="BB752" s="151"/>
      <c r="BC752" s="151"/>
      <c r="BD752" s="151"/>
      <c r="BE752" s="151"/>
      <c r="BF752" s="151"/>
      <c r="BG752" s="151"/>
      <c r="BH752" s="151"/>
      <c r="BI752" s="151"/>
    </row>
    <row r="753" spans="1:61" x14ac:dyDescent="0.25">
      <c r="A753" s="149"/>
      <c r="B753" s="149"/>
      <c r="C753" s="149"/>
      <c r="D753" s="149"/>
      <c r="E753" s="150"/>
      <c r="F753" s="150"/>
      <c r="G753" s="149"/>
      <c r="H753" s="149"/>
      <c r="I753" s="149"/>
      <c r="J753" s="150"/>
      <c r="K753" s="150"/>
      <c r="L753" s="149"/>
      <c r="M753" s="149"/>
      <c r="N753" s="149"/>
      <c r="O753" s="150"/>
      <c r="P753" s="150"/>
      <c r="Q753" s="149"/>
      <c r="R753" s="149"/>
      <c r="S753" s="149"/>
      <c r="T753" s="150"/>
      <c r="U753" s="150"/>
      <c r="V753" s="150"/>
      <c r="W753" s="150"/>
      <c r="X753" s="150"/>
      <c r="Y753" s="150"/>
      <c r="Z753" s="150"/>
      <c r="AA753" s="150"/>
      <c r="AB753" s="150"/>
      <c r="AC753" s="149"/>
      <c r="AD753" s="149"/>
      <c r="AE753" s="149"/>
      <c r="AF753" s="150"/>
      <c r="AG753" s="150"/>
      <c r="AH753" s="149"/>
      <c r="AI753" s="149"/>
      <c r="AJ753" s="149"/>
      <c r="AK753" s="150"/>
      <c r="AL753" s="150"/>
      <c r="AM753" s="149"/>
      <c r="AN753" s="149"/>
      <c r="AO753" s="149"/>
      <c r="AP753" s="150"/>
      <c r="AQ753" s="150"/>
      <c r="AR753" s="150"/>
      <c r="AS753" s="150"/>
      <c r="AT753" s="150"/>
      <c r="AU753" s="150"/>
      <c r="AV753" s="150"/>
      <c r="AW753" s="150"/>
      <c r="AX753" s="150"/>
      <c r="AY753" s="151"/>
      <c r="AZ753" s="151"/>
      <c r="BA753" s="151"/>
      <c r="BB753" s="151"/>
      <c r="BC753" s="151"/>
      <c r="BD753" s="151"/>
      <c r="BE753" s="151"/>
      <c r="BF753" s="151"/>
      <c r="BG753" s="151"/>
      <c r="BH753" s="151"/>
      <c r="BI753" s="151"/>
    </row>
    <row r="754" spans="1:61" x14ac:dyDescent="0.25">
      <c r="A754" s="149"/>
      <c r="B754" s="149"/>
      <c r="C754" s="149"/>
      <c r="D754" s="149"/>
      <c r="E754" s="150"/>
      <c r="F754" s="150"/>
      <c r="G754" s="149"/>
      <c r="H754" s="149"/>
      <c r="I754" s="149"/>
      <c r="J754" s="150"/>
      <c r="K754" s="150"/>
      <c r="L754" s="149"/>
      <c r="M754" s="149"/>
      <c r="N754" s="149"/>
      <c r="O754" s="150"/>
      <c r="P754" s="150"/>
      <c r="Q754" s="149"/>
      <c r="R754" s="149"/>
      <c r="S754" s="149"/>
      <c r="T754" s="150"/>
      <c r="U754" s="150"/>
      <c r="V754" s="150"/>
      <c r="W754" s="150"/>
      <c r="X754" s="150"/>
      <c r="Y754" s="150"/>
      <c r="Z754" s="150"/>
      <c r="AA754" s="150"/>
      <c r="AB754" s="150"/>
      <c r="AC754" s="149"/>
      <c r="AD754" s="149"/>
      <c r="AE754" s="149"/>
      <c r="AF754" s="150"/>
      <c r="AG754" s="150"/>
      <c r="AH754" s="149"/>
      <c r="AI754" s="149"/>
      <c r="AJ754" s="149"/>
      <c r="AK754" s="150"/>
      <c r="AL754" s="150"/>
      <c r="AM754" s="149"/>
      <c r="AN754" s="149"/>
      <c r="AO754" s="149"/>
      <c r="AP754" s="150"/>
      <c r="AQ754" s="150"/>
      <c r="AR754" s="150"/>
      <c r="AS754" s="150"/>
      <c r="AT754" s="150"/>
      <c r="AU754" s="150"/>
      <c r="AV754" s="150"/>
      <c r="AW754" s="150"/>
      <c r="AX754" s="150"/>
      <c r="AY754" s="151"/>
      <c r="AZ754" s="151"/>
      <c r="BA754" s="151"/>
      <c r="BB754" s="151"/>
      <c r="BC754" s="151"/>
      <c r="BD754" s="151"/>
      <c r="BE754" s="151"/>
      <c r="BF754" s="151"/>
      <c r="BG754" s="151"/>
      <c r="BH754" s="151"/>
      <c r="BI754" s="151"/>
    </row>
    <row r="755" spans="1:61" x14ac:dyDescent="0.25">
      <c r="A755" s="149"/>
      <c r="B755" s="149"/>
      <c r="C755" s="149"/>
      <c r="D755" s="149"/>
      <c r="E755" s="150"/>
      <c r="F755" s="150"/>
      <c r="G755" s="149"/>
      <c r="H755" s="149"/>
      <c r="I755" s="149"/>
      <c r="J755" s="150"/>
      <c r="K755" s="150"/>
      <c r="L755" s="149"/>
      <c r="M755" s="149"/>
      <c r="N755" s="149"/>
      <c r="O755" s="150"/>
      <c r="P755" s="150"/>
      <c r="Q755" s="149"/>
      <c r="R755" s="149"/>
      <c r="S755" s="149"/>
      <c r="T755" s="150"/>
      <c r="U755" s="150"/>
      <c r="V755" s="150"/>
      <c r="W755" s="150"/>
      <c r="X755" s="150"/>
      <c r="Y755" s="150"/>
      <c r="Z755" s="150"/>
      <c r="AA755" s="150"/>
      <c r="AB755" s="150"/>
      <c r="AC755" s="149"/>
      <c r="AD755" s="149"/>
      <c r="AE755" s="149"/>
      <c r="AF755" s="150"/>
      <c r="AG755" s="150"/>
      <c r="AH755" s="149"/>
      <c r="AI755" s="149"/>
      <c r="AJ755" s="149"/>
      <c r="AK755" s="150"/>
      <c r="AL755" s="150"/>
      <c r="AM755" s="149"/>
      <c r="AN755" s="149"/>
      <c r="AO755" s="149"/>
      <c r="AP755" s="150"/>
      <c r="AQ755" s="150"/>
      <c r="AR755" s="150"/>
      <c r="AS755" s="150"/>
      <c r="AT755" s="150"/>
      <c r="AU755" s="150"/>
      <c r="AV755" s="150"/>
      <c r="AW755" s="150"/>
      <c r="AX755" s="150"/>
      <c r="AY755" s="151"/>
      <c r="AZ755" s="151"/>
      <c r="BA755" s="151"/>
      <c r="BB755" s="151"/>
      <c r="BC755" s="151"/>
      <c r="BD755" s="151"/>
      <c r="BE755" s="151"/>
      <c r="BF755" s="151"/>
      <c r="BG755" s="151"/>
      <c r="BH755" s="151"/>
      <c r="BI755" s="151"/>
    </row>
    <row r="756" spans="1:61" x14ac:dyDescent="0.25">
      <c r="A756" s="149"/>
      <c r="B756" s="149"/>
      <c r="C756" s="149"/>
      <c r="D756" s="149"/>
      <c r="E756" s="150"/>
      <c r="F756" s="150"/>
      <c r="G756" s="149"/>
      <c r="H756" s="149"/>
      <c r="I756" s="149"/>
      <c r="J756" s="150"/>
      <c r="K756" s="150"/>
      <c r="L756" s="149"/>
      <c r="M756" s="149"/>
      <c r="N756" s="149"/>
      <c r="O756" s="150"/>
      <c r="P756" s="150"/>
      <c r="Q756" s="149"/>
      <c r="R756" s="149"/>
      <c r="S756" s="149"/>
      <c r="T756" s="150"/>
      <c r="U756" s="150"/>
      <c r="V756" s="150"/>
      <c r="W756" s="150"/>
      <c r="X756" s="150"/>
      <c r="Y756" s="150"/>
      <c r="Z756" s="150"/>
      <c r="AA756" s="150"/>
      <c r="AB756" s="150"/>
      <c r="AC756" s="149"/>
      <c r="AD756" s="149"/>
      <c r="AE756" s="149"/>
      <c r="AF756" s="150"/>
      <c r="AG756" s="150"/>
      <c r="AH756" s="149"/>
      <c r="AI756" s="149"/>
      <c r="AJ756" s="149"/>
      <c r="AK756" s="150"/>
      <c r="AL756" s="150"/>
      <c r="AM756" s="149"/>
      <c r="AN756" s="149"/>
      <c r="AO756" s="149"/>
      <c r="AP756" s="150"/>
      <c r="AQ756" s="150"/>
      <c r="AR756" s="150"/>
      <c r="AS756" s="150"/>
      <c r="AT756" s="150"/>
      <c r="AU756" s="150"/>
      <c r="AV756" s="150"/>
      <c r="AW756" s="150"/>
      <c r="AX756" s="150"/>
      <c r="AY756" s="151"/>
      <c r="AZ756" s="151"/>
      <c r="BA756" s="151"/>
      <c r="BB756" s="151"/>
      <c r="BC756" s="151"/>
      <c r="BD756" s="151"/>
      <c r="BE756" s="151"/>
      <c r="BF756" s="151"/>
      <c r="BG756" s="151"/>
      <c r="BH756" s="151"/>
      <c r="BI756" s="151"/>
    </row>
    <row r="757" spans="1:61" x14ac:dyDescent="0.25">
      <c r="A757" s="149"/>
      <c r="B757" s="149"/>
      <c r="C757" s="149"/>
      <c r="D757" s="149"/>
      <c r="E757" s="150"/>
      <c r="F757" s="150"/>
      <c r="G757" s="149"/>
      <c r="H757" s="149"/>
      <c r="I757" s="149"/>
      <c r="J757" s="150"/>
      <c r="K757" s="150"/>
      <c r="L757" s="149"/>
      <c r="M757" s="149"/>
      <c r="N757" s="149"/>
      <c r="O757" s="150"/>
      <c r="P757" s="150"/>
      <c r="Q757" s="149"/>
      <c r="R757" s="149"/>
      <c r="S757" s="149"/>
      <c r="T757" s="150"/>
      <c r="U757" s="150"/>
      <c r="V757" s="150"/>
      <c r="W757" s="150"/>
      <c r="X757" s="150"/>
      <c r="Y757" s="150"/>
      <c r="Z757" s="150"/>
      <c r="AA757" s="150"/>
      <c r="AB757" s="150"/>
      <c r="AC757" s="149"/>
      <c r="AD757" s="149"/>
      <c r="AE757" s="149"/>
      <c r="AF757" s="150"/>
      <c r="AG757" s="150"/>
      <c r="AH757" s="149"/>
      <c r="AI757" s="149"/>
      <c r="AJ757" s="149"/>
      <c r="AK757" s="150"/>
      <c r="AL757" s="150"/>
      <c r="AM757" s="149"/>
      <c r="AN757" s="149"/>
      <c r="AO757" s="149"/>
      <c r="AP757" s="150"/>
      <c r="AQ757" s="150"/>
      <c r="AR757" s="150"/>
      <c r="AS757" s="150"/>
      <c r="AT757" s="150"/>
      <c r="AU757" s="150"/>
      <c r="AV757" s="150"/>
      <c r="AW757" s="150"/>
      <c r="AX757" s="150"/>
      <c r="AY757" s="151"/>
      <c r="AZ757" s="151"/>
      <c r="BA757" s="151"/>
      <c r="BB757" s="151"/>
      <c r="BC757" s="151"/>
      <c r="BD757" s="151"/>
      <c r="BE757" s="151"/>
      <c r="BF757" s="151"/>
      <c r="BG757" s="151"/>
      <c r="BH757" s="151"/>
      <c r="BI757" s="151"/>
    </row>
    <row r="758" spans="1:61" x14ac:dyDescent="0.25">
      <c r="A758" s="149"/>
      <c r="B758" s="149"/>
      <c r="C758" s="149"/>
      <c r="D758" s="149"/>
      <c r="E758" s="150"/>
      <c r="F758" s="150"/>
      <c r="G758" s="149"/>
      <c r="H758" s="149"/>
      <c r="I758" s="149"/>
      <c r="J758" s="150"/>
      <c r="K758" s="150"/>
      <c r="L758" s="149"/>
      <c r="M758" s="149"/>
      <c r="N758" s="149"/>
      <c r="O758" s="150"/>
      <c r="P758" s="150"/>
      <c r="Q758" s="149"/>
      <c r="R758" s="149"/>
      <c r="S758" s="149"/>
      <c r="T758" s="150"/>
      <c r="U758" s="150"/>
      <c r="V758" s="150"/>
      <c r="W758" s="150"/>
      <c r="X758" s="150"/>
      <c r="Y758" s="150"/>
      <c r="Z758" s="150"/>
      <c r="AA758" s="150"/>
      <c r="AB758" s="150"/>
      <c r="AC758" s="149"/>
      <c r="AD758" s="149"/>
      <c r="AE758" s="149"/>
      <c r="AF758" s="150"/>
      <c r="AG758" s="150"/>
      <c r="AH758" s="149"/>
      <c r="AI758" s="149"/>
      <c r="AJ758" s="149"/>
      <c r="AK758" s="150"/>
      <c r="AL758" s="150"/>
      <c r="AM758" s="149"/>
      <c r="AN758" s="149"/>
      <c r="AO758" s="149"/>
      <c r="AP758" s="150"/>
      <c r="AQ758" s="150"/>
      <c r="AR758" s="150"/>
      <c r="AS758" s="150"/>
      <c r="AT758" s="150"/>
      <c r="AU758" s="150"/>
      <c r="AV758" s="150"/>
      <c r="AW758" s="150"/>
      <c r="AX758" s="150"/>
      <c r="AY758" s="151"/>
      <c r="AZ758" s="151"/>
      <c r="BA758" s="151"/>
      <c r="BB758" s="151"/>
      <c r="BC758" s="151"/>
      <c r="BD758" s="151"/>
      <c r="BE758" s="151"/>
      <c r="BF758" s="151"/>
      <c r="BG758" s="151"/>
      <c r="BH758" s="151"/>
      <c r="BI758" s="151"/>
    </row>
    <row r="759" spans="1:61" x14ac:dyDescent="0.25">
      <c r="A759" s="149"/>
      <c r="B759" s="149"/>
      <c r="C759" s="149"/>
      <c r="D759" s="149"/>
      <c r="E759" s="150"/>
      <c r="F759" s="150"/>
      <c r="G759" s="149"/>
      <c r="H759" s="149"/>
      <c r="I759" s="149"/>
      <c r="J759" s="150"/>
      <c r="K759" s="150"/>
      <c r="L759" s="149"/>
      <c r="M759" s="149"/>
      <c r="N759" s="149"/>
      <c r="O759" s="150"/>
      <c r="P759" s="150"/>
      <c r="Q759" s="149"/>
      <c r="R759" s="149"/>
      <c r="S759" s="149"/>
      <c r="T759" s="150"/>
      <c r="U759" s="150"/>
      <c r="V759" s="150"/>
      <c r="W759" s="150"/>
      <c r="X759" s="150"/>
      <c r="Y759" s="150"/>
      <c r="Z759" s="150"/>
      <c r="AA759" s="150"/>
      <c r="AB759" s="150"/>
      <c r="AC759" s="149"/>
      <c r="AD759" s="149"/>
      <c r="AE759" s="149"/>
      <c r="AF759" s="150"/>
      <c r="AG759" s="150"/>
      <c r="AH759" s="149"/>
      <c r="AI759" s="149"/>
      <c r="AJ759" s="149"/>
      <c r="AK759" s="150"/>
      <c r="AL759" s="150"/>
      <c r="AM759" s="149"/>
      <c r="AN759" s="149"/>
      <c r="AO759" s="149"/>
      <c r="AP759" s="150"/>
      <c r="AQ759" s="150"/>
      <c r="AR759" s="150"/>
      <c r="AS759" s="150"/>
      <c r="AT759" s="150"/>
      <c r="AU759" s="150"/>
      <c r="AV759" s="150"/>
      <c r="AW759" s="150"/>
      <c r="AX759" s="150"/>
      <c r="AY759" s="151"/>
      <c r="AZ759" s="151"/>
      <c r="BA759" s="151"/>
      <c r="BB759" s="151"/>
      <c r="BC759" s="151"/>
      <c r="BD759" s="151"/>
      <c r="BE759" s="151"/>
      <c r="BF759" s="151"/>
      <c r="BG759" s="151"/>
      <c r="BH759" s="151"/>
      <c r="BI759" s="151"/>
    </row>
    <row r="760" spans="1:61" x14ac:dyDescent="0.25">
      <c r="A760" s="149"/>
      <c r="B760" s="149"/>
      <c r="C760" s="149"/>
      <c r="D760" s="149"/>
      <c r="E760" s="150"/>
      <c r="F760" s="150"/>
      <c r="G760" s="149"/>
      <c r="H760" s="149"/>
      <c r="I760" s="149"/>
      <c r="J760" s="150"/>
      <c r="K760" s="150"/>
      <c r="L760" s="149"/>
      <c r="M760" s="149"/>
      <c r="N760" s="149"/>
      <c r="O760" s="150"/>
      <c r="P760" s="150"/>
      <c r="Q760" s="149"/>
      <c r="R760" s="149"/>
      <c r="S760" s="149"/>
      <c r="T760" s="150"/>
      <c r="U760" s="150"/>
      <c r="V760" s="150"/>
      <c r="W760" s="150"/>
      <c r="X760" s="150"/>
      <c r="Y760" s="150"/>
      <c r="Z760" s="150"/>
      <c r="AA760" s="150"/>
      <c r="AB760" s="150"/>
      <c r="AC760" s="149"/>
      <c r="AD760" s="149"/>
      <c r="AE760" s="149"/>
      <c r="AF760" s="150"/>
      <c r="AG760" s="150"/>
      <c r="AH760" s="149"/>
      <c r="AI760" s="149"/>
      <c r="AJ760" s="149"/>
      <c r="AK760" s="150"/>
      <c r="AL760" s="150"/>
      <c r="AM760" s="149"/>
      <c r="AN760" s="149"/>
      <c r="AO760" s="149"/>
      <c r="AP760" s="150"/>
      <c r="AQ760" s="150"/>
      <c r="AR760" s="150"/>
      <c r="AS760" s="150"/>
      <c r="AT760" s="150"/>
      <c r="AU760" s="150"/>
      <c r="AV760" s="150"/>
      <c r="AW760" s="150"/>
      <c r="AX760" s="150"/>
      <c r="AY760" s="151"/>
      <c r="AZ760" s="151"/>
      <c r="BA760" s="151"/>
      <c r="BB760" s="151"/>
      <c r="BC760" s="151"/>
      <c r="BD760" s="151"/>
      <c r="BE760" s="151"/>
      <c r="BF760" s="151"/>
      <c r="BG760" s="151"/>
      <c r="BH760" s="151"/>
      <c r="BI760" s="151"/>
    </row>
    <row r="761" spans="1:61" x14ac:dyDescent="0.25">
      <c r="A761" s="149"/>
      <c r="B761" s="149"/>
      <c r="C761" s="149"/>
      <c r="D761" s="149"/>
      <c r="E761" s="150"/>
      <c r="F761" s="150"/>
      <c r="G761" s="149"/>
      <c r="H761" s="149"/>
      <c r="I761" s="149"/>
      <c r="J761" s="150"/>
      <c r="K761" s="150"/>
      <c r="L761" s="149"/>
      <c r="M761" s="149"/>
      <c r="N761" s="149"/>
      <c r="O761" s="150"/>
      <c r="P761" s="150"/>
      <c r="Q761" s="149"/>
      <c r="R761" s="149"/>
      <c r="S761" s="149"/>
      <c r="T761" s="150"/>
      <c r="U761" s="150"/>
      <c r="V761" s="150"/>
      <c r="W761" s="150"/>
      <c r="X761" s="150"/>
      <c r="Y761" s="150"/>
      <c r="Z761" s="150"/>
      <c r="AA761" s="150"/>
      <c r="AB761" s="150"/>
      <c r="AC761" s="149"/>
      <c r="AD761" s="149"/>
      <c r="AE761" s="149"/>
      <c r="AF761" s="150"/>
      <c r="AG761" s="150"/>
      <c r="AH761" s="149"/>
      <c r="AI761" s="149"/>
      <c r="AJ761" s="149"/>
      <c r="AK761" s="150"/>
      <c r="AL761" s="150"/>
      <c r="AM761" s="149"/>
      <c r="AN761" s="149"/>
      <c r="AO761" s="149"/>
      <c r="AP761" s="150"/>
      <c r="AQ761" s="150"/>
      <c r="AR761" s="150"/>
      <c r="AS761" s="150"/>
      <c r="AT761" s="150"/>
      <c r="AU761" s="150"/>
      <c r="AV761" s="150"/>
      <c r="AW761" s="150"/>
      <c r="AX761" s="150"/>
      <c r="AY761" s="151"/>
      <c r="AZ761" s="151"/>
      <c r="BA761" s="151"/>
      <c r="BB761" s="151"/>
      <c r="BC761" s="151"/>
      <c r="BD761" s="151"/>
      <c r="BE761" s="151"/>
      <c r="BF761" s="151"/>
      <c r="BG761" s="151"/>
      <c r="BH761" s="151"/>
      <c r="BI761" s="151"/>
    </row>
    <row r="762" spans="1:61" x14ac:dyDescent="0.25">
      <c r="A762" s="149"/>
      <c r="B762" s="149"/>
      <c r="C762" s="149"/>
      <c r="D762" s="149"/>
      <c r="E762" s="150"/>
      <c r="F762" s="150"/>
      <c r="G762" s="149"/>
      <c r="H762" s="149"/>
      <c r="I762" s="149"/>
      <c r="J762" s="150"/>
      <c r="K762" s="150"/>
      <c r="L762" s="149"/>
      <c r="M762" s="149"/>
      <c r="N762" s="149"/>
      <c r="O762" s="150"/>
      <c r="P762" s="150"/>
      <c r="Q762" s="149"/>
      <c r="R762" s="149"/>
      <c r="S762" s="149"/>
      <c r="T762" s="150"/>
      <c r="U762" s="150"/>
      <c r="V762" s="150"/>
      <c r="W762" s="150"/>
      <c r="X762" s="150"/>
      <c r="Y762" s="150"/>
      <c r="Z762" s="150"/>
      <c r="AA762" s="150"/>
      <c r="AB762" s="150"/>
      <c r="AC762" s="149"/>
      <c r="AD762" s="149"/>
      <c r="AE762" s="149"/>
      <c r="AF762" s="150"/>
      <c r="AG762" s="150"/>
      <c r="AH762" s="149"/>
      <c r="AI762" s="149"/>
      <c r="AJ762" s="149"/>
      <c r="AK762" s="150"/>
      <c r="AL762" s="150"/>
      <c r="AM762" s="149"/>
      <c r="AN762" s="149"/>
      <c r="AO762" s="149"/>
      <c r="AP762" s="150"/>
      <c r="AQ762" s="150"/>
      <c r="AR762" s="150"/>
      <c r="AS762" s="150"/>
      <c r="AT762" s="150"/>
      <c r="AU762" s="150"/>
      <c r="AV762" s="150"/>
      <c r="AW762" s="150"/>
      <c r="AX762" s="150"/>
      <c r="AY762" s="151"/>
      <c r="AZ762" s="151"/>
      <c r="BA762" s="151"/>
      <c r="BB762" s="151"/>
      <c r="BC762" s="151"/>
      <c r="BD762" s="151"/>
      <c r="BE762" s="151"/>
      <c r="BF762" s="151"/>
      <c r="BG762" s="151"/>
      <c r="BH762" s="151"/>
      <c r="BI762" s="151"/>
    </row>
    <row r="763" spans="1:61" x14ac:dyDescent="0.25">
      <c r="A763" s="149"/>
      <c r="B763" s="149"/>
      <c r="C763" s="149"/>
      <c r="D763" s="149"/>
      <c r="E763" s="150"/>
      <c r="F763" s="150"/>
      <c r="G763" s="149"/>
      <c r="H763" s="149"/>
      <c r="I763" s="149"/>
      <c r="J763" s="150"/>
      <c r="K763" s="150"/>
      <c r="L763" s="149"/>
      <c r="M763" s="149"/>
      <c r="N763" s="149"/>
      <c r="O763" s="150"/>
      <c r="P763" s="150"/>
      <c r="Q763" s="149"/>
      <c r="R763" s="149"/>
      <c r="S763" s="149"/>
      <c r="T763" s="150"/>
      <c r="U763" s="150"/>
      <c r="V763" s="150"/>
      <c r="W763" s="150"/>
      <c r="X763" s="150"/>
      <c r="Y763" s="150"/>
      <c r="Z763" s="150"/>
      <c r="AA763" s="150"/>
      <c r="AB763" s="150"/>
      <c r="AC763" s="149"/>
      <c r="AD763" s="149"/>
      <c r="AE763" s="149"/>
      <c r="AF763" s="150"/>
      <c r="AG763" s="150"/>
      <c r="AH763" s="149"/>
      <c r="AI763" s="149"/>
      <c r="AJ763" s="149"/>
      <c r="AK763" s="150"/>
      <c r="AL763" s="150"/>
      <c r="AM763" s="149"/>
      <c r="AN763" s="149"/>
      <c r="AO763" s="149"/>
      <c r="AP763" s="150"/>
      <c r="AQ763" s="150"/>
      <c r="AR763" s="150"/>
      <c r="AS763" s="150"/>
      <c r="AT763" s="150"/>
      <c r="AU763" s="150"/>
      <c r="AV763" s="150"/>
      <c r="AW763" s="150"/>
      <c r="AX763" s="150"/>
      <c r="AY763" s="151"/>
      <c r="AZ763" s="151"/>
      <c r="BA763" s="151"/>
      <c r="BB763" s="151"/>
      <c r="BC763" s="151"/>
      <c r="BD763" s="151"/>
      <c r="BE763" s="151"/>
      <c r="BF763" s="151"/>
      <c r="BG763" s="151"/>
      <c r="BH763" s="151"/>
      <c r="BI763" s="151"/>
    </row>
    <row r="764" spans="1:61" x14ac:dyDescent="0.25">
      <c r="A764" s="149"/>
      <c r="B764" s="149"/>
      <c r="C764" s="149"/>
      <c r="D764" s="149"/>
      <c r="E764" s="150"/>
      <c r="F764" s="150"/>
      <c r="G764" s="149"/>
      <c r="H764" s="149"/>
      <c r="I764" s="149"/>
      <c r="J764" s="150"/>
      <c r="K764" s="150"/>
      <c r="L764" s="149"/>
      <c r="M764" s="149"/>
      <c r="N764" s="149"/>
      <c r="O764" s="150"/>
      <c r="P764" s="150"/>
      <c r="Q764" s="149"/>
      <c r="R764" s="149"/>
      <c r="S764" s="149"/>
      <c r="T764" s="150"/>
      <c r="U764" s="150"/>
      <c r="V764" s="150"/>
      <c r="W764" s="150"/>
      <c r="X764" s="150"/>
      <c r="Y764" s="150"/>
      <c r="Z764" s="150"/>
      <c r="AA764" s="150"/>
      <c r="AB764" s="150"/>
      <c r="AC764" s="149"/>
      <c r="AD764" s="149"/>
      <c r="AE764" s="149"/>
      <c r="AF764" s="150"/>
      <c r="AG764" s="150"/>
      <c r="AH764" s="149"/>
      <c r="AI764" s="149"/>
      <c r="AJ764" s="149"/>
      <c r="AK764" s="150"/>
      <c r="AL764" s="150"/>
      <c r="AM764" s="149"/>
      <c r="AN764" s="149"/>
      <c r="AO764" s="149"/>
      <c r="AP764" s="150"/>
      <c r="AQ764" s="150"/>
      <c r="AR764" s="150"/>
      <c r="AS764" s="150"/>
      <c r="AT764" s="150"/>
      <c r="AU764" s="150"/>
      <c r="AV764" s="150"/>
      <c r="AW764" s="150"/>
      <c r="AX764" s="150"/>
      <c r="AY764" s="151"/>
      <c r="AZ764" s="151"/>
      <c r="BA764" s="151"/>
      <c r="BB764" s="151"/>
      <c r="BC764" s="151"/>
      <c r="BD764" s="151"/>
      <c r="BE764" s="151"/>
      <c r="BF764" s="151"/>
      <c r="BG764" s="151"/>
      <c r="BH764" s="151"/>
      <c r="BI764" s="151"/>
    </row>
    <row r="765" spans="1:61" x14ac:dyDescent="0.25">
      <c r="A765" s="149"/>
      <c r="B765" s="149"/>
      <c r="C765" s="149"/>
      <c r="D765" s="149"/>
      <c r="E765" s="150"/>
      <c r="F765" s="150"/>
      <c r="G765" s="149"/>
      <c r="H765" s="149"/>
      <c r="I765" s="149"/>
      <c r="J765" s="150"/>
      <c r="K765" s="150"/>
      <c r="L765" s="149"/>
      <c r="M765" s="149"/>
      <c r="N765" s="149"/>
      <c r="O765" s="150"/>
      <c r="P765" s="150"/>
      <c r="Q765" s="149"/>
      <c r="R765" s="149"/>
      <c r="S765" s="149"/>
      <c r="T765" s="150"/>
      <c r="U765" s="150"/>
      <c r="V765" s="150"/>
      <c r="W765" s="150"/>
      <c r="X765" s="150"/>
      <c r="Y765" s="150"/>
      <c r="Z765" s="150"/>
      <c r="AA765" s="150"/>
      <c r="AB765" s="150"/>
      <c r="AC765" s="149"/>
      <c r="AD765" s="149"/>
      <c r="AE765" s="149"/>
      <c r="AF765" s="150"/>
      <c r="AG765" s="150"/>
      <c r="AH765" s="149"/>
      <c r="AI765" s="149"/>
      <c r="AJ765" s="149"/>
      <c r="AK765" s="150"/>
      <c r="AL765" s="150"/>
      <c r="AM765" s="149"/>
      <c r="AN765" s="149"/>
      <c r="AO765" s="149"/>
      <c r="AP765" s="150"/>
      <c r="AQ765" s="150"/>
      <c r="AR765" s="150"/>
      <c r="AS765" s="150"/>
      <c r="AT765" s="150"/>
      <c r="AU765" s="150"/>
      <c r="AV765" s="150"/>
      <c r="AW765" s="150"/>
      <c r="AX765" s="150"/>
      <c r="AY765" s="151"/>
      <c r="AZ765" s="151"/>
      <c r="BA765" s="151"/>
      <c r="BB765" s="151"/>
      <c r="BC765" s="151"/>
      <c r="BD765" s="151"/>
      <c r="BE765" s="151"/>
      <c r="BF765" s="151"/>
      <c r="BG765" s="151"/>
      <c r="BH765" s="151"/>
      <c r="BI765" s="151"/>
    </row>
    <row r="766" spans="1:61" x14ac:dyDescent="0.25">
      <c r="A766" s="149"/>
      <c r="B766" s="149"/>
      <c r="C766" s="149"/>
      <c r="D766" s="149"/>
      <c r="E766" s="150"/>
      <c r="F766" s="150"/>
      <c r="G766" s="149"/>
      <c r="H766" s="149"/>
      <c r="I766" s="149"/>
      <c r="J766" s="150"/>
      <c r="K766" s="150"/>
      <c r="L766" s="149"/>
      <c r="M766" s="149"/>
      <c r="N766" s="149"/>
      <c r="O766" s="150"/>
      <c r="P766" s="150"/>
      <c r="Q766" s="149"/>
      <c r="R766" s="149"/>
      <c r="S766" s="149"/>
      <c r="T766" s="150"/>
      <c r="U766" s="150"/>
      <c r="V766" s="150"/>
      <c r="W766" s="150"/>
      <c r="X766" s="150"/>
      <c r="Y766" s="150"/>
      <c r="Z766" s="150"/>
      <c r="AA766" s="150"/>
      <c r="AB766" s="150"/>
      <c r="AC766" s="149"/>
      <c r="AD766" s="149"/>
      <c r="AE766" s="149"/>
      <c r="AF766" s="150"/>
      <c r="AG766" s="150"/>
      <c r="AH766" s="149"/>
      <c r="AI766" s="149"/>
      <c r="AJ766" s="149"/>
      <c r="AK766" s="150"/>
      <c r="AL766" s="150"/>
      <c r="AM766" s="149"/>
      <c r="AN766" s="149"/>
      <c r="AO766" s="149"/>
      <c r="AP766" s="150"/>
      <c r="AQ766" s="150"/>
      <c r="AR766" s="150"/>
      <c r="AS766" s="150"/>
      <c r="AT766" s="150"/>
      <c r="AU766" s="150"/>
      <c r="AV766" s="150"/>
      <c r="AW766" s="150"/>
      <c r="AX766" s="150"/>
      <c r="AY766" s="151"/>
      <c r="AZ766" s="151"/>
      <c r="BA766" s="151"/>
      <c r="BB766" s="151"/>
      <c r="BC766" s="151"/>
      <c r="BD766" s="151"/>
      <c r="BE766" s="151"/>
      <c r="BF766" s="151"/>
      <c r="BG766" s="151"/>
      <c r="BH766" s="151"/>
      <c r="BI766" s="151"/>
    </row>
    <row r="767" spans="1:61" x14ac:dyDescent="0.25">
      <c r="A767" s="149"/>
      <c r="B767" s="149"/>
      <c r="C767" s="149"/>
      <c r="D767" s="149"/>
      <c r="E767" s="150"/>
      <c r="F767" s="150"/>
      <c r="G767" s="149"/>
      <c r="H767" s="149"/>
      <c r="I767" s="149"/>
      <c r="J767" s="150"/>
      <c r="K767" s="150"/>
      <c r="L767" s="149"/>
      <c r="M767" s="149"/>
      <c r="N767" s="149"/>
      <c r="O767" s="150"/>
      <c r="P767" s="150"/>
      <c r="Q767" s="149"/>
      <c r="R767" s="149"/>
      <c r="S767" s="149"/>
      <c r="T767" s="150"/>
      <c r="U767" s="150"/>
      <c r="V767" s="150"/>
      <c r="W767" s="150"/>
      <c r="X767" s="150"/>
      <c r="Y767" s="150"/>
      <c r="Z767" s="150"/>
      <c r="AA767" s="150"/>
      <c r="AB767" s="150"/>
      <c r="AC767" s="149"/>
      <c r="AD767" s="149"/>
      <c r="AE767" s="149"/>
      <c r="AF767" s="150"/>
      <c r="AG767" s="150"/>
      <c r="AH767" s="149"/>
      <c r="AI767" s="149"/>
      <c r="AJ767" s="149"/>
      <c r="AK767" s="150"/>
      <c r="AL767" s="150"/>
      <c r="AM767" s="149"/>
      <c r="AN767" s="149"/>
      <c r="AO767" s="149"/>
      <c r="AP767" s="150"/>
      <c r="AQ767" s="150"/>
      <c r="AR767" s="150"/>
      <c r="AS767" s="150"/>
      <c r="AT767" s="150"/>
      <c r="AU767" s="150"/>
      <c r="AV767" s="150"/>
      <c r="AW767" s="150"/>
      <c r="AX767" s="150"/>
      <c r="AY767" s="151"/>
      <c r="AZ767" s="151"/>
      <c r="BA767" s="151"/>
      <c r="BB767" s="151"/>
      <c r="BC767" s="151"/>
      <c r="BD767" s="151"/>
      <c r="BE767" s="151"/>
      <c r="BF767" s="151"/>
      <c r="BG767" s="151"/>
      <c r="BH767" s="151"/>
      <c r="BI767" s="151"/>
    </row>
    <row r="768" spans="1:61" x14ac:dyDescent="0.25">
      <c r="A768" s="149"/>
      <c r="B768" s="149"/>
      <c r="C768" s="149"/>
      <c r="D768" s="149"/>
      <c r="E768" s="150"/>
      <c r="F768" s="150"/>
      <c r="G768" s="149"/>
      <c r="H768" s="149"/>
      <c r="I768" s="149"/>
      <c r="J768" s="150"/>
      <c r="K768" s="150"/>
      <c r="L768" s="149"/>
      <c r="M768" s="149"/>
      <c r="N768" s="149"/>
      <c r="O768" s="150"/>
      <c r="P768" s="150"/>
      <c r="Q768" s="149"/>
      <c r="R768" s="149"/>
      <c r="S768" s="149"/>
      <c r="T768" s="150"/>
      <c r="U768" s="150"/>
      <c r="V768" s="150"/>
      <c r="W768" s="150"/>
      <c r="X768" s="150"/>
      <c r="Y768" s="150"/>
      <c r="Z768" s="150"/>
      <c r="AA768" s="150"/>
      <c r="AB768" s="150"/>
      <c r="AC768" s="149"/>
      <c r="AD768" s="149"/>
      <c r="AE768" s="149"/>
      <c r="AF768" s="150"/>
      <c r="AG768" s="150"/>
      <c r="AH768" s="149"/>
      <c r="AI768" s="149"/>
      <c r="AJ768" s="149"/>
      <c r="AK768" s="150"/>
      <c r="AL768" s="150"/>
      <c r="AM768" s="149"/>
      <c r="AN768" s="149"/>
      <c r="AO768" s="149"/>
      <c r="AP768" s="150"/>
      <c r="AQ768" s="150"/>
      <c r="AR768" s="150"/>
      <c r="AS768" s="150"/>
      <c r="AT768" s="150"/>
      <c r="AU768" s="150"/>
      <c r="AV768" s="150"/>
      <c r="AW768" s="150"/>
      <c r="AX768" s="150"/>
      <c r="AY768" s="151"/>
      <c r="AZ768" s="151"/>
      <c r="BA768" s="151"/>
      <c r="BB768" s="151"/>
      <c r="BC768" s="151"/>
      <c r="BD768" s="151"/>
      <c r="BE768" s="151"/>
      <c r="BF768" s="151"/>
      <c r="BG768" s="151"/>
      <c r="BH768" s="151"/>
      <c r="BI768" s="151"/>
    </row>
    <row r="769" spans="1:61" x14ac:dyDescent="0.25">
      <c r="A769" s="149"/>
      <c r="B769" s="149"/>
      <c r="C769" s="149"/>
      <c r="D769" s="149"/>
      <c r="E769" s="150"/>
      <c r="F769" s="150"/>
      <c r="G769" s="149"/>
      <c r="H769" s="149"/>
      <c r="I769" s="149"/>
      <c r="J769" s="150"/>
      <c r="K769" s="150"/>
      <c r="L769" s="149"/>
      <c r="M769" s="149"/>
      <c r="N769" s="149"/>
      <c r="O769" s="150"/>
      <c r="P769" s="150"/>
      <c r="Q769" s="149"/>
      <c r="R769" s="149"/>
      <c r="S769" s="149"/>
      <c r="T769" s="150"/>
      <c r="U769" s="150"/>
      <c r="V769" s="150"/>
      <c r="W769" s="150"/>
      <c r="X769" s="150"/>
      <c r="Y769" s="150"/>
      <c r="Z769" s="150"/>
      <c r="AA769" s="150"/>
      <c r="AB769" s="150"/>
      <c r="AC769" s="149"/>
      <c r="AD769" s="149"/>
      <c r="AE769" s="149"/>
      <c r="AF769" s="150"/>
      <c r="AG769" s="150"/>
      <c r="AH769" s="149"/>
      <c r="AI769" s="149"/>
      <c r="AJ769" s="149"/>
      <c r="AK769" s="150"/>
      <c r="AL769" s="150"/>
      <c r="AM769" s="149"/>
      <c r="AN769" s="149"/>
      <c r="AO769" s="149"/>
      <c r="AP769" s="150"/>
      <c r="AQ769" s="150"/>
      <c r="AR769" s="150"/>
      <c r="AS769" s="150"/>
      <c r="AT769" s="150"/>
      <c r="AU769" s="150"/>
      <c r="AV769" s="150"/>
      <c r="AW769" s="150"/>
      <c r="AX769" s="150"/>
      <c r="AY769" s="151"/>
      <c r="AZ769" s="151"/>
      <c r="BA769" s="151"/>
      <c r="BB769" s="151"/>
      <c r="BC769" s="151"/>
      <c r="BD769" s="151"/>
      <c r="BE769" s="151"/>
      <c r="BF769" s="151"/>
      <c r="BG769" s="151"/>
      <c r="BH769" s="151"/>
      <c r="BI769" s="151"/>
    </row>
    <row r="770" spans="1:61" x14ac:dyDescent="0.25">
      <c r="A770" s="149"/>
      <c r="B770" s="149"/>
      <c r="C770" s="149"/>
      <c r="D770" s="149"/>
      <c r="E770" s="150"/>
      <c r="F770" s="150"/>
      <c r="G770" s="149"/>
      <c r="H770" s="149"/>
      <c r="I770" s="149"/>
      <c r="J770" s="150"/>
      <c r="K770" s="150"/>
      <c r="L770" s="149"/>
      <c r="M770" s="149"/>
      <c r="N770" s="149"/>
      <c r="O770" s="150"/>
      <c r="P770" s="150"/>
      <c r="Q770" s="149"/>
      <c r="R770" s="149"/>
      <c r="S770" s="149"/>
      <c r="T770" s="150"/>
      <c r="U770" s="150"/>
      <c r="V770" s="150"/>
      <c r="W770" s="150"/>
      <c r="X770" s="150"/>
      <c r="Y770" s="150"/>
      <c r="Z770" s="150"/>
      <c r="AA770" s="150"/>
      <c r="AB770" s="150"/>
      <c r="AC770" s="149"/>
      <c r="AD770" s="149"/>
      <c r="AE770" s="149"/>
      <c r="AF770" s="150"/>
      <c r="AG770" s="150"/>
      <c r="AH770" s="149"/>
      <c r="AI770" s="149"/>
      <c r="AJ770" s="149"/>
      <c r="AK770" s="150"/>
      <c r="AL770" s="150"/>
      <c r="AM770" s="149"/>
      <c r="AN770" s="149"/>
      <c r="AO770" s="149"/>
      <c r="AP770" s="150"/>
      <c r="AQ770" s="150"/>
      <c r="AR770" s="150"/>
      <c r="AS770" s="150"/>
      <c r="AT770" s="150"/>
      <c r="AU770" s="150"/>
      <c r="AV770" s="150"/>
      <c r="AW770" s="150"/>
      <c r="AX770" s="150"/>
      <c r="AY770" s="151"/>
      <c r="AZ770" s="151"/>
      <c r="BA770" s="151"/>
      <c r="BB770" s="151"/>
      <c r="BC770" s="151"/>
      <c r="BD770" s="151"/>
      <c r="BE770" s="151"/>
      <c r="BF770" s="151"/>
      <c r="BG770" s="151"/>
      <c r="BH770" s="151"/>
      <c r="BI770" s="151"/>
    </row>
    <row r="771" spans="1:61" x14ac:dyDescent="0.25">
      <c r="A771" s="149"/>
      <c r="B771" s="149"/>
      <c r="C771" s="149"/>
      <c r="D771" s="149"/>
      <c r="E771" s="150"/>
      <c r="F771" s="150"/>
      <c r="G771" s="149"/>
      <c r="H771" s="149"/>
      <c r="I771" s="149"/>
      <c r="J771" s="150"/>
      <c r="K771" s="150"/>
      <c r="L771" s="149"/>
      <c r="M771" s="149"/>
      <c r="N771" s="149"/>
      <c r="O771" s="150"/>
      <c r="P771" s="150"/>
      <c r="Q771" s="149"/>
      <c r="R771" s="149"/>
      <c r="S771" s="149"/>
      <c r="T771" s="150"/>
      <c r="U771" s="150"/>
      <c r="V771" s="150"/>
      <c r="W771" s="150"/>
      <c r="X771" s="150"/>
      <c r="Y771" s="150"/>
      <c r="Z771" s="150"/>
      <c r="AA771" s="150"/>
      <c r="AB771" s="150"/>
      <c r="AC771" s="149"/>
      <c r="AD771" s="149"/>
      <c r="AE771" s="149"/>
      <c r="AF771" s="150"/>
      <c r="AG771" s="150"/>
      <c r="AH771" s="149"/>
      <c r="AI771" s="149"/>
      <c r="AJ771" s="149"/>
      <c r="AK771" s="150"/>
      <c r="AL771" s="150"/>
      <c r="AM771" s="149"/>
      <c r="AN771" s="149"/>
      <c r="AO771" s="149"/>
      <c r="AP771" s="150"/>
      <c r="AQ771" s="150"/>
      <c r="AR771" s="150"/>
      <c r="AS771" s="150"/>
      <c r="AT771" s="150"/>
      <c r="AU771" s="150"/>
      <c r="AV771" s="150"/>
      <c r="AW771" s="150"/>
      <c r="AX771" s="150"/>
      <c r="AY771" s="151"/>
      <c r="AZ771" s="151"/>
      <c r="BA771" s="151"/>
      <c r="BB771" s="151"/>
      <c r="BC771" s="151"/>
      <c r="BD771" s="151"/>
      <c r="BE771" s="151"/>
      <c r="BF771" s="151"/>
      <c r="BG771" s="151"/>
      <c r="BH771" s="151"/>
      <c r="BI771" s="151"/>
    </row>
    <row r="772" spans="1:61" x14ac:dyDescent="0.25">
      <c r="A772" s="149"/>
      <c r="B772" s="149"/>
      <c r="C772" s="149"/>
      <c r="D772" s="149"/>
      <c r="E772" s="150"/>
      <c r="F772" s="150"/>
      <c r="G772" s="149"/>
      <c r="H772" s="149"/>
      <c r="I772" s="149"/>
      <c r="J772" s="150"/>
      <c r="K772" s="150"/>
      <c r="L772" s="149"/>
      <c r="M772" s="149"/>
      <c r="N772" s="149"/>
      <c r="O772" s="150"/>
      <c r="P772" s="150"/>
      <c r="Q772" s="149"/>
      <c r="R772" s="149"/>
      <c r="S772" s="149"/>
      <c r="T772" s="150"/>
      <c r="U772" s="150"/>
      <c r="V772" s="150"/>
      <c r="W772" s="150"/>
      <c r="X772" s="150"/>
      <c r="Y772" s="150"/>
      <c r="Z772" s="150"/>
      <c r="AA772" s="150"/>
      <c r="AB772" s="150"/>
      <c r="AC772" s="149"/>
      <c r="AD772" s="149"/>
      <c r="AE772" s="149"/>
      <c r="AF772" s="150"/>
      <c r="AG772" s="150"/>
      <c r="AH772" s="149"/>
      <c r="AI772" s="149"/>
      <c r="AJ772" s="149"/>
      <c r="AK772" s="150"/>
      <c r="AL772" s="150"/>
      <c r="AM772" s="149"/>
      <c r="AN772" s="149"/>
      <c r="AO772" s="149"/>
      <c r="AP772" s="150"/>
      <c r="AQ772" s="150"/>
      <c r="AR772" s="150"/>
      <c r="AS772" s="150"/>
      <c r="AT772" s="150"/>
      <c r="AU772" s="150"/>
      <c r="AV772" s="150"/>
      <c r="AW772" s="150"/>
      <c r="AX772" s="150"/>
      <c r="AY772" s="151"/>
      <c r="AZ772" s="151"/>
      <c r="BA772" s="151"/>
      <c r="BB772" s="151"/>
      <c r="BC772" s="151"/>
      <c r="BD772" s="151"/>
      <c r="BE772" s="151"/>
      <c r="BF772" s="151"/>
      <c r="BG772" s="151"/>
      <c r="BH772" s="151"/>
      <c r="BI772" s="151"/>
    </row>
    <row r="773" spans="1:61" x14ac:dyDescent="0.25">
      <c r="A773" s="149"/>
      <c r="B773" s="149"/>
      <c r="C773" s="149"/>
      <c r="D773" s="149"/>
      <c r="E773" s="150"/>
      <c r="F773" s="150"/>
      <c r="G773" s="149"/>
      <c r="H773" s="149"/>
      <c r="I773" s="149"/>
      <c r="J773" s="150"/>
      <c r="K773" s="150"/>
      <c r="L773" s="149"/>
      <c r="M773" s="149"/>
      <c r="N773" s="149"/>
      <c r="O773" s="150"/>
      <c r="P773" s="150"/>
      <c r="Q773" s="149"/>
      <c r="R773" s="149"/>
      <c r="S773" s="149"/>
      <c r="T773" s="150"/>
      <c r="U773" s="150"/>
      <c r="V773" s="150"/>
      <c r="W773" s="150"/>
      <c r="X773" s="150"/>
      <c r="Y773" s="150"/>
      <c r="Z773" s="150"/>
      <c r="AA773" s="150"/>
      <c r="AB773" s="150"/>
      <c r="AC773" s="149"/>
      <c r="AD773" s="149"/>
      <c r="AE773" s="149"/>
      <c r="AF773" s="150"/>
      <c r="AG773" s="150"/>
      <c r="AH773" s="149"/>
      <c r="AI773" s="149"/>
      <c r="AJ773" s="149"/>
      <c r="AK773" s="150"/>
      <c r="AL773" s="150"/>
      <c r="AM773" s="149"/>
      <c r="AN773" s="149"/>
      <c r="AO773" s="149"/>
      <c r="AP773" s="150"/>
      <c r="AQ773" s="150"/>
      <c r="AR773" s="150"/>
      <c r="AS773" s="150"/>
      <c r="AT773" s="150"/>
      <c r="AU773" s="150"/>
      <c r="AV773" s="150"/>
      <c r="AW773" s="150"/>
      <c r="AX773" s="150"/>
      <c r="AY773" s="151"/>
      <c r="AZ773" s="151"/>
      <c r="BA773" s="151"/>
      <c r="BB773" s="151"/>
      <c r="BC773" s="151"/>
      <c r="BD773" s="151"/>
      <c r="BE773" s="151"/>
      <c r="BF773" s="151"/>
      <c r="BG773" s="151"/>
      <c r="BH773" s="151"/>
      <c r="BI773" s="151"/>
    </row>
    <row r="774" spans="1:61" x14ac:dyDescent="0.25">
      <c r="A774" s="149"/>
      <c r="B774" s="149"/>
      <c r="C774" s="149"/>
      <c r="D774" s="149"/>
      <c r="E774" s="150"/>
      <c r="F774" s="150"/>
      <c r="G774" s="149"/>
      <c r="H774" s="149"/>
      <c r="I774" s="149"/>
      <c r="J774" s="150"/>
      <c r="K774" s="150"/>
      <c r="L774" s="149"/>
      <c r="M774" s="149"/>
      <c r="N774" s="149"/>
      <c r="O774" s="150"/>
      <c r="P774" s="150"/>
      <c r="Q774" s="149"/>
      <c r="R774" s="149"/>
      <c r="S774" s="149"/>
      <c r="T774" s="150"/>
      <c r="U774" s="150"/>
      <c r="V774" s="150"/>
      <c r="W774" s="150"/>
      <c r="X774" s="150"/>
      <c r="Y774" s="150"/>
      <c r="Z774" s="150"/>
      <c r="AA774" s="150"/>
      <c r="AB774" s="150"/>
      <c r="AC774" s="149"/>
      <c r="AD774" s="149"/>
      <c r="AE774" s="149"/>
      <c r="AF774" s="150"/>
      <c r="AG774" s="150"/>
      <c r="AH774" s="149"/>
      <c r="AI774" s="149"/>
      <c r="AJ774" s="149"/>
      <c r="AK774" s="150"/>
      <c r="AL774" s="150"/>
      <c r="AM774" s="149"/>
      <c r="AN774" s="149"/>
      <c r="AO774" s="149"/>
      <c r="AP774" s="150"/>
      <c r="AQ774" s="150"/>
      <c r="AR774" s="150"/>
      <c r="AS774" s="150"/>
      <c r="AT774" s="150"/>
      <c r="AU774" s="150"/>
      <c r="AV774" s="150"/>
      <c r="AW774" s="150"/>
      <c r="AX774" s="150"/>
      <c r="AY774" s="151"/>
      <c r="AZ774" s="151"/>
      <c r="BA774" s="151"/>
      <c r="BB774" s="151"/>
      <c r="BC774" s="151"/>
      <c r="BD774" s="151"/>
      <c r="BE774" s="151"/>
      <c r="BF774" s="151"/>
      <c r="BG774" s="151"/>
      <c r="BH774" s="151"/>
      <c r="BI774" s="151"/>
    </row>
    <row r="775" spans="1:61" x14ac:dyDescent="0.25">
      <c r="A775" s="149"/>
      <c r="B775" s="149"/>
      <c r="C775" s="149"/>
      <c r="D775" s="149"/>
      <c r="E775" s="150"/>
      <c r="F775" s="150"/>
      <c r="G775" s="149"/>
      <c r="H775" s="149"/>
      <c r="I775" s="149"/>
      <c r="J775" s="150"/>
      <c r="K775" s="150"/>
      <c r="L775" s="149"/>
      <c r="M775" s="149"/>
      <c r="N775" s="149"/>
      <c r="O775" s="150"/>
      <c r="P775" s="150"/>
      <c r="Q775" s="149"/>
      <c r="R775" s="149"/>
      <c r="S775" s="149"/>
      <c r="T775" s="150"/>
      <c r="U775" s="150"/>
      <c r="V775" s="150"/>
      <c r="W775" s="150"/>
      <c r="X775" s="150"/>
      <c r="Y775" s="150"/>
      <c r="Z775" s="150"/>
      <c r="AA775" s="150"/>
      <c r="AB775" s="150"/>
      <c r="AC775" s="149"/>
      <c r="AD775" s="149"/>
      <c r="AE775" s="149"/>
      <c r="AF775" s="150"/>
      <c r="AG775" s="150"/>
      <c r="AH775" s="149"/>
      <c r="AI775" s="149"/>
      <c r="AJ775" s="149"/>
      <c r="AK775" s="150"/>
      <c r="AL775" s="150"/>
      <c r="AM775" s="149"/>
      <c r="AN775" s="149"/>
      <c r="AO775" s="149"/>
      <c r="AP775" s="150"/>
      <c r="AQ775" s="150"/>
      <c r="AR775" s="150"/>
      <c r="AS775" s="150"/>
      <c r="AT775" s="150"/>
      <c r="AU775" s="150"/>
      <c r="AV775" s="150"/>
      <c r="AW775" s="150"/>
      <c r="AX775" s="150"/>
      <c r="AY775" s="151"/>
      <c r="AZ775" s="151"/>
      <c r="BA775" s="151"/>
      <c r="BB775" s="151"/>
      <c r="BC775" s="151"/>
      <c r="BD775" s="151"/>
      <c r="BE775" s="151"/>
      <c r="BF775" s="151"/>
      <c r="BG775" s="151"/>
      <c r="BH775" s="151"/>
      <c r="BI775" s="151"/>
    </row>
    <row r="776" spans="1:61" x14ac:dyDescent="0.25">
      <c r="A776" s="149"/>
      <c r="B776" s="149"/>
      <c r="C776" s="149"/>
      <c r="D776" s="149"/>
      <c r="E776" s="150"/>
      <c r="F776" s="150"/>
      <c r="G776" s="149"/>
      <c r="H776" s="149"/>
      <c r="I776" s="149"/>
      <c r="J776" s="150"/>
      <c r="K776" s="150"/>
      <c r="L776" s="149"/>
      <c r="M776" s="149"/>
      <c r="N776" s="149"/>
      <c r="O776" s="150"/>
      <c r="P776" s="150"/>
      <c r="Q776" s="149"/>
      <c r="R776" s="149"/>
      <c r="S776" s="149"/>
      <c r="T776" s="150"/>
      <c r="U776" s="150"/>
      <c r="V776" s="150"/>
      <c r="W776" s="150"/>
      <c r="X776" s="150"/>
      <c r="Y776" s="150"/>
      <c r="Z776" s="150"/>
      <c r="AA776" s="150"/>
      <c r="AB776" s="150"/>
      <c r="AC776" s="149"/>
      <c r="AD776" s="149"/>
      <c r="AE776" s="149"/>
      <c r="AF776" s="150"/>
      <c r="AG776" s="150"/>
      <c r="AH776" s="149"/>
      <c r="AI776" s="149"/>
      <c r="AJ776" s="149"/>
      <c r="AK776" s="150"/>
      <c r="AL776" s="150"/>
      <c r="AM776" s="149"/>
      <c r="AN776" s="149"/>
      <c r="AO776" s="149"/>
      <c r="AP776" s="150"/>
      <c r="AQ776" s="150"/>
      <c r="AR776" s="150"/>
      <c r="AS776" s="150"/>
      <c r="AT776" s="150"/>
      <c r="AU776" s="150"/>
      <c r="AV776" s="150"/>
      <c r="AW776" s="150"/>
      <c r="AX776" s="150"/>
      <c r="AY776" s="151"/>
      <c r="AZ776" s="151"/>
      <c r="BA776" s="151"/>
      <c r="BB776" s="151"/>
      <c r="BC776" s="151"/>
      <c r="BD776" s="151"/>
      <c r="BE776" s="151"/>
      <c r="BF776" s="151"/>
      <c r="BG776" s="151"/>
      <c r="BH776" s="151"/>
      <c r="BI776" s="151"/>
    </row>
    <row r="777" spans="1:61" x14ac:dyDescent="0.25">
      <c r="A777" s="149"/>
      <c r="B777" s="149"/>
      <c r="C777" s="149"/>
      <c r="D777" s="149"/>
      <c r="E777" s="150"/>
      <c r="F777" s="150"/>
      <c r="G777" s="149"/>
      <c r="H777" s="149"/>
      <c r="I777" s="149"/>
      <c r="J777" s="150"/>
      <c r="K777" s="150"/>
      <c r="L777" s="149"/>
      <c r="M777" s="149"/>
      <c r="N777" s="149"/>
      <c r="O777" s="150"/>
      <c r="P777" s="150"/>
      <c r="Q777" s="149"/>
      <c r="R777" s="149"/>
      <c r="S777" s="149"/>
      <c r="T777" s="150"/>
      <c r="U777" s="150"/>
      <c r="V777" s="150"/>
      <c r="W777" s="150"/>
      <c r="X777" s="150"/>
      <c r="Y777" s="150"/>
      <c r="Z777" s="150"/>
      <c r="AA777" s="150"/>
      <c r="AB777" s="150"/>
      <c r="AC777" s="149"/>
      <c r="AD777" s="149"/>
      <c r="AE777" s="149"/>
      <c r="AF777" s="150"/>
      <c r="AG777" s="150"/>
      <c r="AH777" s="149"/>
      <c r="AI777" s="149"/>
      <c r="AJ777" s="149"/>
      <c r="AK777" s="150"/>
      <c r="AL777" s="150"/>
      <c r="AM777" s="149"/>
      <c r="AN777" s="149"/>
      <c r="AO777" s="149"/>
      <c r="AP777" s="150"/>
      <c r="AQ777" s="150"/>
      <c r="AR777" s="150"/>
      <c r="AS777" s="150"/>
      <c r="AT777" s="150"/>
      <c r="AU777" s="150"/>
      <c r="AV777" s="150"/>
      <c r="AW777" s="150"/>
      <c r="AX777" s="150"/>
      <c r="AY777" s="151"/>
      <c r="AZ777" s="151"/>
      <c r="BA777" s="151"/>
      <c r="BB777" s="151"/>
      <c r="BC777" s="151"/>
      <c r="BD777" s="151"/>
      <c r="BE777" s="151"/>
      <c r="BF777" s="151"/>
      <c r="BG777" s="151"/>
      <c r="BH777" s="151"/>
      <c r="BI777" s="151"/>
    </row>
    <row r="778" spans="1:61" x14ac:dyDescent="0.25">
      <c r="A778" s="149"/>
      <c r="B778" s="149"/>
      <c r="C778" s="149"/>
      <c r="D778" s="149"/>
      <c r="E778" s="150"/>
      <c r="F778" s="150"/>
      <c r="G778" s="149"/>
      <c r="H778" s="149"/>
      <c r="I778" s="149"/>
      <c r="J778" s="150"/>
      <c r="K778" s="150"/>
      <c r="L778" s="149"/>
      <c r="M778" s="149"/>
      <c r="N778" s="149"/>
      <c r="O778" s="150"/>
      <c r="P778" s="150"/>
      <c r="Q778" s="149"/>
      <c r="R778" s="149"/>
      <c r="S778" s="149"/>
      <c r="T778" s="150"/>
      <c r="U778" s="150"/>
      <c r="V778" s="150"/>
      <c r="W778" s="150"/>
      <c r="X778" s="150"/>
      <c r="Y778" s="150"/>
      <c r="Z778" s="150"/>
      <c r="AA778" s="150"/>
      <c r="AB778" s="150"/>
      <c r="AC778" s="149"/>
      <c r="AD778" s="149"/>
      <c r="AE778" s="149"/>
      <c r="AF778" s="150"/>
      <c r="AG778" s="150"/>
      <c r="AH778" s="149"/>
      <c r="AI778" s="149"/>
      <c r="AJ778" s="149"/>
      <c r="AK778" s="150"/>
      <c r="AL778" s="150"/>
      <c r="AM778" s="149"/>
      <c r="AN778" s="149"/>
      <c r="AO778" s="149"/>
      <c r="AP778" s="150"/>
      <c r="AQ778" s="150"/>
      <c r="AR778" s="150"/>
      <c r="AS778" s="150"/>
      <c r="AT778" s="150"/>
      <c r="AU778" s="150"/>
      <c r="AV778" s="150"/>
      <c r="AW778" s="150"/>
      <c r="AX778" s="150"/>
      <c r="AY778" s="151"/>
      <c r="AZ778" s="151"/>
      <c r="BA778" s="151"/>
      <c r="BB778" s="151"/>
      <c r="BC778" s="151"/>
      <c r="BD778" s="151"/>
      <c r="BE778" s="151"/>
      <c r="BF778" s="151"/>
      <c r="BG778" s="151"/>
      <c r="BH778" s="151"/>
      <c r="BI778" s="151"/>
    </row>
    <row r="779" spans="1:61" x14ac:dyDescent="0.25">
      <c r="A779" s="149"/>
      <c r="B779" s="149"/>
      <c r="C779" s="149"/>
      <c r="D779" s="149"/>
      <c r="E779" s="150"/>
      <c r="F779" s="150"/>
      <c r="G779" s="149"/>
      <c r="H779" s="149"/>
      <c r="I779" s="149"/>
      <c r="J779" s="150"/>
      <c r="K779" s="150"/>
      <c r="L779" s="149"/>
      <c r="M779" s="149"/>
      <c r="N779" s="149"/>
      <c r="O779" s="150"/>
      <c r="P779" s="150"/>
      <c r="Q779" s="149"/>
      <c r="R779" s="149"/>
      <c r="S779" s="149"/>
      <c r="T779" s="150"/>
      <c r="U779" s="150"/>
      <c r="V779" s="150"/>
      <c r="W779" s="150"/>
      <c r="X779" s="150"/>
      <c r="Y779" s="150"/>
      <c r="Z779" s="150"/>
      <c r="AA779" s="150"/>
      <c r="AB779" s="150"/>
      <c r="AC779" s="149"/>
      <c r="AD779" s="149"/>
      <c r="AE779" s="149"/>
      <c r="AF779" s="150"/>
      <c r="AG779" s="150"/>
      <c r="AH779" s="149"/>
      <c r="AI779" s="149"/>
      <c r="AJ779" s="149"/>
      <c r="AK779" s="150"/>
      <c r="AL779" s="150"/>
      <c r="AM779" s="149"/>
      <c r="AN779" s="149"/>
      <c r="AO779" s="149"/>
      <c r="AP779" s="150"/>
      <c r="AQ779" s="150"/>
      <c r="AR779" s="150"/>
      <c r="AS779" s="150"/>
      <c r="AT779" s="150"/>
      <c r="AU779" s="150"/>
      <c r="AV779" s="150"/>
      <c r="AW779" s="150"/>
      <c r="AX779" s="150"/>
      <c r="AY779" s="151"/>
      <c r="AZ779" s="151"/>
      <c r="BA779" s="151"/>
      <c r="BB779" s="151"/>
      <c r="BC779" s="151"/>
      <c r="BD779" s="151"/>
      <c r="BE779" s="151"/>
      <c r="BF779" s="151"/>
      <c r="BG779" s="151"/>
      <c r="BH779" s="151"/>
      <c r="BI779" s="151"/>
    </row>
    <row r="780" spans="1:61" x14ac:dyDescent="0.25">
      <c r="A780" s="149"/>
      <c r="B780" s="149"/>
      <c r="C780" s="149"/>
      <c r="D780" s="149"/>
      <c r="E780" s="150"/>
      <c r="F780" s="150"/>
      <c r="G780" s="149"/>
      <c r="H780" s="149"/>
      <c r="I780" s="149"/>
      <c r="J780" s="150"/>
      <c r="K780" s="150"/>
      <c r="L780" s="149"/>
      <c r="M780" s="149"/>
      <c r="N780" s="149"/>
      <c r="O780" s="150"/>
      <c r="P780" s="150"/>
      <c r="Q780" s="149"/>
      <c r="R780" s="149"/>
      <c r="S780" s="149"/>
      <c r="T780" s="150"/>
      <c r="U780" s="150"/>
      <c r="V780" s="150"/>
      <c r="W780" s="150"/>
      <c r="X780" s="150"/>
      <c r="Y780" s="150"/>
      <c r="Z780" s="150"/>
      <c r="AA780" s="150"/>
      <c r="AB780" s="150"/>
      <c r="AC780" s="149"/>
      <c r="AD780" s="149"/>
      <c r="AE780" s="149"/>
      <c r="AF780" s="150"/>
      <c r="AG780" s="150"/>
      <c r="AH780" s="149"/>
      <c r="AI780" s="149"/>
      <c r="AJ780" s="149"/>
      <c r="AK780" s="150"/>
      <c r="AL780" s="150"/>
      <c r="AM780" s="149"/>
      <c r="AN780" s="149"/>
      <c r="AO780" s="149"/>
      <c r="AP780" s="150"/>
      <c r="AQ780" s="150"/>
      <c r="AR780" s="150"/>
      <c r="AS780" s="150"/>
      <c r="AT780" s="150"/>
      <c r="AU780" s="150"/>
      <c r="AV780" s="150"/>
      <c r="AW780" s="150"/>
      <c r="AX780" s="150"/>
      <c r="AY780" s="151"/>
      <c r="AZ780" s="151"/>
      <c r="BA780" s="151"/>
      <c r="BB780" s="151"/>
      <c r="BC780" s="151"/>
      <c r="BD780" s="151"/>
      <c r="BE780" s="151"/>
      <c r="BF780" s="151"/>
      <c r="BG780" s="151"/>
      <c r="BH780" s="151"/>
      <c r="BI780" s="151"/>
    </row>
    <row r="781" spans="1:61" x14ac:dyDescent="0.25">
      <c r="A781" s="149"/>
      <c r="B781" s="149"/>
      <c r="C781" s="149"/>
      <c r="D781" s="149"/>
      <c r="E781" s="150"/>
      <c r="F781" s="150"/>
      <c r="G781" s="149"/>
      <c r="H781" s="149"/>
      <c r="I781" s="149"/>
      <c r="J781" s="150"/>
      <c r="K781" s="150"/>
      <c r="L781" s="149"/>
      <c r="M781" s="149"/>
      <c r="N781" s="149"/>
      <c r="O781" s="150"/>
      <c r="P781" s="150"/>
      <c r="Q781" s="149"/>
      <c r="R781" s="149"/>
      <c r="S781" s="149"/>
      <c r="T781" s="150"/>
      <c r="U781" s="150"/>
      <c r="V781" s="150"/>
      <c r="W781" s="150"/>
      <c r="X781" s="150"/>
      <c r="Y781" s="150"/>
      <c r="Z781" s="150"/>
      <c r="AA781" s="150"/>
      <c r="AB781" s="150"/>
      <c r="AC781" s="149"/>
      <c r="AD781" s="149"/>
      <c r="AE781" s="149"/>
      <c r="AF781" s="150"/>
      <c r="AG781" s="150"/>
      <c r="AH781" s="149"/>
      <c r="AI781" s="149"/>
      <c r="AJ781" s="149"/>
      <c r="AK781" s="150"/>
      <c r="AL781" s="150"/>
      <c r="AM781" s="149"/>
      <c r="AN781" s="149"/>
      <c r="AO781" s="149"/>
      <c r="AP781" s="150"/>
      <c r="AQ781" s="150"/>
      <c r="AR781" s="150"/>
      <c r="AS781" s="150"/>
      <c r="AT781" s="150"/>
      <c r="AU781" s="150"/>
      <c r="AV781" s="150"/>
      <c r="AW781" s="150"/>
      <c r="AX781" s="150"/>
      <c r="AY781" s="151"/>
      <c r="AZ781" s="151"/>
      <c r="BA781" s="151"/>
      <c r="BB781" s="151"/>
      <c r="BC781" s="151"/>
      <c r="BD781" s="151"/>
      <c r="BE781" s="151"/>
      <c r="BF781" s="151"/>
      <c r="BG781" s="151"/>
      <c r="BH781" s="151"/>
      <c r="BI781" s="151"/>
    </row>
    <row r="782" spans="1:61" x14ac:dyDescent="0.25">
      <c r="A782" s="149"/>
      <c r="B782" s="149"/>
      <c r="C782" s="149"/>
      <c r="D782" s="149"/>
      <c r="E782" s="150"/>
      <c r="F782" s="150"/>
      <c r="G782" s="149"/>
      <c r="H782" s="149"/>
      <c r="I782" s="149"/>
      <c r="J782" s="150"/>
      <c r="K782" s="150"/>
      <c r="L782" s="149"/>
      <c r="M782" s="149"/>
      <c r="N782" s="149"/>
      <c r="O782" s="150"/>
      <c r="P782" s="150"/>
      <c r="Q782" s="149"/>
      <c r="R782" s="149"/>
      <c r="S782" s="149"/>
      <c r="T782" s="150"/>
      <c r="U782" s="150"/>
      <c r="V782" s="150"/>
      <c r="W782" s="150"/>
      <c r="X782" s="150"/>
      <c r="Y782" s="150"/>
      <c r="Z782" s="150"/>
      <c r="AA782" s="150"/>
      <c r="AB782" s="150"/>
      <c r="AC782" s="149"/>
      <c r="AD782" s="149"/>
      <c r="AE782" s="149"/>
      <c r="AF782" s="150"/>
      <c r="AG782" s="150"/>
      <c r="AH782" s="149"/>
      <c r="AI782" s="149"/>
      <c r="AJ782" s="149"/>
      <c r="AK782" s="150"/>
      <c r="AL782" s="150"/>
      <c r="AM782" s="149"/>
      <c r="AN782" s="149"/>
      <c r="AO782" s="149"/>
      <c r="AP782" s="150"/>
      <c r="AQ782" s="150"/>
      <c r="AR782" s="150"/>
      <c r="AS782" s="150"/>
      <c r="AT782" s="150"/>
      <c r="AU782" s="150"/>
      <c r="AV782" s="150"/>
      <c r="AW782" s="150"/>
      <c r="AX782" s="150"/>
      <c r="AY782" s="151"/>
      <c r="AZ782" s="151"/>
      <c r="BA782" s="151"/>
      <c r="BB782" s="151"/>
      <c r="BC782" s="151"/>
      <c r="BD782" s="151"/>
      <c r="BE782" s="151"/>
      <c r="BF782" s="151"/>
      <c r="BG782" s="151"/>
      <c r="BH782" s="151"/>
      <c r="BI782" s="151"/>
    </row>
    <row r="783" spans="1:61" x14ac:dyDescent="0.25">
      <c r="A783" s="149"/>
      <c r="B783" s="149"/>
      <c r="C783" s="149"/>
      <c r="D783" s="149"/>
      <c r="E783" s="150"/>
      <c r="F783" s="150"/>
      <c r="G783" s="149"/>
      <c r="H783" s="149"/>
      <c r="I783" s="149"/>
      <c r="J783" s="150"/>
      <c r="K783" s="150"/>
      <c r="L783" s="149"/>
      <c r="M783" s="149"/>
      <c r="N783" s="149"/>
      <c r="O783" s="150"/>
      <c r="P783" s="150"/>
      <c r="Q783" s="149"/>
      <c r="R783" s="149"/>
      <c r="S783" s="149"/>
      <c r="T783" s="150"/>
      <c r="U783" s="150"/>
      <c r="V783" s="150"/>
      <c r="W783" s="150"/>
      <c r="X783" s="150"/>
      <c r="Y783" s="150"/>
      <c r="Z783" s="150"/>
      <c r="AA783" s="150"/>
      <c r="AB783" s="150"/>
      <c r="AC783" s="149"/>
      <c r="AD783" s="149"/>
      <c r="AE783" s="149"/>
      <c r="AF783" s="150"/>
      <c r="AG783" s="150"/>
      <c r="AH783" s="149"/>
      <c r="AI783" s="149"/>
      <c r="AJ783" s="149"/>
      <c r="AK783" s="150"/>
      <c r="AL783" s="150"/>
      <c r="AM783" s="149"/>
      <c r="AN783" s="149"/>
      <c r="AO783" s="149"/>
      <c r="AP783" s="150"/>
      <c r="AQ783" s="150"/>
      <c r="AR783" s="150"/>
      <c r="AS783" s="150"/>
      <c r="AT783" s="150"/>
      <c r="AU783" s="150"/>
      <c r="AV783" s="150"/>
      <c r="AW783" s="150"/>
      <c r="AX783" s="150"/>
      <c r="AY783" s="151"/>
      <c r="AZ783" s="151"/>
      <c r="BA783" s="151"/>
      <c r="BB783" s="151"/>
      <c r="BC783" s="151"/>
      <c r="BD783" s="151"/>
      <c r="BE783" s="151"/>
      <c r="BF783" s="151"/>
      <c r="BG783" s="151"/>
      <c r="BH783" s="151"/>
      <c r="BI783" s="151"/>
    </row>
    <row r="784" spans="1:61" x14ac:dyDescent="0.25">
      <c r="A784" s="149"/>
      <c r="B784" s="149"/>
      <c r="C784" s="149"/>
      <c r="D784" s="149"/>
      <c r="E784" s="150"/>
      <c r="F784" s="150"/>
      <c r="G784" s="149"/>
      <c r="H784" s="149"/>
      <c r="I784" s="149"/>
      <c r="J784" s="150"/>
      <c r="K784" s="150"/>
      <c r="L784" s="149"/>
      <c r="M784" s="149"/>
      <c r="N784" s="149"/>
      <c r="O784" s="150"/>
      <c r="P784" s="150"/>
      <c r="Q784" s="149"/>
      <c r="R784" s="149"/>
      <c r="S784" s="149"/>
      <c r="T784" s="150"/>
      <c r="U784" s="150"/>
      <c r="V784" s="150"/>
      <c r="W784" s="150"/>
      <c r="X784" s="150"/>
      <c r="Y784" s="150"/>
      <c r="Z784" s="150"/>
      <c r="AA784" s="150"/>
      <c r="AB784" s="150"/>
      <c r="AC784" s="149"/>
      <c r="AD784" s="149"/>
      <c r="AE784" s="149"/>
      <c r="AF784" s="150"/>
      <c r="AG784" s="150"/>
      <c r="AH784" s="149"/>
      <c r="AI784" s="149"/>
      <c r="AJ784" s="149"/>
      <c r="AK784" s="150"/>
      <c r="AL784" s="150"/>
      <c r="AM784" s="149"/>
      <c r="AN784" s="149"/>
      <c r="AO784" s="149"/>
      <c r="AP784" s="150"/>
      <c r="AQ784" s="150"/>
      <c r="AR784" s="150"/>
      <c r="AS784" s="150"/>
      <c r="AT784" s="150"/>
      <c r="AU784" s="150"/>
      <c r="AV784" s="150"/>
      <c r="AW784" s="150"/>
      <c r="AX784" s="150"/>
      <c r="AY784" s="151"/>
      <c r="AZ784" s="151"/>
      <c r="BA784" s="151"/>
      <c r="BB784" s="151"/>
      <c r="BC784" s="151"/>
      <c r="BD784" s="151"/>
      <c r="BE784" s="151"/>
      <c r="BF784" s="151"/>
      <c r="BG784" s="151"/>
      <c r="BH784" s="151"/>
      <c r="BI784" s="151"/>
    </row>
    <row r="785" spans="1:61" x14ac:dyDescent="0.25">
      <c r="A785" s="149"/>
      <c r="B785" s="149"/>
      <c r="C785" s="149"/>
      <c r="D785" s="149"/>
      <c r="E785" s="150"/>
      <c r="F785" s="150"/>
      <c r="G785" s="149"/>
      <c r="H785" s="149"/>
      <c r="I785" s="149"/>
      <c r="J785" s="150"/>
      <c r="K785" s="150"/>
      <c r="L785" s="149"/>
      <c r="M785" s="149"/>
      <c r="N785" s="149"/>
      <c r="O785" s="150"/>
      <c r="P785" s="150"/>
      <c r="Q785" s="149"/>
      <c r="R785" s="149"/>
      <c r="S785" s="149"/>
      <c r="T785" s="150"/>
      <c r="U785" s="150"/>
      <c r="V785" s="150"/>
      <c r="W785" s="150"/>
      <c r="X785" s="150"/>
      <c r="Y785" s="150"/>
      <c r="Z785" s="150"/>
      <c r="AA785" s="150"/>
      <c r="AB785" s="150"/>
      <c r="AC785" s="149"/>
      <c r="AD785" s="149"/>
      <c r="AE785" s="149"/>
      <c r="AF785" s="150"/>
      <c r="AG785" s="150"/>
      <c r="AH785" s="149"/>
      <c r="AI785" s="149"/>
      <c r="AJ785" s="149"/>
      <c r="AK785" s="150"/>
      <c r="AL785" s="150"/>
      <c r="AM785" s="149"/>
      <c r="AN785" s="149"/>
      <c r="AO785" s="149"/>
      <c r="AP785" s="150"/>
      <c r="AQ785" s="150"/>
      <c r="AR785" s="150"/>
      <c r="AS785" s="150"/>
      <c r="AT785" s="150"/>
      <c r="AU785" s="150"/>
      <c r="AV785" s="150"/>
      <c r="AW785" s="150"/>
      <c r="AX785" s="150"/>
      <c r="AY785" s="151"/>
      <c r="AZ785" s="151"/>
      <c r="BA785" s="151"/>
      <c r="BB785" s="151"/>
      <c r="BC785" s="151"/>
      <c r="BD785" s="151"/>
      <c r="BE785" s="151"/>
      <c r="BF785" s="151"/>
      <c r="BG785" s="151"/>
      <c r="BH785" s="151"/>
      <c r="BI785" s="151"/>
    </row>
    <row r="786" spans="1:61" x14ac:dyDescent="0.25">
      <c r="A786" s="149"/>
      <c r="B786" s="149"/>
      <c r="C786" s="149"/>
      <c r="D786" s="149"/>
      <c r="E786" s="150"/>
      <c r="F786" s="150"/>
      <c r="G786" s="149"/>
      <c r="H786" s="149"/>
      <c r="I786" s="149"/>
      <c r="J786" s="150"/>
      <c r="K786" s="150"/>
      <c r="L786" s="149"/>
      <c r="M786" s="149"/>
      <c r="N786" s="149"/>
      <c r="O786" s="150"/>
      <c r="P786" s="150"/>
      <c r="Q786" s="149"/>
      <c r="R786" s="149"/>
      <c r="S786" s="149"/>
      <c r="T786" s="150"/>
      <c r="U786" s="150"/>
      <c r="V786" s="150"/>
      <c r="W786" s="150"/>
      <c r="X786" s="150"/>
      <c r="Y786" s="150"/>
      <c r="Z786" s="150"/>
      <c r="AA786" s="150"/>
      <c r="AB786" s="150"/>
      <c r="AC786" s="149"/>
      <c r="AD786" s="149"/>
      <c r="AE786" s="149"/>
      <c r="AF786" s="150"/>
      <c r="AG786" s="150"/>
      <c r="AH786" s="149"/>
      <c r="AI786" s="149"/>
      <c r="AJ786" s="149"/>
      <c r="AK786" s="150"/>
      <c r="AL786" s="150"/>
      <c r="AM786" s="149"/>
      <c r="AN786" s="149"/>
      <c r="AO786" s="149"/>
      <c r="AP786" s="150"/>
      <c r="AQ786" s="150"/>
      <c r="AR786" s="150"/>
      <c r="AS786" s="150"/>
      <c r="AT786" s="150"/>
      <c r="AU786" s="150"/>
      <c r="AV786" s="150"/>
      <c r="AW786" s="150"/>
      <c r="AX786" s="150"/>
      <c r="AY786" s="151"/>
      <c r="AZ786" s="151"/>
      <c r="BA786" s="151"/>
      <c r="BB786" s="151"/>
      <c r="BC786" s="151"/>
      <c r="BD786" s="151"/>
      <c r="BE786" s="151"/>
      <c r="BF786" s="151"/>
      <c r="BG786" s="151"/>
      <c r="BH786" s="151"/>
      <c r="BI786" s="151"/>
    </row>
    <row r="787" spans="1:61" x14ac:dyDescent="0.25">
      <c r="A787" s="149"/>
      <c r="B787" s="149"/>
      <c r="C787" s="149"/>
      <c r="D787" s="149"/>
      <c r="E787" s="150"/>
      <c r="F787" s="150"/>
      <c r="G787" s="149"/>
      <c r="H787" s="149"/>
      <c r="I787" s="149"/>
      <c r="J787" s="150"/>
      <c r="K787" s="150"/>
      <c r="L787" s="149"/>
      <c r="M787" s="149"/>
      <c r="N787" s="149"/>
      <c r="O787" s="150"/>
      <c r="P787" s="150"/>
      <c r="Q787" s="149"/>
      <c r="R787" s="149"/>
      <c r="S787" s="149"/>
      <c r="T787" s="150"/>
      <c r="U787" s="150"/>
      <c r="V787" s="150"/>
      <c r="W787" s="150"/>
      <c r="X787" s="150"/>
      <c r="Y787" s="150"/>
      <c r="Z787" s="150"/>
      <c r="AA787" s="150"/>
      <c r="AB787" s="150"/>
      <c r="AC787" s="149"/>
      <c r="AD787" s="149"/>
      <c r="AE787" s="149"/>
      <c r="AF787" s="150"/>
      <c r="AG787" s="150"/>
      <c r="AH787" s="149"/>
      <c r="AI787" s="149"/>
      <c r="AJ787" s="149"/>
      <c r="AK787" s="150"/>
      <c r="AL787" s="150"/>
      <c r="AM787" s="149"/>
      <c r="AN787" s="149"/>
      <c r="AO787" s="149"/>
      <c r="AP787" s="150"/>
      <c r="AQ787" s="150"/>
      <c r="AR787" s="150"/>
      <c r="AS787" s="150"/>
      <c r="AT787" s="150"/>
      <c r="AU787" s="150"/>
      <c r="AV787" s="150"/>
      <c r="AW787" s="150"/>
      <c r="AX787" s="150"/>
      <c r="AY787" s="151"/>
      <c r="AZ787" s="151"/>
      <c r="BA787" s="151"/>
      <c r="BB787" s="151"/>
      <c r="BC787" s="151"/>
      <c r="BD787" s="151"/>
      <c r="BE787" s="151"/>
      <c r="BF787" s="151"/>
      <c r="BG787" s="151"/>
      <c r="BH787" s="151"/>
      <c r="BI787" s="151"/>
    </row>
    <row r="788" spans="1:61" x14ac:dyDescent="0.25">
      <c r="A788" s="149"/>
      <c r="B788" s="149"/>
      <c r="C788" s="149"/>
      <c r="D788" s="149"/>
      <c r="E788" s="150"/>
      <c r="F788" s="150"/>
      <c r="G788" s="149"/>
      <c r="H788" s="149"/>
      <c r="I788" s="149"/>
      <c r="J788" s="150"/>
      <c r="K788" s="150"/>
      <c r="L788" s="149"/>
      <c r="M788" s="149"/>
      <c r="N788" s="149"/>
      <c r="O788" s="150"/>
      <c r="P788" s="150"/>
      <c r="Q788" s="149"/>
      <c r="R788" s="149"/>
      <c r="S788" s="149"/>
      <c r="T788" s="150"/>
      <c r="U788" s="150"/>
      <c r="V788" s="150"/>
      <c r="W788" s="150"/>
      <c r="X788" s="150"/>
      <c r="Y788" s="150"/>
      <c r="Z788" s="150"/>
      <c r="AA788" s="150"/>
      <c r="AB788" s="150"/>
      <c r="AC788" s="149"/>
      <c r="AD788" s="149"/>
      <c r="AE788" s="149"/>
      <c r="AF788" s="150"/>
      <c r="AG788" s="150"/>
      <c r="AH788" s="149"/>
      <c r="AI788" s="149"/>
      <c r="AJ788" s="149"/>
      <c r="AK788" s="150"/>
      <c r="AL788" s="150"/>
      <c r="AM788" s="149"/>
      <c r="AN788" s="149"/>
      <c r="AO788" s="149"/>
      <c r="AP788" s="150"/>
      <c r="AQ788" s="150"/>
      <c r="AR788" s="150"/>
      <c r="AS788" s="150"/>
      <c r="AT788" s="150"/>
      <c r="AU788" s="150"/>
      <c r="AV788" s="150"/>
      <c r="AW788" s="150"/>
      <c r="AX788" s="150"/>
      <c r="AY788" s="151"/>
      <c r="AZ788" s="151"/>
      <c r="BA788" s="151"/>
      <c r="BB788" s="151"/>
      <c r="BC788" s="151"/>
      <c r="BD788" s="151"/>
      <c r="BE788" s="151"/>
      <c r="BF788" s="151"/>
      <c r="BG788" s="151"/>
      <c r="BH788" s="151"/>
      <c r="BI788" s="151"/>
    </row>
    <row r="789" spans="1:61" x14ac:dyDescent="0.25">
      <c r="A789" s="149"/>
      <c r="B789" s="149"/>
      <c r="C789" s="149"/>
      <c r="D789" s="149"/>
      <c r="E789" s="150"/>
      <c r="F789" s="150"/>
      <c r="G789" s="149"/>
      <c r="H789" s="149"/>
      <c r="I789" s="149"/>
      <c r="J789" s="150"/>
      <c r="K789" s="150"/>
      <c r="L789" s="149"/>
      <c r="M789" s="149"/>
      <c r="N789" s="149"/>
      <c r="O789" s="150"/>
      <c r="P789" s="150"/>
      <c r="Q789" s="149"/>
      <c r="R789" s="149"/>
      <c r="S789" s="149"/>
      <c r="T789" s="150"/>
      <c r="U789" s="150"/>
      <c r="V789" s="150"/>
      <c r="W789" s="150"/>
      <c r="X789" s="150"/>
      <c r="Y789" s="150"/>
      <c r="Z789" s="150"/>
      <c r="AA789" s="150"/>
      <c r="AB789" s="150"/>
      <c r="AC789" s="149"/>
      <c r="AD789" s="149"/>
      <c r="AE789" s="149"/>
      <c r="AF789" s="150"/>
      <c r="AG789" s="150"/>
      <c r="AH789" s="149"/>
      <c r="AI789" s="149"/>
      <c r="AJ789" s="149"/>
      <c r="AK789" s="150"/>
      <c r="AL789" s="150"/>
      <c r="AM789" s="149"/>
      <c r="AN789" s="149"/>
      <c r="AO789" s="149"/>
      <c r="AP789" s="150"/>
      <c r="AQ789" s="150"/>
      <c r="AR789" s="150"/>
      <c r="AS789" s="150"/>
      <c r="AT789" s="150"/>
      <c r="AU789" s="150"/>
      <c r="AV789" s="150"/>
      <c r="AW789" s="150"/>
      <c r="AX789" s="150"/>
      <c r="AY789" s="151"/>
      <c r="AZ789" s="151"/>
      <c r="BA789" s="151"/>
      <c r="BB789" s="151"/>
      <c r="BC789" s="151"/>
      <c r="BD789" s="151"/>
      <c r="BE789" s="151"/>
      <c r="BF789" s="151"/>
      <c r="BG789" s="151"/>
      <c r="BH789" s="151"/>
      <c r="BI789" s="151"/>
    </row>
    <row r="790" spans="1:61" x14ac:dyDescent="0.25">
      <c r="A790" s="149"/>
      <c r="B790" s="149"/>
      <c r="C790" s="149"/>
      <c r="D790" s="149"/>
      <c r="E790" s="150"/>
      <c r="F790" s="150"/>
      <c r="G790" s="149"/>
      <c r="H790" s="149"/>
      <c r="I790" s="149"/>
      <c r="J790" s="150"/>
      <c r="K790" s="150"/>
      <c r="L790" s="149"/>
      <c r="M790" s="149"/>
      <c r="N790" s="149"/>
      <c r="O790" s="150"/>
      <c r="P790" s="150"/>
      <c r="Q790" s="149"/>
      <c r="R790" s="149"/>
      <c r="S790" s="149"/>
      <c r="T790" s="150"/>
      <c r="U790" s="150"/>
      <c r="V790" s="150"/>
      <c r="W790" s="150"/>
      <c r="X790" s="150"/>
      <c r="Y790" s="150"/>
      <c r="Z790" s="150"/>
      <c r="AA790" s="150"/>
      <c r="AB790" s="150"/>
      <c r="AC790" s="149"/>
      <c r="AD790" s="149"/>
      <c r="AE790" s="149"/>
      <c r="AF790" s="150"/>
      <c r="AG790" s="150"/>
      <c r="AH790" s="149"/>
      <c r="AI790" s="149"/>
      <c r="AJ790" s="149"/>
      <c r="AK790" s="150"/>
      <c r="AL790" s="150"/>
      <c r="AM790" s="149"/>
      <c r="AN790" s="149"/>
      <c r="AO790" s="149"/>
      <c r="AP790" s="150"/>
      <c r="AQ790" s="150"/>
      <c r="AR790" s="150"/>
      <c r="AS790" s="150"/>
      <c r="AT790" s="150"/>
      <c r="AU790" s="150"/>
      <c r="AV790" s="150"/>
      <c r="AW790" s="150"/>
      <c r="AX790" s="150"/>
      <c r="AY790" s="151"/>
      <c r="AZ790" s="151"/>
      <c r="BA790" s="151"/>
      <c r="BB790" s="151"/>
      <c r="BC790" s="151"/>
      <c r="BD790" s="151"/>
      <c r="BE790" s="151"/>
      <c r="BF790" s="151"/>
      <c r="BG790" s="151"/>
      <c r="BH790" s="151"/>
      <c r="BI790" s="151"/>
    </row>
    <row r="791" spans="1:61" x14ac:dyDescent="0.25">
      <c r="A791" s="149"/>
      <c r="B791" s="149"/>
      <c r="C791" s="149"/>
      <c r="D791" s="149"/>
      <c r="E791" s="150"/>
      <c r="F791" s="150"/>
      <c r="G791" s="149"/>
      <c r="H791" s="149"/>
      <c r="I791" s="149"/>
      <c r="J791" s="150"/>
      <c r="K791" s="150"/>
      <c r="L791" s="149"/>
      <c r="M791" s="149"/>
      <c r="N791" s="149"/>
      <c r="O791" s="150"/>
      <c r="P791" s="150"/>
      <c r="Q791" s="149"/>
      <c r="R791" s="149"/>
      <c r="S791" s="149"/>
      <c r="T791" s="150"/>
      <c r="U791" s="150"/>
      <c r="V791" s="150"/>
      <c r="W791" s="150"/>
      <c r="X791" s="150"/>
      <c r="Y791" s="150"/>
      <c r="Z791" s="150"/>
      <c r="AA791" s="150"/>
      <c r="AB791" s="150"/>
      <c r="AC791" s="149"/>
      <c r="AD791" s="149"/>
      <c r="AE791" s="149"/>
      <c r="AF791" s="150"/>
      <c r="AG791" s="150"/>
      <c r="AH791" s="149"/>
      <c r="AI791" s="149"/>
      <c r="AJ791" s="149"/>
      <c r="AK791" s="150"/>
      <c r="AL791" s="150"/>
      <c r="AM791" s="149"/>
      <c r="AN791" s="149"/>
      <c r="AO791" s="149"/>
      <c r="AP791" s="150"/>
      <c r="AQ791" s="150"/>
      <c r="AR791" s="150"/>
      <c r="AS791" s="150"/>
      <c r="AT791" s="150"/>
      <c r="AU791" s="150"/>
      <c r="AV791" s="150"/>
      <c r="AW791" s="150"/>
      <c r="AX791" s="150"/>
      <c r="AY791" s="151"/>
      <c r="AZ791" s="151"/>
      <c r="BA791" s="151"/>
      <c r="BB791" s="151"/>
      <c r="BC791" s="151"/>
      <c r="BD791" s="151"/>
      <c r="BE791" s="151"/>
      <c r="BF791" s="151"/>
      <c r="BG791" s="151"/>
      <c r="BH791" s="151"/>
      <c r="BI791" s="151"/>
    </row>
    <row r="792" spans="1:61" x14ac:dyDescent="0.25">
      <c r="A792" s="149"/>
      <c r="B792" s="149"/>
      <c r="C792" s="149"/>
      <c r="D792" s="149"/>
      <c r="E792" s="150"/>
      <c r="F792" s="150"/>
      <c r="G792" s="149"/>
      <c r="H792" s="149"/>
      <c r="I792" s="149"/>
      <c r="J792" s="150"/>
      <c r="K792" s="150"/>
      <c r="L792" s="149"/>
      <c r="M792" s="149"/>
      <c r="N792" s="149"/>
      <c r="O792" s="150"/>
      <c r="P792" s="150"/>
      <c r="Q792" s="149"/>
      <c r="R792" s="149"/>
      <c r="S792" s="149"/>
      <c r="T792" s="150"/>
      <c r="U792" s="150"/>
      <c r="V792" s="150"/>
      <c r="W792" s="150"/>
      <c r="X792" s="150"/>
      <c r="Y792" s="150"/>
      <c r="Z792" s="150"/>
      <c r="AA792" s="150"/>
      <c r="AB792" s="150"/>
      <c r="AC792" s="149"/>
      <c r="AD792" s="149"/>
      <c r="AE792" s="149"/>
      <c r="AF792" s="150"/>
      <c r="AG792" s="150"/>
      <c r="AH792" s="149"/>
      <c r="AI792" s="149"/>
      <c r="AJ792" s="149"/>
      <c r="AK792" s="150"/>
      <c r="AL792" s="150"/>
      <c r="AM792" s="149"/>
      <c r="AN792" s="149"/>
      <c r="AO792" s="149"/>
      <c r="AP792" s="150"/>
      <c r="AQ792" s="150"/>
      <c r="AR792" s="150"/>
      <c r="AS792" s="150"/>
      <c r="AT792" s="150"/>
      <c r="AU792" s="150"/>
      <c r="AV792" s="150"/>
      <c r="AW792" s="150"/>
      <c r="AX792" s="150"/>
      <c r="AY792" s="151"/>
      <c r="AZ792" s="151"/>
      <c r="BA792" s="151"/>
      <c r="BB792" s="151"/>
      <c r="BC792" s="151"/>
      <c r="BD792" s="151"/>
      <c r="BE792" s="151"/>
      <c r="BF792" s="151"/>
      <c r="BG792" s="151"/>
      <c r="BH792" s="151"/>
      <c r="BI792" s="151"/>
    </row>
    <row r="793" spans="1:61" x14ac:dyDescent="0.25">
      <c r="A793" s="149"/>
      <c r="B793" s="149"/>
      <c r="C793" s="149"/>
      <c r="D793" s="149"/>
      <c r="E793" s="150"/>
      <c r="F793" s="150"/>
      <c r="G793" s="149"/>
      <c r="H793" s="149"/>
      <c r="I793" s="149"/>
      <c r="J793" s="150"/>
      <c r="K793" s="150"/>
      <c r="L793" s="149"/>
      <c r="M793" s="149"/>
      <c r="N793" s="149"/>
      <c r="O793" s="150"/>
      <c r="P793" s="150"/>
      <c r="Q793" s="149"/>
      <c r="R793" s="149"/>
      <c r="S793" s="149"/>
      <c r="T793" s="150"/>
      <c r="U793" s="150"/>
      <c r="V793" s="150"/>
      <c r="W793" s="150"/>
      <c r="X793" s="150"/>
      <c r="Y793" s="150"/>
      <c r="Z793" s="150"/>
      <c r="AA793" s="150"/>
      <c r="AB793" s="150"/>
      <c r="AC793" s="149"/>
      <c r="AD793" s="149"/>
      <c r="AE793" s="149"/>
      <c r="AF793" s="150"/>
      <c r="AG793" s="150"/>
      <c r="AH793" s="149"/>
      <c r="AI793" s="149"/>
      <c r="AJ793" s="149"/>
      <c r="AK793" s="150"/>
      <c r="AL793" s="150"/>
      <c r="AM793" s="149"/>
      <c r="AN793" s="149"/>
      <c r="AO793" s="149"/>
      <c r="AP793" s="150"/>
      <c r="AQ793" s="150"/>
      <c r="AR793" s="150"/>
      <c r="AS793" s="150"/>
      <c r="AT793" s="150"/>
      <c r="AU793" s="150"/>
      <c r="AV793" s="150"/>
      <c r="AW793" s="150"/>
      <c r="AX793" s="150"/>
      <c r="AY793" s="151"/>
      <c r="AZ793" s="151"/>
      <c r="BA793" s="151"/>
      <c r="BB793" s="151"/>
      <c r="BC793" s="151"/>
      <c r="BD793" s="151"/>
      <c r="BE793" s="151"/>
      <c r="BF793" s="151"/>
      <c r="BG793" s="151"/>
      <c r="BH793" s="151"/>
      <c r="BI793" s="151"/>
    </row>
    <row r="794" spans="1:61" x14ac:dyDescent="0.25">
      <c r="A794" s="149"/>
      <c r="B794" s="149"/>
      <c r="C794" s="149"/>
      <c r="D794" s="149"/>
      <c r="E794" s="150"/>
      <c r="F794" s="150"/>
      <c r="G794" s="149"/>
      <c r="H794" s="149"/>
      <c r="I794" s="149"/>
      <c r="J794" s="150"/>
      <c r="K794" s="150"/>
      <c r="L794" s="149"/>
      <c r="M794" s="149"/>
      <c r="N794" s="149"/>
      <c r="O794" s="150"/>
      <c r="P794" s="150"/>
      <c r="Q794" s="149"/>
      <c r="R794" s="149"/>
      <c r="S794" s="149"/>
      <c r="T794" s="150"/>
      <c r="U794" s="150"/>
      <c r="V794" s="150"/>
      <c r="W794" s="150"/>
      <c r="X794" s="150"/>
      <c r="Y794" s="150"/>
      <c r="Z794" s="150"/>
      <c r="AA794" s="150"/>
      <c r="AB794" s="150"/>
      <c r="AC794" s="149"/>
      <c r="AD794" s="149"/>
      <c r="AE794" s="149"/>
      <c r="AF794" s="150"/>
      <c r="AG794" s="150"/>
      <c r="AH794" s="149"/>
      <c r="AI794" s="149"/>
      <c r="AJ794" s="149"/>
      <c r="AK794" s="150"/>
      <c r="AL794" s="150"/>
      <c r="AM794" s="149"/>
      <c r="AN794" s="149"/>
      <c r="AO794" s="149"/>
      <c r="AP794" s="150"/>
      <c r="AQ794" s="150"/>
      <c r="AR794" s="150"/>
      <c r="AS794" s="150"/>
      <c r="AT794" s="150"/>
      <c r="AU794" s="150"/>
      <c r="AV794" s="150"/>
      <c r="AW794" s="150"/>
      <c r="AX794" s="150"/>
      <c r="AY794" s="151"/>
      <c r="AZ794" s="151"/>
      <c r="BA794" s="151"/>
      <c r="BB794" s="151"/>
      <c r="BC794" s="151"/>
      <c r="BD794" s="151"/>
      <c r="BE794" s="151"/>
      <c r="BF794" s="151"/>
      <c r="BG794" s="151"/>
      <c r="BH794" s="151"/>
      <c r="BI794" s="151"/>
    </row>
    <row r="795" spans="1:61" x14ac:dyDescent="0.25">
      <c r="A795" s="149"/>
      <c r="B795" s="149"/>
      <c r="C795" s="149"/>
      <c r="D795" s="149"/>
      <c r="E795" s="150"/>
      <c r="F795" s="150"/>
      <c r="G795" s="149"/>
      <c r="H795" s="149"/>
      <c r="I795" s="149"/>
      <c r="J795" s="150"/>
      <c r="K795" s="150"/>
      <c r="L795" s="149"/>
      <c r="M795" s="149"/>
      <c r="N795" s="149"/>
      <c r="O795" s="150"/>
      <c r="P795" s="150"/>
      <c r="Q795" s="149"/>
      <c r="R795" s="149"/>
      <c r="S795" s="149"/>
      <c r="T795" s="150"/>
      <c r="U795" s="150"/>
      <c r="V795" s="150"/>
      <c r="W795" s="150"/>
      <c r="X795" s="150"/>
      <c r="Y795" s="150"/>
      <c r="Z795" s="150"/>
      <c r="AA795" s="150"/>
      <c r="AB795" s="150"/>
      <c r="AC795" s="149"/>
      <c r="AD795" s="149"/>
      <c r="AE795" s="149"/>
      <c r="AF795" s="150"/>
      <c r="AG795" s="150"/>
      <c r="AH795" s="149"/>
      <c r="AI795" s="149"/>
      <c r="AJ795" s="149"/>
      <c r="AK795" s="150"/>
      <c r="AL795" s="150"/>
      <c r="AM795" s="149"/>
      <c r="AN795" s="149"/>
      <c r="AO795" s="149"/>
      <c r="AP795" s="150"/>
      <c r="AQ795" s="150"/>
      <c r="AR795" s="150"/>
      <c r="AS795" s="150"/>
      <c r="AT795" s="150"/>
      <c r="AU795" s="150"/>
      <c r="AV795" s="150"/>
      <c r="AW795" s="150"/>
      <c r="AX795" s="150"/>
      <c r="AY795" s="151"/>
      <c r="AZ795" s="151"/>
      <c r="BA795" s="151"/>
      <c r="BB795" s="151"/>
      <c r="BC795" s="151"/>
      <c r="BD795" s="151"/>
      <c r="BE795" s="151"/>
      <c r="BF795" s="151"/>
      <c r="BG795" s="151"/>
      <c r="BH795" s="151"/>
      <c r="BI795" s="151"/>
    </row>
    <row r="796" spans="1:61" x14ac:dyDescent="0.25">
      <c r="A796" s="149"/>
      <c r="B796" s="149"/>
      <c r="C796" s="149"/>
      <c r="D796" s="149"/>
      <c r="E796" s="150"/>
      <c r="F796" s="150"/>
      <c r="G796" s="149"/>
      <c r="H796" s="149"/>
      <c r="I796" s="149"/>
      <c r="J796" s="150"/>
      <c r="K796" s="150"/>
      <c r="L796" s="149"/>
      <c r="M796" s="149"/>
      <c r="N796" s="149"/>
      <c r="O796" s="150"/>
      <c r="P796" s="150"/>
      <c r="Q796" s="149"/>
      <c r="R796" s="149"/>
      <c r="S796" s="149"/>
      <c r="T796" s="150"/>
      <c r="U796" s="150"/>
      <c r="V796" s="150"/>
      <c r="W796" s="150"/>
      <c r="X796" s="150"/>
      <c r="Y796" s="150"/>
      <c r="Z796" s="150"/>
      <c r="AA796" s="150"/>
      <c r="AB796" s="150"/>
      <c r="AC796" s="149"/>
      <c r="AD796" s="149"/>
      <c r="AE796" s="149"/>
      <c r="AF796" s="150"/>
      <c r="AG796" s="150"/>
      <c r="AH796" s="149"/>
      <c r="AI796" s="149"/>
      <c r="AJ796" s="149"/>
      <c r="AK796" s="150"/>
      <c r="AL796" s="150"/>
      <c r="AM796" s="149"/>
      <c r="AN796" s="149"/>
      <c r="AO796" s="149"/>
      <c r="AP796" s="150"/>
      <c r="AQ796" s="150"/>
      <c r="AR796" s="150"/>
      <c r="AS796" s="150"/>
      <c r="AT796" s="150"/>
      <c r="AU796" s="150"/>
      <c r="AV796" s="150"/>
      <c r="AW796" s="150"/>
      <c r="AX796" s="150"/>
      <c r="AY796" s="151"/>
      <c r="AZ796" s="151"/>
      <c r="BA796" s="151"/>
      <c r="BB796" s="151"/>
      <c r="BC796" s="151"/>
      <c r="BD796" s="151"/>
      <c r="BE796" s="151"/>
      <c r="BF796" s="151"/>
      <c r="BG796" s="151"/>
      <c r="BH796" s="151"/>
      <c r="BI796" s="151"/>
    </row>
    <row r="797" spans="1:61" x14ac:dyDescent="0.25">
      <c r="A797" s="149"/>
      <c r="B797" s="149"/>
      <c r="C797" s="149"/>
      <c r="D797" s="149"/>
      <c r="E797" s="150"/>
      <c r="F797" s="150"/>
      <c r="G797" s="149"/>
      <c r="H797" s="149"/>
      <c r="I797" s="149"/>
      <c r="J797" s="150"/>
      <c r="K797" s="150"/>
      <c r="L797" s="149"/>
      <c r="M797" s="149"/>
      <c r="N797" s="149"/>
      <c r="O797" s="150"/>
      <c r="P797" s="150"/>
      <c r="Q797" s="149"/>
      <c r="R797" s="149"/>
      <c r="S797" s="149"/>
      <c r="T797" s="150"/>
      <c r="U797" s="150"/>
      <c r="V797" s="150"/>
      <c r="W797" s="150"/>
      <c r="X797" s="150"/>
      <c r="Y797" s="150"/>
      <c r="Z797" s="150"/>
      <c r="AA797" s="150"/>
      <c r="AB797" s="150"/>
      <c r="AC797" s="149"/>
      <c r="AD797" s="149"/>
      <c r="AE797" s="149"/>
      <c r="AF797" s="150"/>
      <c r="AG797" s="150"/>
      <c r="AH797" s="149"/>
      <c r="AI797" s="149"/>
      <c r="AJ797" s="149"/>
      <c r="AK797" s="150"/>
      <c r="AL797" s="150"/>
      <c r="AM797" s="149"/>
      <c r="AN797" s="149"/>
      <c r="AO797" s="149"/>
      <c r="AP797" s="150"/>
      <c r="AQ797" s="150"/>
      <c r="AR797" s="150"/>
      <c r="AS797" s="150"/>
      <c r="AT797" s="150"/>
      <c r="AU797" s="150"/>
      <c r="AV797" s="150"/>
      <c r="AW797" s="150"/>
      <c r="AX797" s="150"/>
      <c r="AY797" s="151"/>
      <c r="AZ797" s="151"/>
      <c r="BA797" s="151"/>
      <c r="BB797" s="151"/>
      <c r="BC797" s="151"/>
      <c r="BD797" s="151"/>
      <c r="BE797" s="151"/>
      <c r="BF797" s="151"/>
      <c r="BG797" s="151"/>
      <c r="BH797" s="151"/>
      <c r="BI797" s="151"/>
    </row>
    <row r="798" spans="1:61" x14ac:dyDescent="0.25">
      <c r="A798" s="149"/>
      <c r="B798" s="149"/>
      <c r="C798" s="149"/>
      <c r="D798" s="149"/>
      <c r="E798" s="150"/>
      <c r="F798" s="150"/>
      <c r="G798" s="149"/>
      <c r="H798" s="149"/>
      <c r="I798" s="149"/>
      <c r="J798" s="150"/>
      <c r="K798" s="150"/>
      <c r="L798" s="149"/>
      <c r="M798" s="149"/>
      <c r="N798" s="149"/>
      <c r="O798" s="150"/>
      <c r="P798" s="150"/>
      <c r="Q798" s="149"/>
      <c r="R798" s="149"/>
      <c r="S798" s="149"/>
      <c r="T798" s="150"/>
      <c r="U798" s="150"/>
      <c r="V798" s="150"/>
      <c r="W798" s="150"/>
      <c r="X798" s="150"/>
      <c r="Y798" s="150"/>
      <c r="Z798" s="150"/>
      <c r="AA798" s="150"/>
      <c r="AB798" s="150"/>
      <c r="AC798" s="149"/>
      <c r="AD798" s="149"/>
      <c r="AE798" s="149"/>
      <c r="AF798" s="150"/>
      <c r="AG798" s="150"/>
      <c r="AH798" s="149"/>
      <c r="AI798" s="149"/>
      <c r="AJ798" s="149"/>
      <c r="AK798" s="150"/>
      <c r="AL798" s="150"/>
      <c r="AM798" s="149"/>
      <c r="AN798" s="149"/>
      <c r="AO798" s="149"/>
      <c r="AP798" s="150"/>
      <c r="AQ798" s="150"/>
      <c r="AR798" s="150"/>
      <c r="AS798" s="150"/>
      <c r="AT798" s="150"/>
      <c r="AU798" s="150"/>
      <c r="AV798" s="150"/>
      <c r="AW798" s="150"/>
      <c r="AX798" s="150"/>
      <c r="AY798" s="151"/>
      <c r="AZ798" s="151"/>
      <c r="BA798" s="151"/>
      <c r="BB798" s="151"/>
      <c r="BC798" s="151"/>
      <c r="BD798" s="151"/>
      <c r="BE798" s="151"/>
      <c r="BF798" s="151"/>
      <c r="BG798" s="151"/>
      <c r="BH798" s="151"/>
      <c r="BI798" s="151"/>
    </row>
    <row r="799" spans="1:61" x14ac:dyDescent="0.25">
      <c r="A799" s="149"/>
      <c r="B799" s="149"/>
      <c r="C799" s="149"/>
      <c r="D799" s="149"/>
      <c r="E799" s="150"/>
      <c r="F799" s="150"/>
      <c r="G799" s="149"/>
      <c r="H799" s="149"/>
      <c r="I799" s="149"/>
      <c r="J799" s="150"/>
      <c r="K799" s="150"/>
      <c r="L799" s="149"/>
      <c r="M799" s="149"/>
      <c r="N799" s="149"/>
      <c r="O799" s="150"/>
      <c r="P799" s="150"/>
      <c r="Q799" s="149"/>
      <c r="R799" s="149"/>
      <c r="S799" s="149"/>
      <c r="T799" s="150"/>
      <c r="U799" s="150"/>
      <c r="V799" s="150"/>
      <c r="W799" s="150"/>
      <c r="X799" s="150"/>
      <c r="Y799" s="150"/>
      <c r="Z799" s="150"/>
      <c r="AA799" s="150"/>
      <c r="AB799" s="150"/>
      <c r="AC799" s="149"/>
      <c r="AD799" s="149"/>
      <c r="AE799" s="149"/>
      <c r="AF799" s="150"/>
      <c r="AG799" s="150"/>
      <c r="AH799" s="149"/>
      <c r="AI799" s="149"/>
      <c r="AJ799" s="149"/>
      <c r="AK799" s="150"/>
      <c r="AL799" s="150"/>
      <c r="AM799" s="149"/>
      <c r="AN799" s="149"/>
      <c r="AO799" s="149"/>
      <c r="AP799" s="150"/>
      <c r="AQ799" s="150"/>
      <c r="AR799" s="150"/>
      <c r="AS799" s="150"/>
      <c r="AT799" s="150"/>
      <c r="AU799" s="150"/>
      <c r="AV799" s="150"/>
      <c r="AW799" s="150"/>
      <c r="AX799" s="150"/>
      <c r="AY799" s="151"/>
      <c r="AZ799" s="151"/>
      <c r="BA799" s="151"/>
      <c r="BB799" s="151"/>
      <c r="BC799" s="151"/>
      <c r="BD799" s="151"/>
      <c r="BE799" s="151"/>
      <c r="BF799" s="151"/>
      <c r="BG799" s="151"/>
      <c r="BH799" s="151"/>
      <c r="BI799" s="151"/>
    </row>
    <row r="800" spans="1:61" x14ac:dyDescent="0.25">
      <c r="A800" s="149"/>
      <c r="B800" s="149"/>
      <c r="C800" s="149"/>
      <c r="D800" s="149"/>
      <c r="E800" s="150"/>
      <c r="F800" s="150"/>
      <c r="G800" s="149"/>
      <c r="H800" s="149"/>
      <c r="I800" s="149"/>
      <c r="J800" s="150"/>
      <c r="K800" s="150"/>
      <c r="L800" s="149"/>
      <c r="M800" s="149"/>
      <c r="N800" s="149"/>
      <c r="O800" s="150"/>
      <c r="P800" s="150"/>
      <c r="Q800" s="149"/>
      <c r="R800" s="149"/>
      <c r="S800" s="149"/>
      <c r="T800" s="150"/>
      <c r="U800" s="150"/>
      <c r="V800" s="150"/>
      <c r="W800" s="150"/>
      <c r="X800" s="150"/>
      <c r="Y800" s="150"/>
      <c r="Z800" s="150"/>
      <c r="AA800" s="150"/>
      <c r="AB800" s="150"/>
      <c r="AC800" s="149"/>
      <c r="AD800" s="149"/>
      <c r="AE800" s="149"/>
      <c r="AF800" s="150"/>
      <c r="AG800" s="150"/>
      <c r="AH800" s="149"/>
      <c r="AI800" s="149"/>
      <c r="AJ800" s="149"/>
      <c r="AK800" s="150"/>
      <c r="AL800" s="150"/>
      <c r="AM800" s="149"/>
      <c r="AN800" s="149"/>
      <c r="AO800" s="149"/>
      <c r="AP800" s="150"/>
      <c r="AQ800" s="150"/>
      <c r="AR800" s="150"/>
      <c r="AS800" s="150"/>
      <c r="AT800" s="150"/>
      <c r="AU800" s="150"/>
      <c r="AV800" s="150"/>
      <c r="AW800" s="150"/>
      <c r="AX800" s="150"/>
      <c r="AY800" s="151"/>
      <c r="AZ800" s="151"/>
      <c r="BA800" s="151"/>
      <c r="BB800" s="151"/>
      <c r="BC800" s="151"/>
      <c r="BD800" s="151"/>
      <c r="BE800" s="151"/>
      <c r="BF800" s="151"/>
      <c r="BG800" s="151"/>
      <c r="BH800" s="151"/>
      <c r="BI800" s="151"/>
    </row>
    <row r="801" spans="1:61" x14ac:dyDescent="0.25">
      <c r="A801" s="149"/>
      <c r="B801" s="149"/>
      <c r="C801" s="149"/>
      <c r="D801" s="149"/>
      <c r="E801" s="150"/>
      <c r="F801" s="150"/>
      <c r="G801" s="149"/>
      <c r="H801" s="149"/>
      <c r="I801" s="149"/>
      <c r="J801" s="150"/>
      <c r="K801" s="150"/>
      <c r="L801" s="149"/>
      <c r="M801" s="149"/>
      <c r="N801" s="149"/>
      <c r="O801" s="150"/>
      <c r="P801" s="150"/>
      <c r="Q801" s="149"/>
      <c r="R801" s="149"/>
      <c r="S801" s="149"/>
      <c r="T801" s="150"/>
      <c r="U801" s="150"/>
      <c r="V801" s="150"/>
      <c r="W801" s="150"/>
      <c r="X801" s="150"/>
      <c r="Y801" s="150"/>
      <c r="Z801" s="150"/>
      <c r="AA801" s="150"/>
      <c r="AB801" s="150"/>
      <c r="AC801" s="149"/>
      <c r="AD801" s="149"/>
      <c r="AE801" s="149"/>
      <c r="AF801" s="150"/>
      <c r="AG801" s="150"/>
      <c r="AH801" s="149"/>
      <c r="AI801" s="149"/>
      <c r="AJ801" s="149"/>
      <c r="AK801" s="150"/>
      <c r="AL801" s="150"/>
      <c r="AM801" s="149"/>
      <c r="AN801" s="149"/>
      <c r="AO801" s="149"/>
      <c r="AP801" s="150"/>
      <c r="AQ801" s="150"/>
      <c r="AR801" s="150"/>
      <c r="AS801" s="150"/>
      <c r="AT801" s="150"/>
      <c r="AU801" s="150"/>
      <c r="AV801" s="150"/>
      <c r="AW801" s="150"/>
      <c r="AX801" s="150"/>
      <c r="AY801" s="151"/>
      <c r="AZ801" s="151"/>
      <c r="BA801" s="151"/>
      <c r="BB801" s="151"/>
      <c r="BC801" s="151"/>
      <c r="BD801" s="151"/>
      <c r="BE801" s="151"/>
      <c r="BF801" s="151"/>
      <c r="BG801" s="151"/>
      <c r="BH801" s="151"/>
      <c r="BI801" s="151"/>
    </row>
    <row r="802" spans="1:61" x14ac:dyDescent="0.25">
      <c r="A802" s="149"/>
      <c r="B802" s="149"/>
      <c r="C802" s="149"/>
      <c r="D802" s="149"/>
      <c r="E802" s="150"/>
      <c r="F802" s="150"/>
      <c r="G802" s="149"/>
      <c r="H802" s="149"/>
      <c r="I802" s="149"/>
      <c r="J802" s="150"/>
      <c r="K802" s="150"/>
      <c r="L802" s="149"/>
      <c r="M802" s="149"/>
      <c r="N802" s="149"/>
      <c r="O802" s="150"/>
      <c r="P802" s="150"/>
      <c r="Q802" s="149"/>
      <c r="R802" s="149"/>
      <c r="S802" s="149"/>
      <c r="T802" s="150"/>
      <c r="U802" s="150"/>
      <c r="V802" s="150"/>
      <c r="W802" s="150"/>
      <c r="X802" s="150"/>
      <c r="Y802" s="150"/>
      <c r="Z802" s="150"/>
      <c r="AA802" s="150"/>
      <c r="AB802" s="150"/>
      <c r="AC802" s="149"/>
      <c r="AD802" s="149"/>
      <c r="AE802" s="149"/>
      <c r="AF802" s="150"/>
      <c r="AG802" s="150"/>
      <c r="AH802" s="149"/>
      <c r="AI802" s="149"/>
      <c r="AJ802" s="149"/>
      <c r="AK802" s="150"/>
      <c r="AL802" s="150"/>
      <c r="AM802" s="149"/>
      <c r="AN802" s="149"/>
      <c r="AO802" s="149"/>
      <c r="AP802" s="150"/>
      <c r="AQ802" s="150"/>
      <c r="AR802" s="150"/>
      <c r="AS802" s="150"/>
      <c r="AT802" s="150"/>
      <c r="AU802" s="150"/>
      <c r="AV802" s="150"/>
      <c r="AW802" s="150"/>
      <c r="AX802" s="150"/>
      <c r="AY802" s="151"/>
      <c r="AZ802" s="151"/>
      <c r="BA802" s="151"/>
      <c r="BB802" s="151"/>
      <c r="BC802" s="151"/>
      <c r="BD802" s="151"/>
      <c r="BE802" s="151"/>
      <c r="BF802" s="151"/>
      <c r="BG802" s="151"/>
      <c r="BH802" s="151"/>
      <c r="BI802" s="151"/>
    </row>
    <row r="803" spans="1:61" x14ac:dyDescent="0.25">
      <c r="A803" s="149"/>
      <c r="B803" s="149"/>
      <c r="C803" s="149"/>
      <c r="D803" s="149"/>
      <c r="E803" s="150"/>
      <c r="F803" s="150"/>
      <c r="G803" s="149"/>
      <c r="H803" s="149"/>
      <c r="I803" s="149"/>
      <c r="J803" s="150"/>
      <c r="K803" s="150"/>
      <c r="L803" s="149"/>
      <c r="M803" s="149"/>
      <c r="N803" s="149"/>
      <c r="O803" s="150"/>
      <c r="P803" s="150"/>
      <c r="Q803" s="149"/>
      <c r="R803" s="149"/>
      <c r="S803" s="149"/>
      <c r="T803" s="150"/>
      <c r="U803" s="150"/>
      <c r="V803" s="150"/>
      <c r="W803" s="150"/>
      <c r="X803" s="150"/>
      <c r="Y803" s="150"/>
      <c r="Z803" s="150"/>
      <c r="AA803" s="150"/>
      <c r="AB803" s="150"/>
      <c r="AC803" s="149"/>
      <c r="AD803" s="149"/>
      <c r="AE803" s="149"/>
      <c r="AF803" s="150"/>
      <c r="AG803" s="150"/>
      <c r="AH803" s="149"/>
      <c r="AI803" s="149"/>
      <c r="AJ803" s="149"/>
      <c r="AK803" s="150"/>
      <c r="AL803" s="150"/>
      <c r="AM803" s="149"/>
      <c r="AN803" s="149"/>
      <c r="AO803" s="149"/>
      <c r="AP803" s="150"/>
      <c r="AQ803" s="150"/>
      <c r="AR803" s="150"/>
      <c r="AS803" s="150"/>
      <c r="AT803" s="150"/>
      <c r="AU803" s="150"/>
      <c r="AV803" s="150"/>
      <c r="AW803" s="150"/>
      <c r="AX803" s="150"/>
      <c r="AY803" s="151"/>
      <c r="AZ803" s="151"/>
      <c r="BA803" s="151"/>
      <c r="BB803" s="151"/>
      <c r="BC803" s="151"/>
      <c r="BD803" s="151"/>
      <c r="BE803" s="151"/>
      <c r="BF803" s="151"/>
      <c r="BG803" s="151"/>
      <c r="BH803" s="151"/>
      <c r="BI803" s="151"/>
    </row>
    <row r="804" spans="1:61" x14ac:dyDescent="0.25">
      <c r="A804" s="149"/>
      <c r="B804" s="149"/>
      <c r="C804" s="149"/>
      <c r="D804" s="149"/>
      <c r="E804" s="150"/>
      <c r="F804" s="150"/>
      <c r="G804" s="149"/>
      <c r="H804" s="149"/>
      <c r="I804" s="149"/>
      <c r="J804" s="150"/>
      <c r="K804" s="150"/>
      <c r="L804" s="149"/>
      <c r="M804" s="149"/>
      <c r="N804" s="149"/>
      <c r="O804" s="150"/>
      <c r="P804" s="150"/>
      <c r="Q804" s="149"/>
      <c r="R804" s="149"/>
      <c r="S804" s="149"/>
      <c r="T804" s="150"/>
      <c r="U804" s="150"/>
      <c r="V804" s="150"/>
      <c r="W804" s="150"/>
      <c r="X804" s="150"/>
      <c r="Y804" s="150"/>
      <c r="Z804" s="150"/>
      <c r="AA804" s="150"/>
      <c r="AB804" s="150"/>
      <c r="AC804" s="149"/>
      <c r="AD804" s="149"/>
      <c r="AE804" s="149"/>
      <c r="AF804" s="150"/>
      <c r="AG804" s="150"/>
      <c r="AH804" s="149"/>
      <c r="AI804" s="149"/>
      <c r="AJ804" s="149"/>
      <c r="AK804" s="150"/>
      <c r="AL804" s="150"/>
      <c r="AM804" s="149"/>
      <c r="AN804" s="149"/>
      <c r="AO804" s="149"/>
      <c r="AP804" s="150"/>
      <c r="AQ804" s="150"/>
      <c r="AR804" s="150"/>
      <c r="AS804" s="150"/>
      <c r="AT804" s="150"/>
      <c r="AU804" s="150"/>
      <c r="AV804" s="150"/>
      <c r="AW804" s="150"/>
      <c r="AX804" s="150"/>
      <c r="AY804" s="151"/>
      <c r="AZ804" s="151"/>
      <c r="BA804" s="151"/>
      <c r="BB804" s="151"/>
      <c r="BC804" s="151"/>
      <c r="BD804" s="151"/>
      <c r="BE804" s="151"/>
      <c r="BF804" s="151"/>
      <c r="BG804" s="151"/>
      <c r="BH804" s="151"/>
      <c r="BI804" s="151"/>
    </row>
    <row r="805" spans="1:61" x14ac:dyDescent="0.25">
      <c r="A805" s="149"/>
      <c r="B805" s="149"/>
      <c r="C805" s="149"/>
      <c r="D805" s="149"/>
      <c r="E805" s="150"/>
      <c r="F805" s="150"/>
      <c r="G805" s="149"/>
      <c r="H805" s="149"/>
      <c r="I805" s="149"/>
      <c r="J805" s="150"/>
      <c r="K805" s="150"/>
      <c r="L805" s="149"/>
      <c r="M805" s="149"/>
      <c r="N805" s="149"/>
      <c r="O805" s="150"/>
      <c r="P805" s="150"/>
      <c r="Q805" s="149"/>
      <c r="R805" s="149"/>
      <c r="S805" s="149"/>
      <c r="T805" s="150"/>
      <c r="U805" s="150"/>
      <c r="V805" s="150"/>
      <c r="W805" s="150"/>
      <c r="X805" s="150"/>
      <c r="Y805" s="150"/>
      <c r="Z805" s="150"/>
      <c r="AA805" s="150"/>
      <c r="AB805" s="150"/>
      <c r="AC805" s="149"/>
      <c r="AD805" s="149"/>
      <c r="AE805" s="149"/>
      <c r="AF805" s="150"/>
      <c r="AG805" s="150"/>
      <c r="AH805" s="149"/>
      <c r="AI805" s="149"/>
      <c r="AJ805" s="149"/>
      <c r="AK805" s="150"/>
      <c r="AL805" s="150"/>
      <c r="AM805" s="149"/>
      <c r="AN805" s="149"/>
      <c r="AO805" s="149"/>
      <c r="AP805" s="150"/>
      <c r="AQ805" s="150"/>
      <c r="AR805" s="150"/>
      <c r="AS805" s="150"/>
      <c r="AT805" s="150"/>
      <c r="AU805" s="150"/>
      <c r="AV805" s="150"/>
      <c r="AW805" s="150"/>
      <c r="AX805" s="150"/>
      <c r="AY805" s="151"/>
      <c r="AZ805" s="151"/>
      <c r="BA805" s="151"/>
      <c r="BB805" s="151"/>
      <c r="BC805" s="151"/>
      <c r="BD805" s="151"/>
      <c r="BE805" s="151"/>
      <c r="BF805" s="151"/>
      <c r="BG805" s="151"/>
      <c r="BH805" s="151"/>
      <c r="BI805" s="151"/>
    </row>
    <row r="806" spans="1:61" x14ac:dyDescent="0.25">
      <c r="A806" s="149"/>
      <c r="B806" s="149"/>
      <c r="C806" s="149"/>
      <c r="D806" s="149"/>
      <c r="E806" s="150"/>
      <c r="F806" s="150"/>
      <c r="G806" s="149"/>
      <c r="H806" s="149"/>
      <c r="I806" s="149"/>
      <c r="J806" s="150"/>
      <c r="K806" s="150"/>
      <c r="L806" s="149"/>
      <c r="M806" s="149"/>
      <c r="N806" s="149"/>
      <c r="O806" s="150"/>
      <c r="P806" s="150"/>
      <c r="Q806" s="149"/>
      <c r="R806" s="149"/>
      <c r="S806" s="149"/>
      <c r="T806" s="150"/>
      <c r="U806" s="150"/>
      <c r="V806" s="150"/>
      <c r="W806" s="150"/>
      <c r="X806" s="150"/>
      <c r="Y806" s="150"/>
      <c r="Z806" s="150"/>
      <c r="AA806" s="150"/>
      <c r="AB806" s="150"/>
      <c r="AC806" s="149"/>
      <c r="AD806" s="149"/>
      <c r="AE806" s="149"/>
      <c r="AF806" s="150"/>
      <c r="AG806" s="150"/>
      <c r="AH806" s="149"/>
      <c r="AI806" s="149"/>
      <c r="AJ806" s="149"/>
      <c r="AK806" s="150"/>
      <c r="AL806" s="150"/>
      <c r="AM806" s="149"/>
      <c r="AN806" s="149"/>
      <c r="AO806" s="149"/>
      <c r="AP806" s="150"/>
      <c r="AQ806" s="150"/>
      <c r="AR806" s="150"/>
      <c r="AS806" s="150"/>
      <c r="AT806" s="150"/>
      <c r="AU806" s="150"/>
      <c r="AV806" s="150"/>
      <c r="AW806" s="150"/>
      <c r="AX806" s="150"/>
      <c r="AY806" s="151"/>
      <c r="AZ806" s="151"/>
      <c r="BA806" s="151"/>
      <c r="BB806" s="151"/>
      <c r="BC806" s="151"/>
      <c r="BD806" s="151"/>
      <c r="BE806" s="151"/>
      <c r="BF806" s="151"/>
      <c r="BG806" s="151"/>
      <c r="BH806" s="151"/>
      <c r="BI806" s="151"/>
    </row>
    <row r="807" spans="1:61" x14ac:dyDescent="0.25">
      <c r="A807" s="149"/>
      <c r="B807" s="149"/>
      <c r="C807" s="149"/>
      <c r="D807" s="149"/>
      <c r="E807" s="150"/>
      <c r="F807" s="150"/>
      <c r="G807" s="149"/>
      <c r="H807" s="149"/>
      <c r="I807" s="149"/>
      <c r="J807" s="150"/>
      <c r="K807" s="150"/>
      <c r="L807" s="149"/>
      <c r="M807" s="149"/>
      <c r="N807" s="149"/>
      <c r="O807" s="150"/>
      <c r="P807" s="150"/>
      <c r="Q807" s="149"/>
      <c r="R807" s="149"/>
      <c r="S807" s="149"/>
      <c r="T807" s="150"/>
      <c r="U807" s="150"/>
      <c r="V807" s="150"/>
      <c r="W807" s="150"/>
      <c r="X807" s="150"/>
      <c r="Y807" s="150"/>
      <c r="Z807" s="150"/>
      <c r="AA807" s="150"/>
      <c r="AB807" s="150"/>
      <c r="AC807" s="149"/>
      <c r="AD807" s="149"/>
      <c r="AE807" s="149"/>
      <c r="AF807" s="150"/>
      <c r="AG807" s="150"/>
      <c r="AH807" s="149"/>
      <c r="AI807" s="149"/>
      <c r="AJ807" s="149"/>
      <c r="AK807" s="150"/>
      <c r="AL807" s="150"/>
      <c r="AM807" s="149"/>
      <c r="AN807" s="149"/>
      <c r="AO807" s="149"/>
      <c r="AP807" s="150"/>
      <c r="AQ807" s="150"/>
      <c r="AR807" s="150"/>
      <c r="AS807" s="150"/>
      <c r="AT807" s="150"/>
      <c r="AU807" s="150"/>
      <c r="AV807" s="150"/>
      <c r="AW807" s="150"/>
      <c r="AX807" s="150"/>
      <c r="AY807" s="151"/>
      <c r="AZ807" s="151"/>
      <c r="BA807" s="151"/>
      <c r="BB807" s="151"/>
      <c r="BC807" s="151"/>
      <c r="BD807" s="151"/>
      <c r="BE807" s="151"/>
      <c r="BF807" s="151"/>
      <c r="BG807" s="151"/>
      <c r="BH807" s="151"/>
      <c r="BI807" s="151"/>
    </row>
    <row r="808" spans="1:61" x14ac:dyDescent="0.25">
      <c r="A808" s="149"/>
      <c r="B808" s="149"/>
      <c r="C808" s="149"/>
      <c r="D808" s="149"/>
      <c r="E808" s="150"/>
      <c r="F808" s="150"/>
      <c r="G808" s="149"/>
      <c r="H808" s="149"/>
      <c r="I808" s="149"/>
      <c r="J808" s="150"/>
      <c r="K808" s="150"/>
      <c r="L808" s="149"/>
      <c r="M808" s="149"/>
      <c r="N808" s="149"/>
      <c r="O808" s="150"/>
      <c r="P808" s="150"/>
      <c r="Q808" s="149"/>
      <c r="R808" s="149"/>
      <c r="S808" s="149"/>
      <c r="T808" s="150"/>
      <c r="U808" s="150"/>
      <c r="V808" s="150"/>
      <c r="W808" s="150"/>
      <c r="X808" s="150"/>
      <c r="Y808" s="150"/>
      <c r="Z808" s="150"/>
      <c r="AA808" s="150"/>
      <c r="AB808" s="150"/>
      <c r="AC808" s="149"/>
      <c r="AD808" s="149"/>
      <c r="AE808" s="149"/>
      <c r="AF808" s="150"/>
      <c r="AG808" s="150"/>
      <c r="AH808" s="149"/>
      <c r="AI808" s="149"/>
      <c r="AJ808" s="149"/>
      <c r="AK808" s="150"/>
      <c r="AL808" s="150"/>
      <c r="AM808" s="149"/>
      <c r="AN808" s="149"/>
      <c r="AO808" s="149"/>
      <c r="AP808" s="150"/>
      <c r="AQ808" s="150"/>
      <c r="AR808" s="150"/>
      <c r="AS808" s="150"/>
      <c r="AT808" s="150"/>
      <c r="AU808" s="150"/>
      <c r="AV808" s="150"/>
      <c r="AW808" s="150"/>
      <c r="AX808" s="150"/>
      <c r="AY808" s="151"/>
      <c r="AZ808" s="151"/>
      <c r="BA808" s="151"/>
      <c r="BB808" s="151"/>
      <c r="BC808" s="151"/>
      <c r="BD808" s="151"/>
      <c r="BE808" s="151"/>
      <c r="BF808" s="151"/>
      <c r="BG808" s="151"/>
      <c r="BH808" s="151"/>
      <c r="BI808" s="151"/>
    </row>
    <row r="809" spans="1:61" x14ac:dyDescent="0.25">
      <c r="A809" s="149"/>
      <c r="B809" s="149"/>
      <c r="C809" s="149"/>
      <c r="D809" s="149"/>
      <c r="E809" s="150"/>
      <c r="F809" s="150"/>
      <c r="G809" s="149"/>
      <c r="H809" s="149"/>
      <c r="I809" s="149"/>
      <c r="J809" s="150"/>
      <c r="K809" s="150"/>
      <c r="L809" s="149"/>
      <c r="M809" s="149"/>
      <c r="N809" s="149"/>
      <c r="O809" s="150"/>
      <c r="P809" s="150"/>
      <c r="Q809" s="149"/>
      <c r="R809" s="149"/>
      <c r="S809" s="149"/>
      <c r="T809" s="150"/>
      <c r="U809" s="150"/>
      <c r="V809" s="150"/>
      <c r="W809" s="150"/>
      <c r="X809" s="150"/>
      <c r="Y809" s="150"/>
      <c r="Z809" s="150"/>
      <c r="AA809" s="150"/>
      <c r="AB809" s="150"/>
      <c r="AC809" s="149"/>
      <c r="AD809" s="149"/>
      <c r="AE809" s="149"/>
      <c r="AF809" s="150"/>
      <c r="AG809" s="150"/>
      <c r="AH809" s="149"/>
      <c r="AI809" s="149"/>
      <c r="AJ809" s="149"/>
      <c r="AK809" s="150"/>
      <c r="AL809" s="150"/>
      <c r="AM809" s="149"/>
      <c r="AN809" s="149"/>
      <c r="AO809" s="149"/>
      <c r="AP809" s="150"/>
      <c r="AQ809" s="150"/>
      <c r="AR809" s="150"/>
      <c r="AS809" s="150"/>
      <c r="AT809" s="150"/>
      <c r="AU809" s="150"/>
      <c r="AV809" s="150"/>
      <c r="AW809" s="150"/>
      <c r="AX809" s="150"/>
      <c r="AY809" s="151"/>
      <c r="AZ809" s="151"/>
      <c r="BA809" s="151"/>
      <c r="BB809" s="151"/>
      <c r="BC809" s="151"/>
      <c r="BD809" s="151"/>
      <c r="BE809" s="151"/>
      <c r="BF809" s="151"/>
      <c r="BG809" s="151"/>
      <c r="BH809" s="151"/>
      <c r="BI809" s="151"/>
    </row>
    <row r="810" spans="1:61" x14ac:dyDescent="0.25">
      <c r="A810" s="149"/>
      <c r="B810" s="149"/>
      <c r="C810" s="149"/>
      <c r="D810" s="149"/>
      <c r="E810" s="150"/>
      <c r="F810" s="150"/>
      <c r="G810" s="149"/>
      <c r="H810" s="149"/>
      <c r="I810" s="149"/>
      <c r="J810" s="150"/>
      <c r="K810" s="150"/>
      <c r="L810" s="149"/>
      <c r="M810" s="149"/>
      <c r="N810" s="149"/>
      <c r="O810" s="150"/>
      <c r="P810" s="150"/>
      <c r="Q810" s="149"/>
      <c r="R810" s="149"/>
      <c r="S810" s="149"/>
      <c r="T810" s="150"/>
      <c r="U810" s="150"/>
      <c r="V810" s="150"/>
      <c r="W810" s="150"/>
      <c r="X810" s="150"/>
      <c r="Y810" s="150"/>
      <c r="Z810" s="150"/>
      <c r="AA810" s="150"/>
      <c r="AB810" s="150"/>
      <c r="AC810" s="149"/>
      <c r="AD810" s="149"/>
      <c r="AE810" s="149"/>
      <c r="AF810" s="150"/>
      <c r="AG810" s="150"/>
      <c r="AH810" s="149"/>
      <c r="AI810" s="149"/>
      <c r="AJ810" s="149"/>
      <c r="AK810" s="150"/>
      <c r="AL810" s="150"/>
      <c r="AM810" s="149"/>
      <c r="AN810" s="149"/>
      <c r="AO810" s="149"/>
      <c r="AP810" s="150"/>
      <c r="AQ810" s="150"/>
      <c r="AR810" s="150"/>
      <c r="AS810" s="150"/>
      <c r="AT810" s="150"/>
      <c r="AU810" s="150"/>
      <c r="AV810" s="150"/>
      <c r="AW810" s="150"/>
      <c r="AX810" s="150"/>
      <c r="AY810" s="151"/>
      <c r="AZ810" s="151"/>
      <c r="BA810" s="151"/>
      <c r="BB810" s="151"/>
      <c r="BC810" s="151"/>
      <c r="BD810" s="151"/>
      <c r="BE810" s="151"/>
      <c r="BF810" s="151"/>
      <c r="BG810" s="151"/>
      <c r="BH810" s="151"/>
      <c r="BI810" s="151"/>
    </row>
    <row r="811" spans="1:61" x14ac:dyDescent="0.25">
      <c r="A811" s="149"/>
      <c r="B811" s="149"/>
      <c r="C811" s="149"/>
      <c r="D811" s="149"/>
      <c r="E811" s="150"/>
      <c r="F811" s="150"/>
      <c r="G811" s="149"/>
      <c r="H811" s="149"/>
      <c r="I811" s="149"/>
      <c r="J811" s="150"/>
      <c r="K811" s="150"/>
      <c r="L811" s="149"/>
      <c r="M811" s="149"/>
      <c r="N811" s="149"/>
      <c r="O811" s="150"/>
      <c r="P811" s="150"/>
      <c r="Q811" s="149"/>
      <c r="R811" s="149"/>
      <c r="S811" s="149"/>
      <c r="T811" s="150"/>
      <c r="U811" s="150"/>
      <c r="V811" s="150"/>
      <c r="W811" s="150"/>
      <c r="X811" s="150"/>
      <c r="Y811" s="150"/>
      <c r="Z811" s="150"/>
      <c r="AA811" s="150"/>
      <c r="AB811" s="150"/>
      <c r="AC811" s="149"/>
      <c r="AD811" s="149"/>
      <c r="AE811" s="149"/>
      <c r="AF811" s="150"/>
      <c r="AG811" s="150"/>
      <c r="AH811" s="149"/>
      <c r="AI811" s="149"/>
      <c r="AJ811" s="149"/>
      <c r="AK811" s="150"/>
      <c r="AL811" s="150"/>
      <c r="AM811" s="149"/>
      <c r="AN811" s="149"/>
      <c r="AO811" s="149"/>
      <c r="AP811" s="150"/>
      <c r="AQ811" s="150"/>
      <c r="AR811" s="150"/>
      <c r="AS811" s="150"/>
      <c r="AT811" s="150"/>
      <c r="AU811" s="150"/>
      <c r="AV811" s="150"/>
      <c r="AW811" s="150"/>
      <c r="AX811" s="150"/>
      <c r="AY811" s="151"/>
      <c r="AZ811" s="151"/>
      <c r="BA811" s="151"/>
      <c r="BB811" s="151"/>
      <c r="BC811" s="151"/>
      <c r="BD811" s="151"/>
      <c r="BE811" s="151"/>
      <c r="BF811" s="151"/>
      <c r="BG811" s="151"/>
      <c r="BH811" s="151"/>
      <c r="BI811" s="151"/>
    </row>
    <row r="812" spans="1:61" x14ac:dyDescent="0.25">
      <c r="A812" s="149"/>
      <c r="B812" s="149"/>
      <c r="C812" s="149"/>
      <c r="D812" s="149"/>
      <c r="E812" s="150"/>
      <c r="F812" s="150"/>
      <c r="G812" s="149"/>
      <c r="H812" s="149"/>
      <c r="I812" s="149"/>
      <c r="J812" s="150"/>
      <c r="K812" s="150"/>
      <c r="L812" s="149"/>
      <c r="M812" s="149"/>
      <c r="N812" s="149"/>
      <c r="O812" s="150"/>
      <c r="P812" s="150"/>
      <c r="Q812" s="149"/>
      <c r="R812" s="149"/>
      <c r="S812" s="149"/>
      <c r="T812" s="150"/>
      <c r="U812" s="150"/>
      <c r="V812" s="150"/>
      <c r="W812" s="150"/>
      <c r="X812" s="150"/>
      <c r="Y812" s="150"/>
      <c r="Z812" s="150"/>
      <c r="AA812" s="150"/>
      <c r="AB812" s="150"/>
      <c r="AC812" s="149"/>
      <c r="AD812" s="149"/>
      <c r="AE812" s="149"/>
      <c r="AF812" s="150"/>
      <c r="AG812" s="150"/>
      <c r="AH812" s="149"/>
      <c r="AI812" s="149"/>
      <c r="AJ812" s="149"/>
      <c r="AK812" s="150"/>
      <c r="AL812" s="150"/>
      <c r="AM812" s="149"/>
      <c r="AN812" s="149"/>
      <c r="AO812" s="149"/>
      <c r="AP812" s="150"/>
      <c r="AQ812" s="150"/>
      <c r="AR812" s="150"/>
      <c r="AS812" s="150"/>
      <c r="AT812" s="150"/>
      <c r="AU812" s="150"/>
      <c r="AV812" s="150"/>
      <c r="AW812" s="150"/>
      <c r="AX812" s="150"/>
      <c r="AY812" s="151"/>
      <c r="AZ812" s="151"/>
      <c r="BA812" s="151"/>
      <c r="BB812" s="151"/>
      <c r="BC812" s="151"/>
      <c r="BD812" s="151"/>
      <c r="BE812" s="151"/>
      <c r="BF812" s="151"/>
      <c r="BG812" s="151"/>
      <c r="BH812" s="151"/>
      <c r="BI812" s="151"/>
    </row>
    <row r="813" spans="1:61" x14ac:dyDescent="0.25">
      <c r="A813" s="149"/>
      <c r="B813" s="149"/>
      <c r="C813" s="149"/>
      <c r="D813" s="149"/>
      <c r="E813" s="150"/>
      <c r="F813" s="150"/>
      <c r="G813" s="149"/>
      <c r="H813" s="149"/>
      <c r="I813" s="149"/>
      <c r="J813" s="150"/>
      <c r="K813" s="150"/>
      <c r="L813" s="149"/>
      <c r="M813" s="149"/>
      <c r="N813" s="149"/>
      <c r="O813" s="150"/>
      <c r="P813" s="150"/>
      <c r="Q813" s="149"/>
      <c r="R813" s="149"/>
      <c r="S813" s="149"/>
      <c r="T813" s="150"/>
      <c r="U813" s="150"/>
      <c r="V813" s="150"/>
      <c r="W813" s="150"/>
      <c r="X813" s="150"/>
      <c r="Y813" s="150"/>
      <c r="Z813" s="150"/>
      <c r="AA813" s="150"/>
      <c r="AB813" s="150"/>
      <c r="AC813" s="149"/>
      <c r="AD813" s="149"/>
      <c r="AE813" s="149"/>
      <c r="AF813" s="150"/>
      <c r="AG813" s="150"/>
      <c r="AH813" s="149"/>
      <c r="AI813" s="149"/>
      <c r="AJ813" s="149"/>
      <c r="AK813" s="150"/>
      <c r="AL813" s="150"/>
      <c r="AM813" s="149"/>
      <c r="AN813" s="149"/>
      <c r="AO813" s="149"/>
      <c r="AP813" s="150"/>
      <c r="AQ813" s="150"/>
      <c r="AR813" s="150"/>
      <c r="AS813" s="150"/>
      <c r="AT813" s="150"/>
      <c r="AU813" s="150"/>
      <c r="AV813" s="150"/>
      <c r="AW813" s="150"/>
      <c r="AX813" s="150"/>
      <c r="AY813" s="151"/>
      <c r="AZ813" s="151"/>
      <c r="BA813" s="151"/>
      <c r="BB813" s="151"/>
      <c r="BC813" s="151"/>
      <c r="BD813" s="151"/>
      <c r="BE813" s="151"/>
      <c r="BF813" s="151"/>
      <c r="BG813" s="151"/>
      <c r="BH813" s="151"/>
      <c r="BI813" s="151"/>
    </row>
    <row r="814" spans="1:61" x14ac:dyDescent="0.25">
      <c r="A814" s="149"/>
      <c r="B814" s="149"/>
      <c r="C814" s="149"/>
      <c r="D814" s="149"/>
      <c r="E814" s="150"/>
      <c r="F814" s="150"/>
      <c r="G814" s="149"/>
      <c r="H814" s="149"/>
      <c r="I814" s="149"/>
      <c r="J814" s="150"/>
      <c r="K814" s="150"/>
      <c r="L814" s="149"/>
      <c r="M814" s="149"/>
      <c r="N814" s="149"/>
      <c r="O814" s="150"/>
      <c r="P814" s="150"/>
      <c r="Q814" s="149"/>
      <c r="R814" s="149"/>
      <c r="S814" s="149"/>
      <c r="T814" s="150"/>
      <c r="U814" s="150"/>
      <c r="V814" s="150"/>
      <c r="W814" s="150"/>
      <c r="X814" s="150"/>
      <c r="Y814" s="150"/>
      <c r="Z814" s="150"/>
      <c r="AA814" s="150"/>
      <c r="AB814" s="150"/>
      <c r="AC814" s="149"/>
      <c r="AD814" s="149"/>
      <c r="AE814" s="149"/>
      <c r="AF814" s="150"/>
      <c r="AG814" s="150"/>
      <c r="AH814" s="149"/>
      <c r="AI814" s="149"/>
      <c r="AJ814" s="149"/>
      <c r="AK814" s="150"/>
      <c r="AL814" s="150"/>
      <c r="AM814" s="149"/>
      <c r="AN814" s="149"/>
      <c r="AO814" s="149"/>
      <c r="AP814" s="150"/>
      <c r="AQ814" s="150"/>
      <c r="AR814" s="150"/>
      <c r="AS814" s="150"/>
      <c r="AT814" s="150"/>
      <c r="AU814" s="150"/>
      <c r="AV814" s="150"/>
      <c r="AW814" s="150"/>
      <c r="AX814" s="150"/>
      <c r="AY814" s="151"/>
      <c r="AZ814" s="151"/>
      <c r="BA814" s="151"/>
      <c r="BB814" s="151"/>
      <c r="BC814" s="151"/>
      <c r="BD814" s="151"/>
      <c r="BE814" s="151"/>
      <c r="BF814" s="151"/>
      <c r="BG814" s="151"/>
      <c r="BH814" s="151"/>
      <c r="BI814" s="151"/>
    </row>
    <row r="815" spans="1:61" x14ac:dyDescent="0.25">
      <c r="A815" s="149"/>
      <c r="B815" s="149"/>
      <c r="C815" s="149"/>
      <c r="D815" s="149"/>
      <c r="E815" s="150"/>
      <c r="F815" s="150"/>
      <c r="G815" s="149"/>
      <c r="H815" s="149"/>
      <c r="I815" s="149"/>
      <c r="J815" s="150"/>
      <c r="K815" s="150"/>
      <c r="L815" s="149"/>
      <c r="M815" s="149"/>
      <c r="N815" s="149"/>
      <c r="O815" s="150"/>
      <c r="P815" s="150"/>
      <c r="Q815" s="149"/>
      <c r="R815" s="149"/>
      <c r="S815" s="149"/>
      <c r="T815" s="150"/>
      <c r="U815" s="150"/>
      <c r="V815" s="150"/>
      <c r="W815" s="150"/>
      <c r="X815" s="150"/>
      <c r="Y815" s="150"/>
      <c r="Z815" s="150"/>
      <c r="AA815" s="150"/>
      <c r="AB815" s="150"/>
      <c r="AC815" s="149"/>
      <c r="AD815" s="149"/>
      <c r="AE815" s="149"/>
      <c r="AF815" s="150"/>
      <c r="AG815" s="150"/>
      <c r="AH815" s="149"/>
      <c r="AI815" s="149"/>
      <c r="AJ815" s="149"/>
      <c r="AK815" s="150"/>
      <c r="AL815" s="150"/>
      <c r="AM815" s="149"/>
      <c r="AN815" s="149"/>
      <c r="AO815" s="149"/>
      <c r="AP815" s="150"/>
      <c r="AQ815" s="150"/>
      <c r="AR815" s="150"/>
      <c r="AS815" s="150"/>
      <c r="AT815" s="150"/>
      <c r="AU815" s="150"/>
      <c r="AV815" s="150"/>
      <c r="AW815" s="150"/>
      <c r="AX815" s="150"/>
      <c r="AY815" s="151"/>
      <c r="AZ815" s="151"/>
      <c r="BA815" s="151"/>
      <c r="BB815" s="151"/>
      <c r="BC815" s="151"/>
      <c r="BD815" s="151"/>
      <c r="BE815" s="151"/>
      <c r="BF815" s="151"/>
      <c r="BG815" s="151"/>
      <c r="BH815" s="151"/>
      <c r="BI815" s="151"/>
    </row>
    <row r="816" spans="1:61" x14ac:dyDescent="0.25">
      <c r="A816" s="149"/>
      <c r="B816" s="149"/>
      <c r="C816" s="149"/>
      <c r="D816" s="149"/>
      <c r="E816" s="150"/>
      <c r="F816" s="150"/>
      <c r="G816" s="149"/>
      <c r="H816" s="149"/>
      <c r="I816" s="149"/>
      <c r="J816" s="150"/>
      <c r="K816" s="150"/>
      <c r="L816" s="149"/>
      <c r="M816" s="149"/>
      <c r="N816" s="149"/>
      <c r="O816" s="150"/>
      <c r="P816" s="150"/>
      <c r="Q816" s="149"/>
      <c r="R816" s="149"/>
      <c r="S816" s="149"/>
      <c r="T816" s="150"/>
      <c r="U816" s="150"/>
      <c r="V816" s="150"/>
      <c r="W816" s="150"/>
      <c r="X816" s="150"/>
      <c r="Y816" s="150"/>
      <c r="Z816" s="150"/>
      <c r="AA816" s="150"/>
      <c r="AB816" s="150"/>
      <c r="AC816" s="149"/>
      <c r="AD816" s="149"/>
      <c r="AE816" s="149"/>
      <c r="AF816" s="150"/>
      <c r="AG816" s="150"/>
      <c r="AH816" s="149"/>
      <c r="AI816" s="149"/>
      <c r="AJ816" s="149"/>
      <c r="AK816" s="150"/>
      <c r="AL816" s="150"/>
      <c r="AM816" s="149"/>
      <c r="AN816" s="149"/>
      <c r="AO816" s="149"/>
      <c r="AP816" s="150"/>
      <c r="AQ816" s="150"/>
      <c r="AR816" s="150"/>
      <c r="AS816" s="150"/>
      <c r="AT816" s="150"/>
      <c r="AU816" s="150"/>
      <c r="AV816" s="150"/>
      <c r="AW816" s="150"/>
      <c r="AX816" s="150"/>
      <c r="AY816" s="151"/>
      <c r="AZ816" s="151"/>
      <c r="BA816" s="151"/>
      <c r="BB816" s="151"/>
      <c r="BC816" s="151"/>
      <c r="BD816" s="151"/>
      <c r="BE816" s="151"/>
      <c r="BF816" s="151"/>
      <c r="BG816" s="151"/>
      <c r="BH816" s="151"/>
      <c r="BI816" s="151"/>
    </row>
    <row r="817" spans="1:61" x14ac:dyDescent="0.25">
      <c r="A817" s="149"/>
      <c r="B817" s="149"/>
      <c r="C817" s="149"/>
      <c r="D817" s="149"/>
      <c r="E817" s="150"/>
      <c r="F817" s="150"/>
      <c r="G817" s="149"/>
      <c r="H817" s="149"/>
      <c r="I817" s="149"/>
      <c r="J817" s="150"/>
      <c r="K817" s="150"/>
      <c r="L817" s="149"/>
      <c r="M817" s="149"/>
      <c r="N817" s="149"/>
      <c r="O817" s="150"/>
      <c r="P817" s="150"/>
      <c r="Q817" s="149"/>
      <c r="R817" s="149"/>
      <c r="S817" s="149"/>
      <c r="T817" s="150"/>
      <c r="U817" s="150"/>
      <c r="V817" s="150"/>
      <c r="W817" s="150"/>
      <c r="X817" s="150"/>
      <c r="Y817" s="150"/>
      <c r="Z817" s="150"/>
      <c r="AA817" s="150"/>
      <c r="AB817" s="150"/>
      <c r="AC817" s="149"/>
      <c r="AD817" s="149"/>
      <c r="AE817" s="149"/>
      <c r="AF817" s="150"/>
      <c r="AG817" s="150"/>
      <c r="AH817" s="149"/>
      <c r="AI817" s="149"/>
      <c r="AJ817" s="149"/>
      <c r="AK817" s="150"/>
      <c r="AL817" s="150"/>
      <c r="AM817" s="149"/>
      <c r="AN817" s="149"/>
      <c r="AO817" s="149"/>
      <c r="AP817" s="150"/>
      <c r="AQ817" s="150"/>
      <c r="AR817" s="150"/>
      <c r="AS817" s="150"/>
      <c r="AT817" s="150"/>
      <c r="AU817" s="150"/>
      <c r="AV817" s="150"/>
      <c r="AW817" s="150"/>
      <c r="AX817" s="150"/>
      <c r="AY817" s="151"/>
      <c r="AZ817" s="151"/>
      <c r="BA817" s="151"/>
      <c r="BB817" s="151"/>
      <c r="BC817" s="151"/>
      <c r="BD817" s="151"/>
      <c r="BE817" s="151"/>
      <c r="BF817" s="151"/>
      <c r="BG817" s="151"/>
      <c r="BH817" s="151"/>
      <c r="BI817" s="151"/>
    </row>
    <row r="818" spans="1:61" x14ac:dyDescent="0.25">
      <c r="A818" s="149"/>
      <c r="B818" s="149"/>
      <c r="C818" s="149"/>
      <c r="D818" s="149"/>
      <c r="E818" s="150"/>
      <c r="F818" s="150"/>
      <c r="G818" s="149"/>
      <c r="H818" s="149"/>
      <c r="I818" s="149"/>
      <c r="J818" s="150"/>
      <c r="K818" s="150"/>
      <c r="L818" s="149"/>
      <c r="M818" s="149"/>
      <c r="N818" s="149"/>
      <c r="O818" s="150"/>
      <c r="P818" s="150"/>
      <c r="Q818" s="149"/>
      <c r="R818" s="149"/>
      <c r="S818" s="149"/>
      <c r="T818" s="150"/>
      <c r="U818" s="150"/>
      <c r="V818" s="150"/>
      <c r="W818" s="150"/>
      <c r="X818" s="150"/>
      <c r="Y818" s="150"/>
      <c r="Z818" s="150"/>
      <c r="AA818" s="150"/>
      <c r="AB818" s="150"/>
      <c r="AC818" s="149"/>
      <c r="AD818" s="149"/>
      <c r="AE818" s="149"/>
      <c r="AF818" s="150"/>
      <c r="AG818" s="150"/>
      <c r="AH818" s="149"/>
      <c r="AI818" s="149"/>
      <c r="AJ818" s="149"/>
      <c r="AK818" s="150"/>
      <c r="AL818" s="150"/>
      <c r="AM818" s="149"/>
      <c r="AN818" s="149"/>
      <c r="AO818" s="149"/>
      <c r="AP818" s="150"/>
      <c r="AQ818" s="150"/>
      <c r="AR818" s="150"/>
      <c r="AS818" s="150"/>
      <c r="AT818" s="150"/>
      <c r="AU818" s="150"/>
      <c r="AV818" s="150"/>
      <c r="AW818" s="150"/>
      <c r="AX818" s="150"/>
      <c r="AY818" s="151"/>
      <c r="AZ818" s="151"/>
      <c r="BA818" s="151"/>
      <c r="BB818" s="151"/>
      <c r="BC818" s="151"/>
      <c r="BD818" s="151"/>
      <c r="BE818" s="151"/>
      <c r="BF818" s="151"/>
      <c r="BG818" s="151"/>
      <c r="BH818" s="151"/>
      <c r="BI818" s="151"/>
    </row>
    <row r="819" spans="1:61" x14ac:dyDescent="0.25">
      <c r="A819" s="149"/>
      <c r="B819" s="149"/>
      <c r="C819" s="149"/>
      <c r="D819" s="149"/>
      <c r="E819" s="150"/>
      <c r="F819" s="150"/>
      <c r="G819" s="149"/>
      <c r="H819" s="149"/>
      <c r="I819" s="149"/>
      <c r="J819" s="150"/>
      <c r="K819" s="150"/>
      <c r="L819" s="149"/>
      <c r="M819" s="149"/>
      <c r="N819" s="149"/>
      <c r="O819" s="150"/>
      <c r="P819" s="150"/>
      <c r="Q819" s="149"/>
      <c r="R819" s="149"/>
      <c r="S819" s="149"/>
      <c r="T819" s="150"/>
      <c r="U819" s="150"/>
      <c r="V819" s="150"/>
      <c r="W819" s="150"/>
      <c r="X819" s="150"/>
      <c r="Y819" s="150"/>
      <c r="Z819" s="150"/>
      <c r="AA819" s="150"/>
      <c r="AB819" s="150"/>
      <c r="AC819" s="149"/>
      <c r="AD819" s="149"/>
      <c r="AE819" s="149"/>
      <c r="AF819" s="150"/>
      <c r="AG819" s="150"/>
      <c r="AH819" s="149"/>
      <c r="AI819" s="149"/>
      <c r="AJ819" s="149"/>
      <c r="AK819" s="150"/>
      <c r="AL819" s="150"/>
      <c r="AM819" s="149"/>
      <c r="AN819" s="149"/>
      <c r="AO819" s="149"/>
      <c r="AP819" s="150"/>
      <c r="AQ819" s="150"/>
      <c r="AR819" s="150"/>
      <c r="AS819" s="150"/>
      <c r="AT819" s="150"/>
      <c r="AU819" s="150"/>
      <c r="AV819" s="150"/>
      <c r="AW819" s="150"/>
      <c r="AX819" s="150"/>
      <c r="AY819" s="151"/>
      <c r="AZ819" s="151"/>
      <c r="BA819" s="151"/>
      <c r="BB819" s="151"/>
      <c r="BC819" s="151"/>
      <c r="BD819" s="151"/>
      <c r="BE819" s="151"/>
      <c r="BF819" s="151"/>
      <c r="BG819" s="151"/>
      <c r="BH819" s="151"/>
      <c r="BI819" s="151"/>
    </row>
    <row r="820" spans="1:61" x14ac:dyDescent="0.25">
      <c r="A820" s="149"/>
      <c r="B820" s="149"/>
      <c r="C820" s="149"/>
      <c r="D820" s="149"/>
      <c r="E820" s="150"/>
      <c r="F820" s="150"/>
      <c r="G820" s="149"/>
      <c r="H820" s="149"/>
      <c r="I820" s="149"/>
      <c r="J820" s="150"/>
      <c r="K820" s="150"/>
      <c r="L820" s="149"/>
      <c r="M820" s="149"/>
      <c r="N820" s="149"/>
      <c r="O820" s="150"/>
      <c r="P820" s="150"/>
      <c r="Q820" s="149"/>
      <c r="R820" s="149"/>
      <c r="S820" s="149"/>
      <c r="T820" s="150"/>
      <c r="U820" s="150"/>
      <c r="V820" s="150"/>
      <c r="W820" s="150"/>
      <c r="X820" s="150"/>
      <c r="Y820" s="150"/>
      <c r="Z820" s="150"/>
      <c r="AA820" s="150"/>
      <c r="AB820" s="150"/>
      <c r="AC820" s="149"/>
      <c r="AD820" s="149"/>
      <c r="AE820" s="149"/>
      <c r="AF820" s="150"/>
      <c r="AG820" s="150"/>
      <c r="AH820" s="149"/>
      <c r="AI820" s="149"/>
      <c r="AJ820" s="149"/>
      <c r="AK820" s="150"/>
      <c r="AL820" s="150"/>
      <c r="AM820" s="149"/>
      <c r="AN820" s="149"/>
      <c r="AO820" s="149"/>
      <c r="AP820" s="150"/>
      <c r="AQ820" s="150"/>
      <c r="AR820" s="150"/>
      <c r="AS820" s="150"/>
      <c r="AT820" s="150"/>
      <c r="AU820" s="150"/>
      <c r="AV820" s="150"/>
      <c r="AW820" s="150"/>
      <c r="AX820" s="150"/>
      <c r="AY820" s="151"/>
      <c r="AZ820" s="151"/>
      <c r="BA820" s="151"/>
      <c r="BB820" s="151"/>
      <c r="BC820" s="151"/>
      <c r="BD820" s="151"/>
      <c r="BE820" s="151"/>
      <c r="BF820" s="151"/>
      <c r="BG820" s="151"/>
      <c r="BH820" s="151"/>
      <c r="BI820" s="151"/>
    </row>
    <row r="821" spans="1:61" x14ac:dyDescent="0.25">
      <c r="A821" s="149"/>
      <c r="B821" s="149"/>
      <c r="C821" s="149"/>
      <c r="D821" s="149"/>
      <c r="E821" s="150"/>
      <c r="F821" s="150"/>
      <c r="G821" s="149"/>
      <c r="H821" s="149"/>
      <c r="I821" s="149"/>
      <c r="J821" s="150"/>
      <c r="K821" s="150"/>
      <c r="L821" s="149"/>
      <c r="M821" s="149"/>
      <c r="N821" s="149"/>
      <c r="O821" s="150"/>
      <c r="P821" s="150"/>
      <c r="Q821" s="149"/>
      <c r="R821" s="149"/>
      <c r="S821" s="149"/>
      <c r="T821" s="150"/>
      <c r="U821" s="150"/>
      <c r="V821" s="150"/>
      <c r="W821" s="150"/>
      <c r="X821" s="150"/>
      <c r="Y821" s="150"/>
      <c r="Z821" s="150"/>
      <c r="AA821" s="150"/>
      <c r="AB821" s="150"/>
      <c r="AC821" s="149"/>
      <c r="AD821" s="149"/>
      <c r="AE821" s="149"/>
      <c r="AF821" s="150"/>
      <c r="AG821" s="150"/>
      <c r="AH821" s="149"/>
      <c r="AI821" s="149"/>
      <c r="AJ821" s="149"/>
      <c r="AK821" s="150"/>
      <c r="AL821" s="150"/>
      <c r="AM821" s="149"/>
      <c r="AN821" s="149"/>
      <c r="AO821" s="149"/>
      <c r="AP821" s="150"/>
      <c r="AQ821" s="150"/>
      <c r="AR821" s="150"/>
      <c r="AS821" s="150"/>
      <c r="AT821" s="150"/>
      <c r="AU821" s="150"/>
      <c r="AV821" s="150"/>
      <c r="AW821" s="150"/>
      <c r="AX821" s="150"/>
      <c r="AY821" s="151"/>
      <c r="AZ821" s="151"/>
      <c r="BA821" s="151"/>
      <c r="BB821" s="151"/>
      <c r="BC821" s="151"/>
      <c r="BD821" s="151"/>
      <c r="BE821" s="151"/>
      <c r="BF821" s="151"/>
      <c r="BG821" s="151"/>
      <c r="BH821" s="151"/>
      <c r="BI821" s="151"/>
    </row>
    <row r="822" spans="1:61" x14ac:dyDescent="0.25">
      <c r="A822" s="149"/>
      <c r="B822" s="149"/>
      <c r="C822" s="149"/>
      <c r="D822" s="149"/>
      <c r="E822" s="150"/>
      <c r="F822" s="150"/>
      <c r="G822" s="149"/>
      <c r="H822" s="149"/>
      <c r="I822" s="149"/>
      <c r="J822" s="150"/>
      <c r="K822" s="150"/>
      <c r="L822" s="149"/>
      <c r="M822" s="149"/>
      <c r="N822" s="149"/>
      <c r="O822" s="150"/>
      <c r="P822" s="150"/>
      <c r="Q822" s="149"/>
      <c r="R822" s="149"/>
      <c r="S822" s="149"/>
      <c r="T822" s="150"/>
      <c r="U822" s="150"/>
      <c r="V822" s="150"/>
      <c r="W822" s="150"/>
      <c r="X822" s="150"/>
      <c r="Y822" s="150"/>
      <c r="Z822" s="150"/>
      <c r="AA822" s="150"/>
      <c r="AB822" s="150"/>
      <c r="AC822" s="149"/>
      <c r="AD822" s="149"/>
      <c r="AE822" s="149"/>
      <c r="AF822" s="150"/>
      <c r="AG822" s="150"/>
      <c r="AH822" s="149"/>
      <c r="AI822" s="149"/>
      <c r="AJ822" s="149"/>
      <c r="AK822" s="150"/>
      <c r="AL822" s="150"/>
      <c r="AM822" s="149"/>
      <c r="AN822" s="149"/>
      <c r="AO822" s="149"/>
      <c r="AP822" s="150"/>
      <c r="AQ822" s="150"/>
      <c r="AR822" s="150"/>
      <c r="AS822" s="150"/>
      <c r="AT822" s="150"/>
      <c r="AU822" s="150"/>
      <c r="AV822" s="150"/>
      <c r="AW822" s="150"/>
      <c r="AX822" s="150"/>
      <c r="AY822" s="151"/>
      <c r="AZ822" s="151"/>
      <c r="BA822" s="151"/>
      <c r="BB822" s="151"/>
      <c r="BC822" s="151"/>
      <c r="BD822" s="151"/>
      <c r="BE822" s="151"/>
      <c r="BF822" s="151"/>
      <c r="BG822" s="151"/>
      <c r="BH822" s="151"/>
      <c r="BI822" s="151"/>
    </row>
    <row r="823" spans="1:61" x14ac:dyDescent="0.25">
      <c r="A823" s="149"/>
      <c r="B823" s="149"/>
      <c r="C823" s="149"/>
      <c r="D823" s="149"/>
      <c r="E823" s="150"/>
      <c r="F823" s="150"/>
      <c r="G823" s="149"/>
      <c r="H823" s="149"/>
      <c r="I823" s="149"/>
      <c r="J823" s="150"/>
      <c r="K823" s="150"/>
      <c r="L823" s="149"/>
      <c r="M823" s="149"/>
      <c r="N823" s="149"/>
      <c r="O823" s="150"/>
      <c r="P823" s="150"/>
      <c r="Q823" s="149"/>
      <c r="R823" s="149"/>
      <c r="S823" s="149"/>
      <c r="T823" s="150"/>
      <c r="U823" s="150"/>
      <c r="V823" s="150"/>
      <c r="W823" s="150"/>
      <c r="X823" s="150"/>
      <c r="Y823" s="150"/>
      <c r="Z823" s="150"/>
      <c r="AA823" s="150"/>
      <c r="AB823" s="150"/>
      <c r="AC823" s="149"/>
      <c r="AD823" s="149"/>
      <c r="AE823" s="149"/>
      <c r="AF823" s="150"/>
      <c r="AG823" s="150"/>
      <c r="AH823" s="149"/>
      <c r="AI823" s="149"/>
      <c r="AJ823" s="149"/>
      <c r="AK823" s="150"/>
      <c r="AL823" s="150"/>
      <c r="AM823" s="149"/>
      <c r="AN823" s="149"/>
      <c r="AO823" s="149"/>
      <c r="AP823" s="150"/>
      <c r="AQ823" s="150"/>
      <c r="AR823" s="150"/>
      <c r="AS823" s="150"/>
      <c r="AT823" s="150"/>
      <c r="AU823" s="150"/>
      <c r="AV823" s="150"/>
      <c r="AW823" s="150"/>
      <c r="AX823" s="150"/>
      <c r="AY823" s="151"/>
      <c r="AZ823" s="151"/>
      <c r="BA823" s="151"/>
      <c r="BB823" s="151"/>
      <c r="BC823" s="151"/>
      <c r="BD823" s="151"/>
      <c r="BE823" s="151"/>
      <c r="BF823" s="151"/>
      <c r="BG823" s="151"/>
      <c r="BH823" s="151"/>
      <c r="BI823" s="151"/>
    </row>
    <row r="824" spans="1:61" x14ac:dyDescent="0.25">
      <c r="A824" s="149"/>
      <c r="B824" s="149"/>
      <c r="C824" s="149"/>
      <c r="D824" s="149"/>
      <c r="E824" s="150"/>
      <c r="F824" s="150"/>
      <c r="G824" s="149"/>
      <c r="H824" s="149"/>
      <c r="I824" s="149"/>
      <c r="J824" s="150"/>
      <c r="K824" s="150"/>
      <c r="L824" s="149"/>
      <c r="M824" s="149"/>
      <c r="N824" s="149"/>
      <c r="O824" s="150"/>
      <c r="P824" s="150"/>
      <c r="Q824" s="149"/>
      <c r="R824" s="149"/>
      <c r="S824" s="149"/>
      <c r="T824" s="150"/>
      <c r="U824" s="150"/>
      <c r="V824" s="150"/>
      <c r="W824" s="150"/>
      <c r="X824" s="150"/>
      <c r="Y824" s="150"/>
      <c r="Z824" s="150"/>
      <c r="AA824" s="150"/>
      <c r="AB824" s="150"/>
      <c r="AC824" s="149"/>
      <c r="AD824" s="149"/>
      <c r="AE824" s="149"/>
      <c r="AF824" s="150"/>
      <c r="AG824" s="150"/>
      <c r="AH824" s="149"/>
      <c r="AI824" s="149"/>
      <c r="AJ824" s="149"/>
      <c r="AK824" s="150"/>
      <c r="AL824" s="150"/>
      <c r="AM824" s="149"/>
      <c r="AN824" s="149"/>
      <c r="AO824" s="149"/>
      <c r="AP824" s="150"/>
      <c r="AQ824" s="150"/>
      <c r="AR824" s="150"/>
      <c r="AS824" s="150"/>
      <c r="AT824" s="150"/>
      <c r="AU824" s="150"/>
      <c r="AV824" s="150"/>
      <c r="AW824" s="150"/>
      <c r="AX824" s="150"/>
      <c r="AY824" s="151"/>
      <c r="AZ824" s="151"/>
      <c r="BA824" s="151"/>
      <c r="BB824" s="151"/>
      <c r="BC824" s="151"/>
      <c r="BD824" s="151"/>
      <c r="BE824" s="151"/>
      <c r="BF824" s="151"/>
      <c r="BG824" s="151"/>
      <c r="BH824" s="151"/>
      <c r="BI824" s="151"/>
    </row>
    <row r="825" spans="1:61" x14ac:dyDescent="0.25">
      <c r="A825" s="149"/>
      <c r="B825" s="149"/>
      <c r="C825" s="149"/>
      <c r="D825" s="149"/>
      <c r="E825" s="150"/>
      <c r="F825" s="150"/>
      <c r="G825" s="149"/>
      <c r="H825" s="149"/>
      <c r="I825" s="149"/>
      <c r="J825" s="150"/>
      <c r="K825" s="150"/>
      <c r="L825" s="149"/>
      <c r="M825" s="149"/>
      <c r="N825" s="149"/>
      <c r="O825" s="150"/>
      <c r="P825" s="150"/>
      <c r="Q825" s="149"/>
      <c r="R825" s="149"/>
      <c r="S825" s="149"/>
      <c r="T825" s="150"/>
      <c r="U825" s="150"/>
      <c r="V825" s="150"/>
      <c r="W825" s="150"/>
      <c r="X825" s="150"/>
      <c r="Y825" s="150"/>
      <c r="Z825" s="150"/>
      <c r="AA825" s="150"/>
      <c r="AB825" s="150"/>
      <c r="AC825" s="149"/>
      <c r="AD825" s="149"/>
      <c r="AE825" s="149"/>
      <c r="AF825" s="150"/>
      <c r="AG825" s="150"/>
      <c r="AH825" s="149"/>
      <c r="AI825" s="149"/>
      <c r="AJ825" s="149"/>
      <c r="AK825" s="150"/>
      <c r="AL825" s="150"/>
      <c r="AM825" s="149"/>
      <c r="AN825" s="149"/>
      <c r="AO825" s="149"/>
      <c r="AP825" s="150"/>
      <c r="AQ825" s="150"/>
      <c r="AR825" s="150"/>
      <c r="AS825" s="150"/>
      <c r="AT825" s="150"/>
      <c r="AU825" s="150"/>
      <c r="AV825" s="150"/>
      <c r="AW825" s="150"/>
      <c r="AX825" s="150"/>
      <c r="AY825" s="151"/>
      <c r="AZ825" s="151"/>
      <c r="BA825" s="151"/>
      <c r="BB825" s="151"/>
      <c r="BC825" s="151"/>
      <c r="BD825" s="151"/>
      <c r="BE825" s="151"/>
      <c r="BF825" s="151"/>
      <c r="BG825" s="151"/>
      <c r="BH825" s="151"/>
      <c r="BI825" s="151"/>
    </row>
    <row r="826" spans="1:61" x14ac:dyDescent="0.25">
      <c r="A826" s="149"/>
      <c r="B826" s="149"/>
      <c r="C826" s="149"/>
      <c r="D826" s="149"/>
      <c r="E826" s="150"/>
      <c r="F826" s="150"/>
      <c r="G826" s="149"/>
      <c r="H826" s="149"/>
      <c r="I826" s="149"/>
      <c r="J826" s="150"/>
      <c r="K826" s="150"/>
      <c r="L826" s="149"/>
      <c r="M826" s="149"/>
      <c r="N826" s="149"/>
      <c r="O826" s="150"/>
      <c r="P826" s="150"/>
      <c r="Q826" s="149"/>
      <c r="R826" s="149"/>
      <c r="S826" s="149"/>
      <c r="T826" s="150"/>
      <c r="U826" s="150"/>
      <c r="V826" s="150"/>
      <c r="W826" s="150"/>
      <c r="X826" s="150"/>
      <c r="Y826" s="150"/>
      <c r="Z826" s="150"/>
      <c r="AA826" s="150"/>
      <c r="AB826" s="150"/>
      <c r="AC826" s="149"/>
      <c r="AD826" s="149"/>
      <c r="AE826" s="149"/>
      <c r="AF826" s="150"/>
      <c r="AG826" s="150"/>
      <c r="AH826" s="149"/>
      <c r="AI826" s="149"/>
      <c r="AJ826" s="149"/>
      <c r="AK826" s="150"/>
      <c r="AL826" s="150"/>
      <c r="AM826" s="149"/>
      <c r="AN826" s="149"/>
      <c r="AO826" s="149"/>
      <c r="AP826" s="150"/>
      <c r="AQ826" s="150"/>
      <c r="AR826" s="150"/>
      <c r="AS826" s="150"/>
      <c r="AT826" s="150"/>
      <c r="AU826" s="150"/>
      <c r="AV826" s="150"/>
      <c r="AW826" s="150"/>
      <c r="AX826" s="150"/>
      <c r="AY826" s="151"/>
      <c r="AZ826" s="151"/>
      <c r="BA826" s="151"/>
      <c r="BB826" s="151"/>
      <c r="BC826" s="151"/>
      <c r="BD826" s="151"/>
      <c r="BE826" s="151"/>
      <c r="BF826" s="151"/>
      <c r="BG826" s="151"/>
      <c r="BH826" s="151"/>
      <c r="BI826" s="151"/>
    </row>
    <row r="827" spans="1:61" x14ac:dyDescent="0.25">
      <c r="A827" s="149"/>
      <c r="B827" s="149"/>
      <c r="C827" s="149"/>
      <c r="D827" s="149"/>
      <c r="E827" s="150"/>
      <c r="F827" s="150"/>
      <c r="G827" s="149"/>
      <c r="H827" s="149"/>
      <c r="I827" s="149"/>
      <c r="J827" s="150"/>
      <c r="K827" s="150"/>
      <c r="L827" s="149"/>
      <c r="M827" s="149"/>
      <c r="N827" s="149"/>
      <c r="O827" s="150"/>
      <c r="P827" s="150"/>
      <c r="Q827" s="149"/>
      <c r="R827" s="149"/>
      <c r="S827" s="149"/>
      <c r="T827" s="150"/>
      <c r="U827" s="150"/>
      <c r="V827" s="150"/>
      <c r="W827" s="150"/>
      <c r="X827" s="150"/>
      <c r="Y827" s="150"/>
      <c r="Z827" s="150"/>
      <c r="AA827" s="150"/>
      <c r="AB827" s="150"/>
      <c r="AC827" s="149"/>
      <c r="AD827" s="149"/>
      <c r="AE827" s="149"/>
      <c r="AF827" s="150"/>
      <c r="AG827" s="150"/>
      <c r="AH827" s="149"/>
      <c r="AI827" s="149"/>
      <c r="AJ827" s="149"/>
      <c r="AK827" s="150"/>
      <c r="AL827" s="150"/>
      <c r="AM827" s="149"/>
      <c r="AN827" s="149"/>
      <c r="AO827" s="149"/>
      <c r="AP827" s="150"/>
      <c r="AQ827" s="150"/>
      <c r="AR827" s="150"/>
      <c r="AS827" s="150"/>
      <c r="AT827" s="150"/>
      <c r="AU827" s="150"/>
      <c r="AV827" s="150"/>
      <c r="AW827" s="150"/>
      <c r="AX827" s="150"/>
      <c r="AY827" s="151"/>
      <c r="AZ827" s="151"/>
      <c r="BA827" s="151"/>
      <c r="BB827" s="151"/>
      <c r="BC827" s="151"/>
      <c r="BD827" s="151"/>
      <c r="BE827" s="151"/>
      <c r="BF827" s="151"/>
      <c r="BG827" s="151"/>
      <c r="BH827" s="151"/>
      <c r="BI827" s="151"/>
    </row>
    <row r="828" spans="1:61" x14ac:dyDescent="0.25">
      <c r="A828" s="149"/>
      <c r="B828" s="149"/>
      <c r="C828" s="149"/>
      <c r="D828" s="149"/>
      <c r="E828" s="150"/>
      <c r="F828" s="150"/>
      <c r="G828" s="149"/>
      <c r="H828" s="149"/>
      <c r="I828" s="149"/>
      <c r="J828" s="150"/>
      <c r="K828" s="150"/>
      <c r="L828" s="149"/>
      <c r="M828" s="149"/>
      <c r="N828" s="149"/>
      <c r="O828" s="150"/>
      <c r="P828" s="150"/>
      <c r="Q828" s="149"/>
      <c r="R828" s="149"/>
      <c r="S828" s="149"/>
      <c r="T828" s="150"/>
      <c r="U828" s="150"/>
      <c r="V828" s="150"/>
      <c r="W828" s="150"/>
      <c r="X828" s="150"/>
      <c r="Y828" s="150"/>
      <c r="Z828" s="150"/>
      <c r="AA828" s="150"/>
      <c r="AB828" s="150"/>
      <c r="AC828" s="149"/>
      <c r="AD828" s="149"/>
      <c r="AE828" s="149"/>
      <c r="AF828" s="150"/>
      <c r="AG828" s="150"/>
      <c r="AH828" s="149"/>
      <c r="AI828" s="149"/>
      <c r="AJ828" s="149"/>
      <c r="AK828" s="150"/>
      <c r="AL828" s="150"/>
      <c r="AM828" s="149"/>
      <c r="AN828" s="149"/>
      <c r="AO828" s="149"/>
      <c r="AP828" s="150"/>
      <c r="AQ828" s="150"/>
      <c r="AR828" s="150"/>
      <c r="AS828" s="150"/>
      <c r="AT828" s="150"/>
      <c r="AU828" s="150"/>
      <c r="AV828" s="150"/>
      <c r="AW828" s="150"/>
      <c r="AX828" s="150"/>
      <c r="AY828" s="151"/>
      <c r="AZ828" s="151"/>
      <c r="BA828" s="151"/>
      <c r="BB828" s="151"/>
      <c r="BC828" s="151"/>
      <c r="BD828" s="151"/>
      <c r="BE828" s="151"/>
      <c r="BF828" s="151"/>
      <c r="BG828" s="151"/>
      <c r="BH828" s="151"/>
      <c r="BI828" s="151"/>
    </row>
    <row r="829" spans="1:61" x14ac:dyDescent="0.25">
      <c r="A829" s="149"/>
      <c r="B829" s="149"/>
      <c r="C829" s="149"/>
      <c r="D829" s="149"/>
      <c r="E829" s="150"/>
      <c r="F829" s="150"/>
      <c r="G829" s="149"/>
      <c r="H829" s="149"/>
      <c r="I829" s="149"/>
      <c r="J829" s="150"/>
      <c r="K829" s="150"/>
      <c r="L829" s="149"/>
      <c r="M829" s="149"/>
      <c r="N829" s="149"/>
      <c r="O829" s="150"/>
      <c r="P829" s="150"/>
      <c r="Q829" s="149"/>
      <c r="R829" s="149"/>
      <c r="S829" s="149"/>
      <c r="T829" s="150"/>
      <c r="U829" s="150"/>
      <c r="V829" s="150"/>
      <c r="W829" s="150"/>
      <c r="X829" s="150"/>
      <c r="Y829" s="150"/>
      <c r="Z829" s="150"/>
      <c r="AA829" s="150"/>
      <c r="AB829" s="150"/>
      <c r="AC829" s="149"/>
      <c r="AD829" s="149"/>
      <c r="AE829" s="149"/>
      <c r="AF829" s="150"/>
      <c r="AG829" s="150"/>
      <c r="AH829" s="149"/>
      <c r="AI829" s="149"/>
      <c r="AJ829" s="149"/>
      <c r="AK829" s="150"/>
      <c r="AL829" s="150"/>
      <c r="AM829" s="149"/>
      <c r="AN829" s="149"/>
      <c r="AO829" s="149"/>
      <c r="AP829" s="150"/>
      <c r="AQ829" s="150"/>
      <c r="AR829" s="150"/>
      <c r="AS829" s="150"/>
      <c r="AT829" s="150"/>
      <c r="AU829" s="150"/>
      <c r="AV829" s="150"/>
      <c r="AW829" s="150"/>
      <c r="AX829" s="150"/>
      <c r="AY829" s="151"/>
      <c r="AZ829" s="151"/>
      <c r="BA829" s="151"/>
      <c r="BB829" s="151"/>
      <c r="BC829" s="151"/>
      <c r="BD829" s="151"/>
      <c r="BE829" s="151"/>
      <c r="BF829" s="151"/>
      <c r="BG829" s="151"/>
      <c r="BH829" s="151"/>
      <c r="BI829" s="151"/>
    </row>
    <row r="830" spans="1:61" x14ac:dyDescent="0.25">
      <c r="A830" s="149"/>
      <c r="B830" s="149"/>
      <c r="C830" s="149"/>
      <c r="D830" s="149"/>
      <c r="E830" s="150"/>
      <c r="F830" s="150"/>
      <c r="G830" s="149"/>
      <c r="H830" s="149"/>
      <c r="I830" s="149"/>
      <c r="J830" s="150"/>
      <c r="K830" s="150"/>
      <c r="L830" s="149"/>
      <c r="M830" s="149"/>
      <c r="N830" s="149"/>
      <c r="O830" s="150"/>
      <c r="P830" s="150"/>
      <c r="Q830" s="149"/>
      <c r="R830" s="149"/>
      <c r="S830" s="149"/>
      <c r="T830" s="150"/>
      <c r="U830" s="150"/>
      <c r="V830" s="150"/>
      <c r="W830" s="150"/>
      <c r="X830" s="150"/>
      <c r="Y830" s="150"/>
      <c r="Z830" s="150"/>
      <c r="AA830" s="150"/>
      <c r="AB830" s="150"/>
      <c r="AC830" s="149"/>
      <c r="AD830" s="149"/>
      <c r="AE830" s="149"/>
      <c r="AF830" s="150"/>
      <c r="AG830" s="150"/>
      <c r="AH830" s="149"/>
      <c r="AI830" s="149"/>
      <c r="AJ830" s="149"/>
      <c r="AK830" s="150"/>
      <c r="AL830" s="150"/>
      <c r="AM830" s="149"/>
      <c r="AN830" s="149"/>
      <c r="AO830" s="149"/>
      <c r="AP830" s="150"/>
      <c r="AQ830" s="150"/>
      <c r="AR830" s="150"/>
      <c r="AS830" s="150"/>
      <c r="AT830" s="150"/>
      <c r="AU830" s="150"/>
      <c r="AV830" s="150"/>
      <c r="AW830" s="150"/>
      <c r="AX830" s="150"/>
      <c r="AY830" s="151"/>
      <c r="AZ830" s="151"/>
      <c r="BA830" s="151"/>
      <c r="BB830" s="151"/>
      <c r="BC830" s="151"/>
      <c r="BD830" s="151"/>
      <c r="BE830" s="151"/>
      <c r="BF830" s="151"/>
      <c r="BG830" s="151"/>
      <c r="BH830" s="151"/>
      <c r="BI830" s="151"/>
    </row>
    <row r="831" spans="1:61" x14ac:dyDescent="0.25">
      <c r="A831" s="149"/>
      <c r="B831" s="149"/>
      <c r="C831" s="149"/>
      <c r="D831" s="149"/>
      <c r="E831" s="150"/>
      <c r="F831" s="150"/>
      <c r="G831" s="149"/>
      <c r="H831" s="149"/>
      <c r="I831" s="149"/>
      <c r="J831" s="150"/>
      <c r="K831" s="150"/>
      <c r="L831" s="149"/>
      <c r="M831" s="149"/>
      <c r="N831" s="149"/>
      <c r="O831" s="150"/>
      <c r="P831" s="150"/>
      <c r="Q831" s="149"/>
      <c r="R831" s="149"/>
      <c r="S831" s="149"/>
      <c r="T831" s="150"/>
      <c r="U831" s="150"/>
      <c r="V831" s="150"/>
      <c r="W831" s="150"/>
      <c r="X831" s="150"/>
      <c r="Y831" s="150"/>
      <c r="Z831" s="150"/>
      <c r="AA831" s="150"/>
      <c r="AB831" s="150"/>
      <c r="AC831" s="149"/>
      <c r="AD831" s="149"/>
      <c r="AE831" s="149"/>
      <c r="AF831" s="150"/>
      <c r="AG831" s="150"/>
      <c r="AH831" s="149"/>
      <c r="AI831" s="149"/>
      <c r="AJ831" s="149"/>
      <c r="AK831" s="150"/>
      <c r="AL831" s="150"/>
      <c r="AM831" s="149"/>
      <c r="AN831" s="149"/>
      <c r="AO831" s="149"/>
      <c r="AP831" s="150"/>
      <c r="AQ831" s="150"/>
      <c r="AR831" s="150"/>
      <c r="AS831" s="150"/>
      <c r="AT831" s="150"/>
      <c r="AU831" s="150"/>
      <c r="AV831" s="150"/>
      <c r="AW831" s="150"/>
      <c r="AX831" s="150"/>
      <c r="AY831" s="151"/>
      <c r="AZ831" s="151"/>
      <c r="BA831" s="151"/>
      <c r="BB831" s="151"/>
      <c r="BC831" s="151"/>
      <c r="BD831" s="151"/>
      <c r="BE831" s="151"/>
      <c r="BF831" s="151"/>
      <c r="BG831" s="151"/>
      <c r="BH831" s="151"/>
      <c r="BI831" s="151"/>
    </row>
    <row r="832" spans="1:61" x14ac:dyDescent="0.25">
      <c r="A832" s="149"/>
      <c r="B832" s="149"/>
      <c r="C832" s="149"/>
      <c r="D832" s="149"/>
      <c r="E832" s="150"/>
      <c r="F832" s="150"/>
      <c r="G832" s="149"/>
      <c r="H832" s="149"/>
      <c r="I832" s="149"/>
      <c r="J832" s="150"/>
      <c r="K832" s="150"/>
      <c r="L832" s="149"/>
      <c r="M832" s="149"/>
      <c r="N832" s="149"/>
      <c r="O832" s="150"/>
      <c r="P832" s="150"/>
      <c r="Q832" s="149"/>
      <c r="R832" s="149"/>
      <c r="S832" s="149"/>
      <c r="T832" s="150"/>
      <c r="U832" s="150"/>
      <c r="V832" s="150"/>
      <c r="W832" s="150"/>
      <c r="X832" s="150"/>
      <c r="Y832" s="150"/>
      <c r="Z832" s="150"/>
      <c r="AA832" s="150"/>
      <c r="AB832" s="150"/>
      <c r="AC832" s="149"/>
      <c r="AD832" s="149"/>
      <c r="AE832" s="149"/>
      <c r="AF832" s="150"/>
      <c r="AG832" s="150"/>
      <c r="AH832" s="149"/>
      <c r="AI832" s="149"/>
      <c r="AJ832" s="149"/>
      <c r="AK832" s="150"/>
      <c r="AL832" s="150"/>
      <c r="AM832" s="149"/>
      <c r="AN832" s="149"/>
      <c r="AO832" s="149"/>
      <c r="AP832" s="150"/>
      <c r="AQ832" s="150"/>
      <c r="AR832" s="150"/>
      <c r="AS832" s="150"/>
      <c r="AT832" s="150"/>
      <c r="AU832" s="150"/>
      <c r="AV832" s="150"/>
      <c r="AW832" s="150"/>
      <c r="AX832" s="150"/>
      <c r="AY832" s="151"/>
      <c r="AZ832" s="151"/>
      <c r="BA832" s="151"/>
      <c r="BB832" s="151"/>
      <c r="BC832" s="151"/>
      <c r="BD832" s="151"/>
      <c r="BE832" s="151"/>
      <c r="BF832" s="151"/>
      <c r="BG832" s="151"/>
      <c r="BH832" s="151"/>
      <c r="BI832" s="151"/>
    </row>
    <row r="833" spans="1:61" x14ac:dyDescent="0.25">
      <c r="A833" s="149"/>
      <c r="B833" s="149"/>
      <c r="C833" s="149"/>
      <c r="D833" s="149"/>
      <c r="E833" s="150"/>
      <c r="F833" s="150"/>
      <c r="G833" s="149"/>
      <c r="H833" s="149"/>
      <c r="I833" s="149"/>
      <c r="J833" s="150"/>
      <c r="K833" s="150"/>
      <c r="L833" s="149"/>
      <c r="M833" s="149"/>
      <c r="N833" s="149"/>
      <c r="O833" s="150"/>
      <c r="P833" s="150"/>
      <c r="Q833" s="149"/>
      <c r="R833" s="149"/>
      <c r="S833" s="149"/>
      <c r="T833" s="150"/>
      <c r="U833" s="150"/>
      <c r="V833" s="150"/>
      <c r="W833" s="150"/>
      <c r="X833" s="150"/>
      <c r="Y833" s="150"/>
      <c r="Z833" s="150"/>
      <c r="AA833" s="150"/>
      <c r="AB833" s="150"/>
      <c r="AC833" s="149"/>
      <c r="AD833" s="149"/>
      <c r="AE833" s="149"/>
      <c r="AF833" s="150"/>
      <c r="AG833" s="150"/>
      <c r="AH833" s="149"/>
      <c r="AI833" s="149"/>
      <c r="AJ833" s="149"/>
      <c r="AK833" s="150"/>
      <c r="AL833" s="150"/>
      <c r="AM833" s="149"/>
      <c r="AN833" s="149"/>
      <c r="AO833" s="149"/>
      <c r="AP833" s="150"/>
      <c r="AQ833" s="150"/>
      <c r="AR833" s="150"/>
      <c r="AS833" s="150"/>
      <c r="AT833" s="150"/>
      <c r="AU833" s="150"/>
      <c r="AV833" s="150"/>
      <c r="AW833" s="150"/>
      <c r="AX833" s="150"/>
      <c r="AY833" s="151"/>
      <c r="AZ833" s="151"/>
      <c r="BA833" s="151"/>
      <c r="BB833" s="151"/>
      <c r="BC833" s="151"/>
      <c r="BD833" s="151"/>
      <c r="BE833" s="151"/>
      <c r="BF833" s="151"/>
      <c r="BG833" s="151"/>
      <c r="BH833" s="151"/>
      <c r="BI833" s="151"/>
    </row>
    <row r="834" spans="1:61" x14ac:dyDescent="0.25">
      <c r="A834" s="149"/>
      <c r="B834" s="149"/>
      <c r="C834" s="149"/>
      <c r="D834" s="149"/>
      <c r="E834" s="150"/>
      <c r="F834" s="150"/>
      <c r="G834" s="149"/>
      <c r="H834" s="149"/>
      <c r="I834" s="149"/>
      <c r="J834" s="150"/>
      <c r="K834" s="150"/>
      <c r="L834" s="149"/>
      <c r="M834" s="149"/>
      <c r="N834" s="149"/>
      <c r="O834" s="150"/>
      <c r="P834" s="150"/>
      <c r="Q834" s="149"/>
      <c r="R834" s="149"/>
      <c r="S834" s="149"/>
      <c r="T834" s="150"/>
      <c r="U834" s="150"/>
      <c r="V834" s="150"/>
      <c r="W834" s="150"/>
      <c r="X834" s="150"/>
      <c r="Y834" s="150"/>
      <c r="Z834" s="150"/>
      <c r="AA834" s="150"/>
      <c r="AB834" s="150"/>
      <c r="AC834" s="149"/>
      <c r="AD834" s="149"/>
      <c r="AE834" s="149"/>
      <c r="AF834" s="150"/>
      <c r="AG834" s="150"/>
      <c r="AH834" s="149"/>
      <c r="AI834" s="149"/>
      <c r="AJ834" s="149"/>
      <c r="AK834" s="150"/>
      <c r="AL834" s="150"/>
      <c r="AM834" s="149"/>
      <c r="AN834" s="149"/>
      <c r="AO834" s="149"/>
      <c r="AP834" s="150"/>
      <c r="AQ834" s="150"/>
      <c r="AR834" s="150"/>
      <c r="AS834" s="150"/>
      <c r="AT834" s="150"/>
      <c r="AU834" s="150"/>
      <c r="AV834" s="150"/>
      <c r="AW834" s="150"/>
      <c r="AX834" s="150"/>
      <c r="AY834" s="151"/>
      <c r="AZ834" s="151"/>
      <c r="BA834" s="151"/>
      <c r="BB834" s="151"/>
      <c r="BC834" s="151"/>
      <c r="BD834" s="151"/>
      <c r="BE834" s="151"/>
      <c r="BF834" s="151"/>
      <c r="BG834" s="151"/>
      <c r="BH834" s="151"/>
      <c r="BI834" s="151"/>
    </row>
    <row r="835" spans="1:61" x14ac:dyDescent="0.25">
      <c r="A835" s="149"/>
      <c r="B835" s="149"/>
      <c r="C835" s="149"/>
      <c r="D835" s="149"/>
      <c r="E835" s="150"/>
      <c r="F835" s="150"/>
      <c r="G835" s="149"/>
      <c r="H835" s="149"/>
      <c r="I835" s="149"/>
      <c r="J835" s="150"/>
      <c r="K835" s="150"/>
      <c r="L835" s="149"/>
      <c r="M835" s="149"/>
      <c r="N835" s="149"/>
      <c r="O835" s="150"/>
      <c r="P835" s="150"/>
      <c r="Q835" s="149"/>
      <c r="R835" s="149"/>
      <c r="S835" s="149"/>
      <c r="T835" s="150"/>
      <c r="U835" s="150"/>
      <c r="V835" s="150"/>
      <c r="W835" s="150"/>
      <c r="X835" s="150"/>
      <c r="Y835" s="150"/>
      <c r="Z835" s="150"/>
      <c r="AA835" s="150"/>
      <c r="AB835" s="150"/>
      <c r="AC835" s="149"/>
      <c r="AD835" s="149"/>
      <c r="AE835" s="149"/>
      <c r="AF835" s="150"/>
      <c r="AG835" s="150"/>
      <c r="AH835" s="149"/>
      <c r="AI835" s="149"/>
      <c r="AJ835" s="149"/>
      <c r="AK835" s="150"/>
      <c r="AL835" s="150"/>
      <c r="AM835" s="149"/>
      <c r="AN835" s="149"/>
      <c r="AO835" s="149"/>
      <c r="AP835" s="150"/>
      <c r="AQ835" s="150"/>
      <c r="AR835" s="150"/>
      <c r="AS835" s="150"/>
      <c r="AT835" s="150"/>
      <c r="AU835" s="150"/>
      <c r="AV835" s="150"/>
      <c r="AW835" s="150"/>
      <c r="AX835" s="150"/>
      <c r="AY835" s="151"/>
      <c r="AZ835" s="151"/>
      <c r="BA835" s="151"/>
      <c r="BB835" s="151"/>
      <c r="BC835" s="151"/>
      <c r="BD835" s="151"/>
      <c r="BE835" s="151"/>
      <c r="BF835" s="151"/>
      <c r="BG835" s="151"/>
      <c r="BH835" s="151"/>
      <c r="BI835" s="151"/>
    </row>
    <row r="836" spans="1:61" x14ac:dyDescent="0.25">
      <c r="A836" s="149"/>
      <c r="B836" s="149"/>
      <c r="C836" s="149"/>
      <c r="D836" s="149"/>
      <c r="E836" s="150"/>
      <c r="F836" s="150"/>
      <c r="G836" s="149"/>
      <c r="H836" s="149"/>
      <c r="I836" s="149"/>
      <c r="J836" s="150"/>
      <c r="K836" s="150"/>
      <c r="L836" s="149"/>
      <c r="M836" s="149"/>
      <c r="N836" s="149"/>
      <c r="O836" s="150"/>
      <c r="P836" s="150"/>
      <c r="Q836" s="149"/>
      <c r="R836" s="149"/>
      <c r="S836" s="149"/>
      <c r="T836" s="150"/>
      <c r="U836" s="150"/>
      <c r="V836" s="150"/>
      <c r="W836" s="150"/>
      <c r="X836" s="150"/>
      <c r="Y836" s="150"/>
      <c r="Z836" s="150"/>
      <c r="AA836" s="150"/>
      <c r="AB836" s="150"/>
      <c r="AC836" s="149"/>
      <c r="AD836" s="149"/>
      <c r="AE836" s="149"/>
      <c r="AF836" s="150"/>
      <c r="AG836" s="150"/>
      <c r="AH836" s="149"/>
      <c r="AI836" s="149"/>
      <c r="AJ836" s="149"/>
      <c r="AK836" s="150"/>
      <c r="AL836" s="150"/>
      <c r="AM836" s="149"/>
      <c r="AN836" s="149"/>
      <c r="AO836" s="149"/>
      <c r="AP836" s="150"/>
      <c r="AQ836" s="150"/>
      <c r="AR836" s="150"/>
      <c r="AS836" s="150"/>
      <c r="AT836" s="150"/>
      <c r="AU836" s="150"/>
      <c r="AV836" s="150"/>
      <c r="AW836" s="150"/>
      <c r="AX836" s="150"/>
      <c r="AY836" s="151"/>
      <c r="AZ836" s="151"/>
      <c r="BA836" s="151"/>
      <c r="BB836" s="151"/>
      <c r="BC836" s="151"/>
      <c r="BD836" s="151"/>
      <c r="BE836" s="151"/>
      <c r="BF836" s="151"/>
      <c r="BG836" s="151"/>
      <c r="BH836" s="151"/>
      <c r="BI836" s="151"/>
    </row>
    <row r="837" spans="1:61" x14ac:dyDescent="0.25">
      <c r="A837" s="149"/>
      <c r="B837" s="149"/>
      <c r="C837" s="149"/>
      <c r="D837" s="149"/>
      <c r="E837" s="150"/>
      <c r="F837" s="150"/>
      <c r="G837" s="149"/>
      <c r="H837" s="149"/>
      <c r="I837" s="149"/>
      <c r="J837" s="150"/>
      <c r="K837" s="150"/>
      <c r="L837" s="149"/>
      <c r="M837" s="149"/>
      <c r="N837" s="149"/>
      <c r="O837" s="150"/>
      <c r="P837" s="150"/>
      <c r="Q837" s="149"/>
      <c r="R837" s="149"/>
      <c r="S837" s="149"/>
      <c r="T837" s="150"/>
      <c r="U837" s="150"/>
      <c r="V837" s="150"/>
      <c r="W837" s="150"/>
      <c r="X837" s="150"/>
      <c r="Y837" s="150"/>
      <c r="Z837" s="150"/>
      <c r="AA837" s="150"/>
      <c r="AB837" s="150"/>
      <c r="AC837" s="149"/>
      <c r="AD837" s="149"/>
      <c r="AE837" s="149"/>
      <c r="AF837" s="150"/>
      <c r="AG837" s="150"/>
      <c r="AH837" s="149"/>
      <c r="AI837" s="149"/>
      <c r="AJ837" s="149"/>
      <c r="AK837" s="150"/>
      <c r="AL837" s="150"/>
      <c r="AM837" s="149"/>
      <c r="AN837" s="149"/>
      <c r="AO837" s="149"/>
      <c r="AP837" s="150"/>
      <c r="AQ837" s="150"/>
      <c r="AR837" s="150"/>
      <c r="AS837" s="150"/>
      <c r="AT837" s="150"/>
      <c r="AU837" s="150"/>
      <c r="AV837" s="150"/>
      <c r="AW837" s="150"/>
      <c r="AX837" s="150"/>
      <c r="AY837" s="151"/>
      <c r="AZ837" s="151"/>
      <c r="BA837" s="151"/>
      <c r="BB837" s="151"/>
      <c r="BC837" s="151"/>
      <c r="BD837" s="151"/>
      <c r="BE837" s="151"/>
      <c r="BF837" s="151"/>
      <c r="BG837" s="151"/>
      <c r="BH837" s="151"/>
      <c r="BI837" s="151"/>
    </row>
    <row r="838" spans="1:61" x14ac:dyDescent="0.25">
      <c r="A838" s="149"/>
      <c r="B838" s="149"/>
      <c r="C838" s="149"/>
      <c r="D838" s="149"/>
      <c r="E838" s="150"/>
      <c r="F838" s="150"/>
      <c r="G838" s="149"/>
      <c r="H838" s="149"/>
      <c r="I838" s="149"/>
      <c r="J838" s="150"/>
      <c r="K838" s="150"/>
      <c r="L838" s="149"/>
      <c r="M838" s="149"/>
      <c r="N838" s="149"/>
      <c r="O838" s="150"/>
      <c r="P838" s="150"/>
      <c r="Q838" s="149"/>
      <c r="R838" s="149"/>
      <c r="S838" s="149"/>
      <c r="T838" s="150"/>
      <c r="U838" s="150"/>
      <c r="V838" s="150"/>
      <c r="W838" s="150"/>
      <c r="X838" s="150"/>
      <c r="Y838" s="150"/>
      <c r="Z838" s="150"/>
      <c r="AA838" s="150"/>
      <c r="AB838" s="150"/>
      <c r="AC838" s="149"/>
      <c r="AD838" s="149"/>
      <c r="AE838" s="149"/>
      <c r="AF838" s="150"/>
      <c r="AG838" s="150"/>
      <c r="AH838" s="149"/>
      <c r="AI838" s="149"/>
      <c r="AJ838" s="149"/>
      <c r="AK838" s="150"/>
      <c r="AL838" s="150"/>
      <c r="AM838" s="149"/>
      <c r="AN838" s="149"/>
      <c r="AO838" s="149"/>
      <c r="AP838" s="150"/>
      <c r="AQ838" s="150"/>
      <c r="AR838" s="150"/>
      <c r="AS838" s="150"/>
      <c r="AT838" s="150"/>
      <c r="AU838" s="150"/>
      <c r="AV838" s="150"/>
      <c r="AW838" s="150"/>
      <c r="AX838" s="150"/>
      <c r="AY838" s="151"/>
      <c r="AZ838" s="151"/>
      <c r="BA838" s="151"/>
      <c r="BB838" s="151"/>
      <c r="BC838" s="151"/>
      <c r="BD838" s="151"/>
      <c r="BE838" s="151"/>
      <c r="BF838" s="151"/>
      <c r="BG838" s="151"/>
      <c r="BH838" s="151"/>
      <c r="BI838" s="151"/>
    </row>
    <row r="839" spans="1:61" x14ac:dyDescent="0.25">
      <c r="A839" s="149"/>
      <c r="B839" s="149"/>
      <c r="C839" s="149"/>
      <c r="D839" s="149"/>
      <c r="E839" s="150"/>
      <c r="F839" s="150"/>
      <c r="G839" s="149"/>
      <c r="H839" s="149"/>
      <c r="I839" s="149"/>
      <c r="J839" s="150"/>
      <c r="K839" s="150"/>
      <c r="L839" s="149"/>
      <c r="M839" s="149"/>
      <c r="N839" s="149"/>
      <c r="O839" s="150"/>
      <c r="P839" s="150"/>
      <c r="Q839" s="149"/>
      <c r="R839" s="149"/>
      <c r="S839" s="149"/>
      <c r="T839" s="150"/>
      <c r="U839" s="150"/>
      <c r="V839" s="150"/>
      <c r="W839" s="150"/>
      <c r="X839" s="150"/>
      <c r="Y839" s="150"/>
      <c r="Z839" s="150"/>
      <c r="AA839" s="150"/>
      <c r="AB839" s="150"/>
      <c r="AC839" s="149"/>
      <c r="AD839" s="149"/>
      <c r="AE839" s="149"/>
      <c r="AF839" s="150"/>
      <c r="AG839" s="150"/>
      <c r="AH839" s="149"/>
      <c r="AI839" s="149"/>
      <c r="AJ839" s="149"/>
      <c r="AK839" s="150"/>
      <c r="AL839" s="150"/>
      <c r="AM839" s="149"/>
      <c r="AN839" s="149"/>
      <c r="AO839" s="149"/>
      <c r="AP839" s="150"/>
      <c r="AQ839" s="150"/>
      <c r="AR839" s="150"/>
      <c r="AS839" s="150"/>
      <c r="AT839" s="150"/>
      <c r="AU839" s="150"/>
      <c r="AV839" s="150"/>
      <c r="AW839" s="150"/>
      <c r="AX839" s="150"/>
      <c r="AY839" s="151"/>
      <c r="AZ839" s="151"/>
      <c r="BA839" s="151"/>
      <c r="BB839" s="151"/>
      <c r="BC839" s="151"/>
      <c r="BD839" s="151"/>
      <c r="BE839" s="151"/>
      <c r="BF839" s="151"/>
      <c r="BG839" s="151"/>
      <c r="BH839" s="151"/>
      <c r="BI839" s="151"/>
    </row>
    <row r="840" spans="1:61" x14ac:dyDescent="0.25">
      <c r="A840" s="149"/>
      <c r="B840" s="149"/>
      <c r="C840" s="149"/>
      <c r="D840" s="149"/>
      <c r="E840" s="150"/>
      <c r="F840" s="150"/>
      <c r="G840" s="149"/>
      <c r="H840" s="149"/>
      <c r="I840" s="149"/>
      <c r="J840" s="150"/>
      <c r="K840" s="150"/>
      <c r="L840" s="149"/>
      <c r="M840" s="149"/>
      <c r="N840" s="149"/>
      <c r="O840" s="150"/>
      <c r="P840" s="150"/>
      <c r="Q840" s="149"/>
      <c r="R840" s="149"/>
      <c r="S840" s="149"/>
      <c r="T840" s="150"/>
      <c r="U840" s="150"/>
      <c r="V840" s="150"/>
      <c r="W840" s="150"/>
      <c r="X840" s="150"/>
      <c r="Y840" s="150"/>
      <c r="Z840" s="150"/>
      <c r="AA840" s="150"/>
      <c r="AB840" s="150"/>
      <c r="AC840" s="149"/>
      <c r="AD840" s="149"/>
      <c r="AE840" s="149"/>
      <c r="AF840" s="150"/>
      <c r="AG840" s="150"/>
      <c r="AH840" s="149"/>
      <c r="AI840" s="149"/>
      <c r="AJ840" s="149"/>
      <c r="AK840" s="150"/>
      <c r="AL840" s="150"/>
      <c r="AM840" s="149"/>
      <c r="AN840" s="149"/>
      <c r="AO840" s="149"/>
      <c r="AP840" s="150"/>
      <c r="AQ840" s="150"/>
      <c r="AR840" s="150"/>
      <c r="AS840" s="150"/>
      <c r="AT840" s="150"/>
      <c r="AU840" s="150"/>
      <c r="AV840" s="150"/>
      <c r="AW840" s="150"/>
      <c r="AX840" s="150"/>
      <c r="AY840" s="151"/>
      <c r="AZ840" s="151"/>
      <c r="BA840" s="151"/>
      <c r="BB840" s="151"/>
      <c r="BC840" s="151"/>
      <c r="BD840" s="151"/>
      <c r="BE840" s="151"/>
      <c r="BF840" s="151"/>
      <c r="BG840" s="151"/>
      <c r="BH840" s="151"/>
      <c r="BI840" s="151"/>
    </row>
    <row r="841" spans="1:61" x14ac:dyDescent="0.25">
      <c r="A841" s="149"/>
      <c r="B841" s="149"/>
      <c r="C841" s="149"/>
      <c r="D841" s="149"/>
      <c r="E841" s="150"/>
      <c r="F841" s="150"/>
      <c r="G841" s="149"/>
      <c r="H841" s="149"/>
      <c r="I841" s="149"/>
      <c r="J841" s="150"/>
      <c r="K841" s="150"/>
      <c r="L841" s="149"/>
      <c r="M841" s="149"/>
      <c r="N841" s="149"/>
      <c r="O841" s="150"/>
      <c r="P841" s="150"/>
      <c r="Q841" s="149"/>
      <c r="R841" s="149"/>
      <c r="S841" s="149"/>
      <c r="T841" s="150"/>
      <c r="U841" s="150"/>
      <c r="V841" s="150"/>
      <c r="W841" s="150"/>
      <c r="X841" s="150"/>
      <c r="Y841" s="150"/>
      <c r="Z841" s="150"/>
      <c r="AA841" s="150"/>
      <c r="AB841" s="150"/>
      <c r="AC841" s="149"/>
      <c r="AD841" s="149"/>
      <c r="AE841" s="149"/>
      <c r="AF841" s="150"/>
      <c r="AG841" s="150"/>
      <c r="AH841" s="149"/>
      <c r="AI841" s="149"/>
      <c r="AJ841" s="149"/>
      <c r="AK841" s="150"/>
      <c r="AL841" s="150"/>
      <c r="AM841" s="149"/>
      <c r="AN841" s="149"/>
      <c r="AO841" s="149"/>
      <c r="AP841" s="150"/>
      <c r="AQ841" s="150"/>
      <c r="AR841" s="150"/>
      <c r="AS841" s="150"/>
      <c r="AT841" s="150"/>
      <c r="AU841" s="150"/>
      <c r="AV841" s="150"/>
      <c r="AW841" s="150"/>
      <c r="AX841" s="150"/>
      <c r="AY841" s="151"/>
      <c r="AZ841" s="151"/>
      <c r="BA841" s="151"/>
      <c r="BB841" s="151"/>
      <c r="BC841" s="151"/>
      <c r="BD841" s="151"/>
      <c r="BE841" s="151"/>
      <c r="BF841" s="151"/>
      <c r="BG841" s="151"/>
      <c r="BH841" s="151"/>
      <c r="BI841" s="151"/>
    </row>
    <row r="842" spans="1:61" x14ac:dyDescent="0.25">
      <c r="A842" s="149"/>
      <c r="B842" s="149"/>
      <c r="C842" s="149"/>
      <c r="D842" s="149"/>
      <c r="E842" s="150"/>
      <c r="F842" s="150"/>
      <c r="G842" s="149"/>
      <c r="H842" s="149"/>
      <c r="I842" s="149"/>
      <c r="J842" s="150"/>
      <c r="K842" s="150"/>
      <c r="L842" s="149"/>
      <c r="M842" s="149"/>
      <c r="N842" s="149"/>
      <c r="O842" s="150"/>
      <c r="P842" s="150"/>
      <c r="Q842" s="149"/>
      <c r="R842" s="149"/>
      <c r="S842" s="149"/>
      <c r="T842" s="150"/>
      <c r="U842" s="150"/>
      <c r="V842" s="150"/>
      <c r="W842" s="150"/>
      <c r="X842" s="150"/>
      <c r="Y842" s="150"/>
      <c r="Z842" s="150"/>
      <c r="AA842" s="150"/>
      <c r="AB842" s="150"/>
      <c r="AC842" s="149"/>
      <c r="AD842" s="149"/>
      <c r="AE842" s="149"/>
      <c r="AF842" s="150"/>
      <c r="AG842" s="150"/>
      <c r="AH842" s="149"/>
      <c r="AI842" s="149"/>
      <c r="AJ842" s="149"/>
      <c r="AK842" s="150"/>
      <c r="AL842" s="150"/>
      <c r="AM842" s="149"/>
      <c r="AN842" s="149"/>
      <c r="AO842" s="149"/>
      <c r="AP842" s="150"/>
      <c r="AQ842" s="150"/>
      <c r="AR842" s="150"/>
      <c r="AS842" s="150"/>
      <c r="AT842" s="150"/>
      <c r="AU842" s="150"/>
      <c r="AV842" s="150"/>
      <c r="AW842" s="150"/>
      <c r="AX842" s="150"/>
      <c r="AY842" s="151"/>
      <c r="AZ842" s="151"/>
      <c r="BA842" s="151"/>
      <c r="BB842" s="151"/>
      <c r="BC842" s="151"/>
      <c r="BD842" s="151"/>
      <c r="BE842" s="151"/>
      <c r="BF842" s="151"/>
      <c r="BG842" s="151"/>
      <c r="BH842" s="151"/>
      <c r="BI842" s="151"/>
    </row>
    <row r="843" spans="1:61" x14ac:dyDescent="0.25">
      <c r="A843" s="149"/>
      <c r="B843" s="149"/>
      <c r="C843" s="149"/>
      <c r="D843" s="149"/>
      <c r="E843" s="150"/>
      <c r="F843" s="150"/>
      <c r="G843" s="149"/>
      <c r="H843" s="149"/>
      <c r="I843" s="149"/>
      <c r="J843" s="150"/>
      <c r="K843" s="150"/>
      <c r="L843" s="149"/>
      <c r="M843" s="149"/>
      <c r="N843" s="149"/>
      <c r="O843" s="150"/>
      <c r="P843" s="150"/>
      <c r="Q843" s="149"/>
      <c r="R843" s="149"/>
      <c r="S843" s="149"/>
      <c r="T843" s="150"/>
      <c r="U843" s="150"/>
      <c r="V843" s="150"/>
      <c r="W843" s="150"/>
      <c r="X843" s="150"/>
      <c r="Y843" s="150"/>
      <c r="Z843" s="150"/>
      <c r="AA843" s="150"/>
      <c r="AB843" s="150"/>
      <c r="AC843" s="149"/>
      <c r="AD843" s="149"/>
      <c r="AE843" s="149"/>
      <c r="AF843" s="150"/>
      <c r="AG843" s="150"/>
      <c r="AH843" s="149"/>
      <c r="AI843" s="149"/>
      <c r="AJ843" s="149"/>
      <c r="AK843" s="150"/>
      <c r="AL843" s="150"/>
      <c r="AM843" s="149"/>
      <c r="AN843" s="149"/>
      <c r="AO843" s="149"/>
      <c r="AP843" s="150"/>
      <c r="AQ843" s="150"/>
      <c r="AR843" s="150"/>
      <c r="AS843" s="150"/>
      <c r="AT843" s="150"/>
      <c r="AU843" s="150"/>
      <c r="AV843" s="150"/>
      <c r="AW843" s="150"/>
      <c r="AX843" s="150"/>
      <c r="AY843" s="151"/>
      <c r="AZ843" s="151"/>
      <c r="BA843" s="151"/>
      <c r="BB843" s="151"/>
      <c r="BC843" s="151"/>
      <c r="BD843" s="151"/>
      <c r="BE843" s="151"/>
      <c r="BF843" s="151"/>
      <c r="BG843" s="151"/>
      <c r="BH843" s="151"/>
      <c r="BI843" s="151"/>
    </row>
    <row r="844" spans="1:61" x14ac:dyDescent="0.25">
      <c r="A844" s="149"/>
      <c r="B844" s="149"/>
      <c r="C844" s="149"/>
      <c r="D844" s="149"/>
      <c r="E844" s="150"/>
      <c r="F844" s="150"/>
      <c r="G844" s="149"/>
      <c r="H844" s="149"/>
      <c r="I844" s="149"/>
      <c r="J844" s="150"/>
      <c r="K844" s="150"/>
      <c r="L844" s="149"/>
      <c r="M844" s="149"/>
      <c r="N844" s="149"/>
      <c r="O844" s="150"/>
      <c r="P844" s="150"/>
      <c r="Q844" s="149"/>
      <c r="R844" s="149"/>
      <c r="S844" s="149"/>
      <c r="T844" s="150"/>
      <c r="U844" s="150"/>
      <c r="V844" s="150"/>
      <c r="W844" s="150"/>
      <c r="X844" s="150"/>
      <c r="Y844" s="150"/>
      <c r="Z844" s="150"/>
      <c r="AA844" s="150"/>
      <c r="AB844" s="150"/>
      <c r="AC844" s="149"/>
      <c r="AD844" s="149"/>
      <c r="AE844" s="149"/>
      <c r="AF844" s="150"/>
      <c r="AG844" s="150"/>
      <c r="AH844" s="149"/>
      <c r="AI844" s="149"/>
      <c r="AJ844" s="149"/>
      <c r="AK844" s="150"/>
      <c r="AL844" s="150"/>
      <c r="AM844" s="149"/>
      <c r="AN844" s="149"/>
      <c r="AO844" s="149"/>
      <c r="AP844" s="150"/>
      <c r="AQ844" s="150"/>
      <c r="AR844" s="150"/>
      <c r="AS844" s="150"/>
      <c r="AT844" s="150"/>
      <c r="AU844" s="150"/>
      <c r="AV844" s="150"/>
      <c r="AW844" s="150"/>
      <c r="AX844" s="150"/>
      <c r="AY844" s="151"/>
      <c r="AZ844" s="151"/>
      <c r="BA844" s="151"/>
      <c r="BB844" s="151"/>
      <c r="BC844" s="151"/>
      <c r="BD844" s="151"/>
      <c r="BE844" s="151"/>
      <c r="BF844" s="151"/>
      <c r="BG844" s="151"/>
      <c r="BH844" s="151"/>
      <c r="BI844" s="151"/>
    </row>
    <row r="845" spans="1:61" x14ac:dyDescent="0.25">
      <c r="A845" s="149"/>
      <c r="B845" s="149"/>
      <c r="C845" s="149"/>
      <c r="D845" s="149"/>
      <c r="E845" s="150"/>
      <c r="F845" s="150"/>
      <c r="G845" s="149"/>
      <c r="H845" s="149"/>
      <c r="I845" s="149"/>
      <c r="J845" s="150"/>
      <c r="K845" s="150"/>
      <c r="L845" s="149"/>
      <c r="M845" s="149"/>
      <c r="N845" s="149"/>
      <c r="O845" s="150"/>
      <c r="P845" s="150"/>
      <c r="Q845" s="149"/>
      <c r="R845" s="149"/>
      <c r="S845" s="149"/>
      <c r="T845" s="150"/>
      <c r="U845" s="150"/>
      <c r="V845" s="150"/>
      <c r="W845" s="150"/>
      <c r="X845" s="150"/>
      <c r="Y845" s="150"/>
      <c r="Z845" s="150"/>
      <c r="AA845" s="150"/>
      <c r="AB845" s="150"/>
      <c r="AC845" s="149"/>
      <c r="AD845" s="149"/>
      <c r="AE845" s="149"/>
      <c r="AF845" s="150"/>
      <c r="AG845" s="150"/>
      <c r="AH845" s="149"/>
      <c r="AI845" s="149"/>
      <c r="AJ845" s="149"/>
      <c r="AK845" s="150"/>
      <c r="AL845" s="150"/>
      <c r="AM845" s="149"/>
      <c r="AN845" s="149"/>
      <c r="AO845" s="149"/>
      <c r="AP845" s="150"/>
      <c r="AQ845" s="150"/>
      <c r="AR845" s="150"/>
      <c r="AS845" s="150"/>
      <c r="AT845" s="150"/>
      <c r="AU845" s="150"/>
      <c r="AV845" s="150"/>
      <c r="AW845" s="150"/>
      <c r="AX845" s="150"/>
      <c r="AY845" s="151"/>
      <c r="AZ845" s="151"/>
      <c r="BA845" s="151"/>
      <c r="BB845" s="151"/>
      <c r="BC845" s="151"/>
      <c r="BD845" s="151"/>
      <c r="BE845" s="151"/>
      <c r="BF845" s="151"/>
      <c r="BG845" s="151"/>
      <c r="BH845" s="151"/>
      <c r="BI845" s="151"/>
    </row>
    <row r="846" spans="1:61" x14ac:dyDescent="0.25">
      <c r="A846" s="149"/>
      <c r="B846" s="149"/>
      <c r="C846" s="149"/>
      <c r="D846" s="149"/>
      <c r="E846" s="150"/>
      <c r="F846" s="150"/>
      <c r="G846" s="149"/>
      <c r="H846" s="149"/>
      <c r="I846" s="149"/>
      <c r="J846" s="150"/>
      <c r="K846" s="150"/>
      <c r="L846" s="149"/>
      <c r="M846" s="149"/>
      <c r="N846" s="149"/>
      <c r="O846" s="150"/>
      <c r="P846" s="150"/>
      <c r="Q846" s="149"/>
      <c r="R846" s="149"/>
      <c r="S846" s="149"/>
      <c r="T846" s="150"/>
      <c r="U846" s="150"/>
      <c r="V846" s="150"/>
      <c r="W846" s="150"/>
      <c r="X846" s="150"/>
      <c r="Y846" s="150"/>
      <c r="Z846" s="150"/>
      <c r="AA846" s="150"/>
      <c r="AB846" s="150"/>
      <c r="AC846" s="149"/>
      <c r="AD846" s="149"/>
      <c r="AE846" s="149"/>
      <c r="AF846" s="150"/>
      <c r="AG846" s="150"/>
      <c r="AH846" s="149"/>
      <c r="AI846" s="149"/>
      <c r="AJ846" s="149"/>
      <c r="AK846" s="150"/>
      <c r="AL846" s="150"/>
      <c r="AM846" s="149"/>
      <c r="AN846" s="149"/>
      <c r="AO846" s="149"/>
      <c r="AP846" s="150"/>
      <c r="AQ846" s="150"/>
      <c r="AR846" s="150"/>
      <c r="AS846" s="150"/>
      <c r="AT846" s="150"/>
      <c r="AU846" s="150"/>
      <c r="AV846" s="150"/>
      <c r="AW846" s="150"/>
      <c r="AX846" s="150"/>
      <c r="AY846" s="151"/>
      <c r="AZ846" s="151"/>
      <c r="BA846" s="151"/>
      <c r="BB846" s="151"/>
      <c r="BC846" s="151"/>
      <c r="BD846" s="151"/>
      <c r="BE846" s="151"/>
      <c r="BF846" s="151"/>
      <c r="BG846" s="151"/>
      <c r="BH846" s="151"/>
      <c r="BI846" s="151"/>
    </row>
    <row r="847" spans="1:61" x14ac:dyDescent="0.25">
      <c r="A847" s="149"/>
      <c r="B847" s="149"/>
      <c r="C847" s="149"/>
      <c r="D847" s="149"/>
      <c r="E847" s="150"/>
      <c r="F847" s="150"/>
      <c r="G847" s="149"/>
      <c r="H847" s="149"/>
      <c r="I847" s="149"/>
      <c r="J847" s="150"/>
      <c r="K847" s="150"/>
      <c r="L847" s="149"/>
      <c r="M847" s="149"/>
      <c r="N847" s="149"/>
      <c r="O847" s="150"/>
      <c r="P847" s="150"/>
      <c r="Q847" s="149"/>
      <c r="R847" s="149"/>
      <c r="S847" s="149"/>
      <c r="T847" s="150"/>
      <c r="U847" s="150"/>
      <c r="V847" s="150"/>
      <c r="W847" s="150"/>
      <c r="X847" s="150"/>
      <c r="Y847" s="150"/>
      <c r="Z847" s="150"/>
      <c r="AA847" s="150"/>
      <c r="AB847" s="150"/>
      <c r="AC847" s="149"/>
      <c r="AD847" s="149"/>
      <c r="AE847" s="149"/>
      <c r="AF847" s="150"/>
      <c r="AG847" s="150"/>
      <c r="AH847" s="149"/>
      <c r="AI847" s="149"/>
      <c r="AJ847" s="149"/>
      <c r="AK847" s="150"/>
      <c r="AL847" s="150"/>
      <c r="AM847" s="149"/>
      <c r="AN847" s="149"/>
      <c r="AO847" s="149"/>
      <c r="AP847" s="150"/>
      <c r="AQ847" s="150"/>
      <c r="AR847" s="150"/>
      <c r="AS847" s="150"/>
      <c r="AT847" s="150"/>
      <c r="AU847" s="150"/>
      <c r="AV847" s="150"/>
      <c r="AW847" s="150"/>
      <c r="AX847" s="150"/>
      <c r="AY847" s="151"/>
      <c r="AZ847" s="151"/>
      <c r="BA847" s="151"/>
      <c r="BB847" s="151"/>
      <c r="BC847" s="151"/>
      <c r="BD847" s="151"/>
      <c r="BE847" s="151"/>
      <c r="BF847" s="151"/>
      <c r="BG847" s="151"/>
      <c r="BH847" s="151"/>
      <c r="BI847" s="151"/>
    </row>
    <row r="848" spans="1:61" x14ac:dyDescent="0.25">
      <c r="A848" s="149"/>
      <c r="B848" s="149"/>
      <c r="C848" s="149"/>
      <c r="D848" s="149"/>
      <c r="E848" s="150"/>
      <c r="F848" s="150"/>
      <c r="G848" s="149"/>
      <c r="H848" s="149"/>
      <c r="I848" s="149"/>
      <c r="J848" s="150"/>
      <c r="K848" s="150"/>
      <c r="L848" s="149"/>
      <c r="M848" s="149"/>
      <c r="N848" s="149"/>
      <c r="O848" s="150"/>
      <c r="P848" s="150"/>
      <c r="Q848" s="149"/>
      <c r="R848" s="149"/>
      <c r="S848" s="149"/>
      <c r="T848" s="150"/>
      <c r="U848" s="150"/>
      <c r="V848" s="150"/>
      <c r="W848" s="150"/>
      <c r="X848" s="150"/>
      <c r="Y848" s="150"/>
      <c r="Z848" s="150"/>
      <c r="AA848" s="150"/>
      <c r="AB848" s="150"/>
      <c r="AC848" s="149"/>
      <c r="AD848" s="149"/>
      <c r="AE848" s="149"/>
      <c r="AF848" s="150"/>
      <c r="AG848" s="150"/>
      <c r="AH848" s="149"/>
      <c r="AI848" s="149"/>
      <c r="AJ848" s="149"/>
      <c r="AK848" s="150"/>
      <c r="AL848" s="150"/>
      <c r="AM848" s="149"/>
      <c r="AN848" s="149"/>
      <c r="AO848" s="149"/>
      <c r="AP848" s="150"/>
      <c r="AQ848" s="150"/>
      <c r="AR848" s="150"/>
      <c r="AS848" s="150"/>
      <c r="AT848" s="150"/>
      <c r="AU848" s="150"/>
      <c r="AV848" s="150"/>
      <c r="AW848" s="150"/>
      <c r="AX848" s="150"/>
      <c r="AY848" s="151"/>
      <c r="AZ848" s="151"/>
      <c r="BA848" s="151"/>
      <c r="BB848" s="151"/>
      <c r="BC848" s="151"/>
      <c r="BD848" s="151"/>
      <c r="BE848" s="151"/>
      <c r="BF848" s="151"/>
      <c r="BG848" s="151"/>
      <c r="BH848" s="151"/>
      <c r="BI848" s="151"/>
    </row>
    <row r="849" spans="1:61" x14ac:dyDescent="0.25">
      <c r="A849" s="149"/>
      <c r="B849" s="149"/>
      <c r="C849" s="149"/>
      <c r="D849" s="149"/>
      <c r="E849" s="150"/>
      <c r="F849" s="150"/>
      <c r="G849" s="149"/>
      <c r="H849" s="149"/>
      <c r="I849" s="149"/>
      <c r="J849" s="150"/>
      <c r="K849" s="150"/>
      <c r="L849" s="149"/>
      <c r="M849" s="149"/>
      <c r="N849" s="149"/>
      <c r="O849" s="150"/>
      <c r="P849" s="150"/>
      <c r="Q849" s="149"/>
      <c r="R849" s="149"/>
      <c r="S849" s="149"/>
      <c r="T849" s="150"/>
      <c r="U849" s="150"/>
      <c r="V849" s="150"/>
      <c r="W849" s="150"/>
      <c r="X849" s="150"/>
      <c r="Y849" s="150"/>
      <c r="Z849" s="150"/>
      <c r="AA849" s="150"/>
      <c r="AB849" s="150"/>
      <c r="AC849" s="149"/>
      <c r="AD849" s="149"/>
      <c r="AE849" s="149"/>
      <c r="AF849" s="150"/>
      <c r="AG849" s="150"/>
      <c r="AH849" s="149"/>
      <c r="AI849" s="149"/>
      <c r="AJ849" s="149"/>
      <c r="AK849" s="150"/>
      <c r="AL849" s="150"/>
      <c r="AM849" s="149"/>
      <c r="AN849" s="149"/>
      <c r="AO849" s="149"/>
      <c r="AP849" s="150"/>
      <c r="AQ849" s="150"/>
      <c r="AR849" s="150"/>
      <c r="AS849" s="150"/>
      <c r="AT849" s="150"/>
      <c r="AU849" s="150"/>
      <c r="AV849" s="150"/>
      <c r="AW849" s="150"/>
      <c r="AX849" s="150"/>
      <c r="AY849" s="151"/>
      <c r="AZ849" s="151"/>
      <c r="BA849" s="151"/>
      <c r="BB849" s="151"/>
      <c r="BC849" s="151"/>
      <c r="BD849" s="151"/>
      <c r="BE849" s="151"/>
      <c r="BF849" s="151"/>
      <c r="BG849" s="151"/>
      <c r="BH849" s="151"/>
      <c r="BI849" s="151"/>
    </row>
    <row r="850" spans="1:61" x14ac:dyDescent="0.25">
      <c r="A850" s="149"/>
      <c r="B850" s="149"/>
      <c r="C850" s="149"/>
      <c r="D850" s="149"/>
      <c r="E850" s="150"/>
      <c r="F850" s="150"/>
      <c r="G850" s="149"/>
      <c r="H850" s="149"/>
      <c r="I850" s="149"/>
      <c r="J850" s="150"/>
      <c r="K850" s="150"/>
      <c r="L850" s="149"/>
      <c r="M850" s="149"/>
      <c r="N850" s="149"/>
      <c r="O850" s="150"/>
      <c r="P850" s="150"/>
      <c r="Q850" s="149"/>
      <c r="R850" s="149"/>
      <c r="S850" s="149"/>
      <c r="T850" s="150"/>
      <c r="U850" s="150"/>
      <c r="V850" s="150"/>
      <c r="W850" s="150"/>
      <c r="X850" s="150"/>
      <c r="Y850" s="150"/>
      <c r="Z850" s="150"/>
      <c r="AA850" s="150"/>
      <c r="AB850" s="150"/>
      <c r="AC850" s="149"/>
      <c r="AD850" s="149"/>
      <c r="AE850" s="149"/>
      <c r="AF850" s="150"/>
      <c r="AG850" s="150"/>
      <c r="AH850" s="149"/>
      <c r="AI850" s="149"/>
      <c r="AJ850" s="149"/>
      <c r="AK850" s="150"/>
      <c r="AL850" s="150"/>
      <c r="AM850" s="149"/>
      <c r="AN850" s="149"/>
      <c r="AO850" s="149"/>
      <c r="AP850" s="150"/>
      <c r="AQ850" s="150"/>
      <c r="AR850" s="150"/>
      <c r="AS850" s="150"/>
      <c r="AT850" s="150"/>
      <c r="AU850" s="150"/>
      <c r="AV850" s="150"/>
      <c r="AW850" s="150"/>
      <c r="AX850" s="150"/>
      <c r="AY850" s="151"/>
      <c r="AZ850" s="151"/>
      <c r="BA850" s="151"/>
      <c r="BB850" s="151"/>
      <c r="BC850" s="151"/>
      <c r="BD850" s="151"/>
      <c r="BE850" s="151"/>
      <c r="BF850" s="151"/>
      <c r="BG850" s="151"/>
      <c r="BH850" s="151"/>
      <c r="BI850" s="151"/>
    </row>
    <row r="851" spans="1:61" x14ac:dyDescent="0.25">
      <c r="A851" s="149"/>
      <c r="B851" s="149"/>
      <c r="C851" s="149"/>
      <c r="D851" s="149"/>
      <c r="E851" s="150"/>
      <c r="F851" s="150"/>
      <c r="G851" s="149"/>
      <c r="H851" s="149"/>
      <c r="I851" s="149"/>
      <c r="J851" s="150"/>
      <c r="K851" s="150"/>
      <c r="L851" s="149"/>
      <c r="M851" s="149"/>
      <c r="N851" s="149"/>
      <c r="O851" s="150"/>
      <c r="P851" s="150"/>
      <c r="Q851" s="149"/>
      <c r="R851" s="149"/>
      <c r="S851" s="149"/>
      <c r="T851" s="150"/>
      <c r="U851" s="150"/>
      <c r="V851" s="150"/>
      <c r="W851" s="150"/>
      <c r="X851" s="150"/>
      <c r="Y851" s="150"/>
      <c r="Z851" s="150"/>
      <c r="AA851" s="150"/>
      <c r="AB851" s="150"/>
      <c r="AC851" s="149"/>
      <c r="AD851" s="149"/>
      <c r="AE851" s="149"/>
      <c r="AF851" s="150"/>
      <c r="AG851" s="150"/>
      <c r="AH851" s="149"/>
      <c r="AI851" s="149"/>
      <c r="AJ851" s="149"/>
      <c r="AK851" s="150"/>
      <c r="AL851" s="150"/>
      <c r="AM851" s="149"/>
      <c r="AN851" s="149"/>
      <c r="AO851" s="149"/>
      <c r="AP851" s="150"/>
      <c r="AQ851" s="150"/>
      <c r="AR851" s="150"/>
      <c r="AS851" s="150"/>
      <c r="AT851" s="150"/>
      <c r="AU851" s="150"/>
      <c r="AV851" s="150"/>
      <c r="AW851" s="150"/>
      <c r="AX851" s="150"/>
      <c r="AY851" s="151"/>
      <c r="AZ851" s="151"/>
      <c r="BA851" s="151"/>
      <c r="BB851" s="151"/>
      <c r="BC851" s="151"/>
      <c r="BD851" s="151"/>
      <c r="BE851" s="151"/>
      <c r="BF851" s="151"/>
      <c r="BG851" s="151"/>
      <c r="BH851" s="151"/>
      <c r="BI851" s="151"/>
    </row>
    <row r="852" spans="1:61" x14ac:dyDescent="0.25">
      <c r="A852" s="149"/>
      <c r="B852" s="149"/>
      <c r="C852" s="149"/>
      <c r="D852" s="149"/>
      <c r="E852" s="150"/>
      <c r="F852" s="150"/>
      <c r="G852" s="149"/>
      <c r="H852" s="149"/>
      <c r="I852" s="149"/>
      <c r="J852" s="150"/>
      <c r="K852" s="150"/>
      <c r="L852" s="149"/>
      <c r="M852" s="149"/>
      <c r="N852" s="149"/>
      <c r="O852" s="150"/>
      <c r="P852" s="150"/>
      <c r="Q852" s="149"/>
      <c r="R852" s="149"/>
      <c r="S852" s="149"/>
      <c r="T852" s="150"/>
      <c r="U852" s="150"/>
      <c r="V852" s="150"/>
      <c r="W852" s="150"/>
      <c r="X852" s="150"/>
      <c r="Y852" s="150"/>
      <c r="Z852" s="150"/>
      <c r="AA852" s="150"/>
      <c r="AB852" s="150"/>
      <c r="AC852" s="149"/>
      <c r="AD852" s="149"/>
      <c r="AE852" s="149"/>
      <c r="AF852" s="150"/>
      <c r="AG852" s="150"/>
      <c r="AH852" s="149"/>
      <c r="AI852" s="149"/>
      <c r="AJ852" s="149"/>
      <c r="AK852" s="150"/>
      <c r="AL852" s="150"/>
      <c r="AM852" s="149"/>
      <c r="AN852" s="149"/>
      <c r="AO852" s="149"/>
      <c r="AP852" s="150"/>
      <c r="AQ852" s="150"/>
      <c r="AR852" s="150"/>
      <c r="AS852" s="150"/>
      <c r="AT852" s="150"/>
      <c r="AU852" s="150"/>
      <c r="AV852" s="150"/>
      <c r="AW852" s="150"/>
      <c r="AX852" s="150"/>
      <c r="AY852" s="151"/>
      <c r="AZ852" s="151"/>
      <c r="BA852" s="151"/>
      <c r="BB852" s="151"/>
      <c r="BC852" s="151"/>
      <c r="BD852" s="151"/>
      <c r="BE852" s="151"/>
      <c r="BF852" s="151"/>
      <c r="BG852" s="151"/>
      <c r="BH852" s="151"/>
      <c r="BI852" s="151"/>
    </row>
    <row r="853" spans="1:61" x14ac:dyDescent="0.25">
      <c r="A853" s="149"/>
      <c r="B853" s="149"/>
      <c r="C853" s="149"/>
      <c r="D853" s="149"/>
      <c r="E853" s="150"/>
      <c r="F853" s="150"/>
      <c r="G853" s="149"/>
      <c r="H853" s="149"/>
      <c r="I853" s="149"/>
      <c r="J853" s="150"/>
      <c r="K853" s="150"/>
      <c r="L853" s="149"/>
      <c r="M853" s="149"/>
      <c r="N853" s="149"/>
      <c r="O853" s="150"/>
      <c r="P853" s="150"/>
      <c r="Q853" s="149"/>
      <c r="R853" s="149"/>
      <c r="S853" s="149"/>
      <c r="T853" s="150"/>
      <c r="U853" s="150"/>
      <c r="V853" s="150"/>
      <c r="W853" s="150"/>
      <c r="X853" s="150"/>
      <c r="Y853" s="150"/>
      <c r="Z853" s="150"/>
      <c r="AA853" s="150"/>
      <c r="AB853" s="150"/>
      <c r="AC853" s="149"/>
      <c r="AD853" s="149"/>
      <c r="AE853" s="149"/>
      <c r="AF853" s="150"/>
      <c r="AG853" s="150"/>
      <c r="AH853" s="149"/>
      <c r="AI853" s="149"/>
      <c r="AJ853" s="149"/>
      <c r="AK853" s="150"/>
      <c r="AL853" s="150"/>
      <c r="AM853" s="149"/>
      <c r="AN853" s="149"/>
      <c r="AO853" s="149"/>
      <c r="AP853" s="150"/>
      <c r="AQ853" s="150"/>
      <c r="AR853" s="150"/>
      <c r="AS853" s="150"/>
      <c r="AT853" s="150"/>
      <c r="AU853" s="150"/>
      <c r="AV853" s="150"/>
      <c r="AW853" s="150"/>
      <c r="AX853" s="150"/>
      <c r="AY853" s="151"/>
      <c r="AZ853" s="151"/>
      <c r="BA853" s="151"/>
      <c r="BB853" s="151"/>
      <c r="BC853" s="151"/>
      <c r="BD853" s="151"/>
      <c r="BE853" s="151"/>
      <c r="BF853" s="151"/>
      <c r="BG853" s="151"/>
      <c r="BH853" s="151"/>
      <c r="BI853" s="151"/>
    </row>
    <row r="854" spans="1:61" x14ac:dyDescent="0.25">
      <c r="A854" s="149"/>
      <c r="B854" s="149"/>
      <c r="C854" s="149"/>
      <c r="D854" s="149"/>
      <c r="E854" s="150"/>
      <c r="F854" s="150"/>
      <c r="G854" s="149"/>
      <c r="H854" s="149"/>
      <c r="I854" s="149"/>
      <c r="J854" s="150"/>
      <c r="K854" s="150"/>
      <c r="L854" s="149"/>
      <c r="M854" s="149"/>
      <c r="N854" s="149"/>
      <c r="O854" s="150"/>
      <c r="P854" s="150"/>
      <c r="Q854" s="149"/>
      <c r="R854" s="149"/>
      <c r="S854" s="149"/>
      <c r="T854" s="150"/>
      <c r="U854" s="150"/>
      <c r="V854" s="150"/>
      <c r="W854" s="150"/>
      <c r="X854" s="150"/>
      <c r="Y854" s="150"/>
      <c r="Z854" s="150"/>
      <c r="AA854" s="150"/>
      <c r="AB854" s="150"/>
      <c r="AC854" s="149"/>
      <c r="AD854" s="149"/>
      <c r="AE854" s="149"/>
      <c r="AF854" s="150"/>
      <c r="AG854" s="150"/>
      <c r="AH854" s="149"/>
      <c r="AI854" s="149"/>
      <c r="AJ854" s="149"/>
      <c r="AK854" s="150"/>
      <c r="AL854" s="150"/>
      <c r="AM854" s="149"/>
      <c r="AN854" s="149"/>
      <c r="AO854" s="149"/>
      <c r="AP854" s="150"/>
      <c r="AQ854" s="150"/>
      <c r="AR854" s="150"/>
      <c r="AS854" s="150"/>
      <c r="AT854" s="150"/>
      <c r="AU854" s="150"/>
      <c r="AV854" s="150"/>
      <c r="AW854" s="150"/>
      <c r="AX854" s="150"/>
      <c r="AY854" s="151"/>
      <c r="AZ854" s="151"/>
      <c r="BA854" s="151"/>
      <c r="BB854" s="151"/>
      <c r="BC854" s="151"/>
      <c r="BD854" s="151"/>
      <c r="BE854" s="151"/>
      <c r="BF854" s="151"/>
      <c r="BG854" s="151"/>
      <c r="BH854" s="151"/>
      <c r="BI854" s="151"/>
    </row>
    <row r="855" spans="1:61" x14ac:dyDescent="0.25">
      <c r="A855" s="149"/>
      <c r="B855" s="149"/>
      <c r="C855" s="149"/>
      <c r="D855" s="149"/>
      <c r="E855" s="150"/>
      <c r="F855" s="150"/>
      <c r="G855" s="149"/>
      <c r="H855" s="149"/>
      <c r="I855" s="149"/>
      <c r="J855" s="150"/>
      <c r="K855" s="150"/>
      <c r="L855" s="149"/>
      <c r="M855" s="149"/>
      <c r="N855" s="149"/>
      <c r="O855" s="150"/>
      <c r="P855" s="150"/>
      <c r="Q855" s="149"/>
      <c r="R855" s="149"/>
      <c r="S855" s="149"/>
      <c r="T855" s="150"/>
      <c r="U855" s="150"/>
      <c r="V855" s="150"/>
      <c r="W855" s="150"/>
      <c r="X855" s="150"/>
      <c r="Y855" s="150"/>
      <c r="Z855" s="150"/>
      <c r="AA855" s="150"/>
      <c r="AB855" s="150"/>
      <c r="AC855" s="149"/>
      <c r="AD855" s="149"/>
      <c r="AE855" s="149"/>
      <c r="AF855" s="150"/>
      <c r="AG855" s="150"/>
      <c r="AH855" s="149"/>
      <c r="AI855" s="149"/>
      <c r="AJ855" s="149"/>
      <c r="AK855" s="150"/>
      <c r="AL855" s="150"/>
      <c r="AM855" s="149"/>
      <c r="AN855" s="149"/>
      <c r="AO855" s="149"/>
      <c r="AP855" s="150"/>
      <c r="AQ855" s="150"/>
      <c r="AR855" s="150"/>
      <c r="AS855" s="150"/>
      <c r="AT855" s="150"/>
      <c r="AU855" s="150"/>
      <c r="AV855" s="150"/>
      <c r="AW855" s="150"/>
      <c r="AX855" s="150"/>
      <c r="AY855" s="151"/>
      <c r="AZ855" s="151"/>
      <c r="BA855" s="151"/>
      <c r="BB855" s="151"/>
      <c r="BC855" s="151"/>
      <c r="BD855" s="151"/>
      <c r="BE855" s="151"/>
      <c r="BF855" s="151"/>
      <c r="BG855" s="151"/>
      <c r="BH855" s="151"/>
      <c r="BI855" s="151"/>
    </row>
    <row r="856" spans="1:61" x14ac:dyDescent="0.25">
      <c r="A856" s="149"/>
      <c r="B856" s="149"/>
      <c r="C856" s="149"/>
      <c r="D856" s="149"/>
      <c r="E856" s="150"/>
      <c r="F856" s="150"/>
      <c r="G856" s="149"/>
      <c r="H856" s="149"/>
      <c r="I856" s="149"/>
      <c r="J856" s="150"/>
      <c r="K856" s="150"/>
      <c r="L856" s="149"/>
      <c r="M856" s="149"/>
      <c r="N856" s="149"/>
      <c r="O856" s="150"/>
      <c r="P856" s="150"/>
      <c r="Q856" s="149"/>
      <c r="R856" s="149"/>
      <c r="S856" s="149"/>
      <c r="T856" s="150"/>
      <c r="U856" s="150"/>
      <c r="V856" s="150"/>
      <c r="W856" s="150"/>
      <c r="X856" s="150"/>
      <c r="Y856" s="150"/>
      <c r="Z856" s="150"/>
      <c r="AA856" s="150"/>
      <c r="AB856" s="150"/>
      <c r="AC856" s="149"/>
      <c r="AD856" s="149"/>
      <c r="AE856" s="149"/>
      <c r="AF856" s="150"/>
      <c r="AG856" s="150"/>
      <c r="AH856" s="149"/>
      <c r="AI856" s="149"/>
      <c r="AJ856" s="149"/>
      <c r="AK856" s="150"/>
      <c r="AL856" s="150"/>
      <c r="AM856" s="149"/>
      <c r="AN856" s="149"/>
      <c r="AO856" s="149"/>
      <c r="AP856" s="150"/>
      <c r="AQ856" s="150"/>
      <c r="AR856" s="150"/>
      <c r="AS856" s="150"/>
      <c r="AT856" s="150"/>
      <c r="AU856" s="150"/>
      <c r="AV856" s="150"/>
      <c r="AW856" s="150"/>
      <c r="AX856" s="150"/>
      <c r="AY856" s="151"/>
      <c r="AZ856" s="151"/>
      <c r="BA856" s="151"/>
      <c r="BB856" s="151"/>
      <c r="BC856" s="151"/>
      <c r="BD856" s="151"/>
      <c r="BE856" s="151"/>
      <c r="BF856" s="151"/>
      <c r="BG856" s="151"/>
      <c r="BH856" s="151"/>
      <c r="BI856" s="151"/>
    </row>
    <row r="857" spans="1:61" x14ac:dyDescent="0.25">
      <c r="A857" s="149"/>
      <c r="B857" s="149"/>
      <c r="C857" s="149"/>
      <c r="D857" s="149"/>
      <c r="E857" s="150"/>
      <c r="F857" s="150"/>
      <c r="G857" s="149"/>
      <c r="H857" s="149"/>
      <c r="I857" s="149"/>
      <c r="J857" s="150"/>
      <c r="K857" s="150"/>
      <c r="L857" s="149"/>
      <c r="M857" s="149"/>
      <c r="N857" s="149"/>
      <c r="O857" s="150"/>
      <c r="P857" s="150"/>
      <c r="Q857" s="149"/>
      <c r="R857" s="149"/>
      <c r="S857" s="149"/>
      <c r="T857" s="150"/>
      <c r="U857" s="150"/>
      <c r="V857" s="150"/>
      <c r="W857" s="150"/>
      <c r="X857" s="150"/>
      <c r="Y857" s="150"/>
      <c r="Z857" s="150"/>
      <c r="AA857" s="150"/>
      <c r="AB857" s="150"/>
      <c r="AC857" s="149"/>
      <c r="AD857" s="149"/>
      <c r="AE857" s="149"/>
      <c r="AF857" s="150"/>
      <c r="AG857" s="150"/>
      <c r="AH857" s="149"/>
      <c r="AI857" s="149"/>
      <c r="AJ857" s="149"/>
      <c r="AK857" s="150"/>
      <c r="AL857" s="150"/>
      <c r="AM857" s="149"/>
      <c r="AN857" s="149"/>
      <c r="AO857" s="149"/>
      <c r="AP857" s="150"/>
      <c r="AQ857" s="150"/>
      <c r="AR857" s="150"/>
      <c r="AS857" s="150"/>
      <c r="AT857" s="150"/>
      <c r="AU857" s="150"/>
      <c r="AV857" s="150"/>
      <c r="AW857" s="150"/>
      <c r="AX857" s="150"/>
      <c r="AY857" s="151"/>
      <c r="AZ857" s="151"/>
      <c r="BA857" s="151"/>
      <c r="BB857" s="151"/>
      <c r="BC857" s="151"/>
      <c r="BD857" s="151"/>
      <c r="BE857" s="151"/>
      <c r="BF857" s="151"/>
      <c r="BG857" s="151"/>
      <c r="BH857" s="151"/>
      <c r="BI857" s="151"/>
    </row>
    <row r="858" spans="1:61" x14ac:dyDescent="0.25">
      <c r="A858" s="149"/>
      <c r="B858" s="149"/>
      <c r="C858" s="149"/>
      <c r="D858" s="149"/>
      <c r="E858" s="150"/>
      <c r="F858" s="150"/>
      <c r="G858" s="149"/>
      <c r="H858" s="149"/>
      <c r="I858" s="149"/>
      <c r="J858" s="150"/>
      <c r="K858" s="150"/>
      <c r="L858" s="149"/>
      <c r="M858" s="149"/>
      <c r="N858" s="149"/>
      <c r="O858" s="150"/>
      <c r="P858" s="150"/>
      <c r="Q858" s="149"/>
      <c r="R858" s="149"/>
      <c r="S858" s="149"/>
      <c r="T858" s="150"/>
      <c r="U858" s="150"/>
      <c r="V858" s="150"/>
      <c r="W858" s="150"/>
      <c r="X858" s="150"/>
      <c r="Y858" s="150"/>
      <c r="Z858" s="150"/>
      <c r="AA858" s="150"/>
      <c r="AB858" s="150"/>
      <c r="AC858" s="149"/>
      <c r="AD858" s="149"/>
      <c r="AE858" s="149"/>
      <c r="AF858" s="150"/>
      <c r="AG858" s="150"/>
      <c r="AH858" s="149"/>
      <c r="AI858" s="149"/>
      <c r="AJ858" s="149"/>
      <c r="AK858" s="150"/>
      <c r="AL858" s="150"/>
      <c r="AM858" s="149"/>
      <c r="AN858" s="149"/>
      <c r="AO858" s="149"/>
      <c r="AP858" s="150"/>
      <c r="AQ858" s="150"/>
      <c r="AR858" s="150"/>
      <c r="AS858" s="150"/>
      <c r="AT858" s="150"/>
      <c r="AU858" s="150"/>
      <c r="AV858" s="150"/>
      <c r="AW858" s="150"/>
      <c r="AX858" s="150"/>
      <c r="AY858" s="151"/>
      <c r="AZ858" s="151"/>
      <c r="BA858" s="151"/>
      <c r="BB858" s="151"/>
      <c r="BC858" s="151"/>
      <c r="BD858" s="151"/>
      <c r="BE858" s="151"/>
      <c r="BF858" s="151"/>
      <c r="BG858" s="151"/>
      <c r="BH858" s="151"/>
      <c r="BI858" s="151"/>
    </row>
    <row r="859" spans="1:61" x14ac:dyDescent="0.25">
      <c r="A859" s="149"/>
      <c r="B859" s="149"/>
      <c r="C859" s="149"/>
      <c r="D859" s="149"/>
      <c r="E859" s="150"/>
      <c r="F859" s="150"/>
      <c r="G859" s="149"/>
      <c r="H859" s="149"/>
      <c r="I859" s="149"/>
      <c r="J859" s="150"/>
      <c r="K859" s="150"/>
      <c r="L859" s="149"/>
      <c r="M859" s="149"/>
      <c r="N859" s="149"/>
      <c r="O859" s="150"/>
      <c r="P859" s="150"/>
      <c r="Q859" s="149"/>
      <c r="R859" s="149"/>
      <c r="S859" s="149"/>
      <c r="T859" s="150"/>
      <c r="U859" s="150"/>
      <c r="V859" s="150"/>
      <c r="W859" s="150"/>
      <c r="X859" s="150"/>
      <c r="Y859" s="150"/>
      <c r="Z859" s="150"/>
      <c r="AA859" s="150"/>
      <c r="AB859" s="150"/>
      <c r="AC859" s="149"/>
      <c r="AD859" s="149"/>
      <c r="AE859" s="149"/>
      <c r="AF859" s="150"/>
      <c r="AG859" s="150"/>
      <c r="AH859" s="149"/>
      <c r="AI859" s="149"/>
      <c r="AJ859" s="149"/>
      <c r="AK859" s="150"/>
      <c r="AL859" s="150"/>
      <c r="AM859" s="149"/>
      <c r="AN859" s="149"/>
      <c r="AO859" s="149"/>
      <c r="AP859" s="150"/>
      <c r="AQ859" s="150"/>
      <c r="AR859" s="150"/>
      <c r="AS859" s="150"/>
      <c r="AT859" s="150"/>
      <c r="AU859" s="150"/>
      <c r="AV859" s="150"/>
      <c r="AW859" s="150"/>
      <c r="AX859" s="150"/>
      <c r="AY859" s="151"/>
      <c r="AZ859" s="151"/>
      <c r="BA859" s="151"/>
      <c r="BB859" s="151"/>
      <c r="BC859" s="151"/>
      <c r="BD859" s="151"/>
      <c r="BE859" s="151"/>
      <c r="BF859" s="151"/>
      <c r="BG859" s="151"/>
      <c r="BH859" s="151"/>
      <c r="BI859" s="151"/>
    </row>
    <row r="860" spans="1:61" x14ac:dyDescent="0.25">
      <c r="A860" s="149"/>
      <c r="B860" s="149"/>
      <c r="C860" s="149"/>
      <c r="D860" s="149"/>
      <c r="E860" s="150"/>
      <c r="F860" s="150"/>
      <c r="G860" s="149"/>
      <c r="H860" s="149"/>
      <c r="I860" s="149"/>
      <c r="J860" s="150"/>
      <c r="K860" s="150"/>
      <c r="L860" s="149"/>
      <c r="M860" s="149"/>
      <c r="N860" s="149"/>
      <c r="O860" s="150"/>
      <c r="P860" s="150"/>
      <c r="Q860" s="149"/>
      <c r="R860" s="149"/>
      <c r="S860" s="149"/>
      <c r="T860" s="150"/>
      <c r="U860" s="150"/>
      <c r="V860" s="150"/>
      <c r="W860" s="150"/>
      <c r="X860" s="150"/>
      <c r="Y860" s="150"/>
      <c r="Z860" s="150"/>
      <c r="AA860" s="150"/>
      <c r="AB860" s="150"/>
      <c r="AC860" s="149"/>
      <c r="AD860" s="149"/>
      <c r="AE860" s="149"/>
      <c r="AF860" s="150"/>
      <c r="AG860" s="150"/>
      <c r="AH860" s="149"/>
      <c r="AI860" s="149"/>
      <c r="AJ860" s="149"/>
      <c r="AK860" s="150"/>
      <c r="AL860" s="150"/>
      <c r="AM860" s="149"/>
      <c r="AN860" s="149"/>
      <c r="AO860" s="149"/>
      <c r="AP860" s="150"/>
      <c r="AQ860" s="150"/>
      <c r="AR860" s="150"/>
      <c r="AS860" s="150"/>
      <c r="AT860" s="150"/>
      <c r="AU860" s="150"/>
      <c r="AV860" s="150"/>
      <c r="AW860" s="150"/>
      <c r="AX860" s="150"/>
      <c r="AY860" s="151"/>
      <c r="AZ860" s="151"/>
      <c r="BA860" s="151"/>
      <c r="BB860" s="151"/>
      <c r="BC860" s="151"/>
      <c r="BD860" s="151"/>
      <c r="BE860" s="151"/>
      <c r="BF860" s="151"/>
      <c r="BG860" s="151"/>
      <c r="BH860" s="151"/>
      <c r="BI860" s="151"/>
    </row>
    <row r="861" spans="1:61" x14ac:dyDescent="0.25">
      <c r="A861" s="149"/>
      <c r="B861" s="149"/>
      <c r="C861" s="149"/>
      <c r="D861" s="149"/>
      <c r="E861" s="150"/>
      <c r="F861" s="150"/>
      <c r="G861" s="149"/>
      <c r="H861" s="149"/>
      <c r="I861" s="149"/>
      <c r="J861" s="150"/>
      <c r="K861" s="150"/>
      <c r="L861" s="149"/>
      <c r="M861" s="149"/>
      <c r="N861" s="149"/>
      <c r="O861" s="150"/>
      <c r="P861" s="150"/>
      <c r="Q861" s="149"/>
      <c r="R861" s="149"/>
      <c r="S861" s="149"/>
      <c r="T861" s="150"/>
      <c r="U861" s="150"/>
      <c r="V861" s="150"/>
      <c r="W861" s="150"/>
      <c r="X861" s="150"/>
      <c r="Y861" s="150"/>
      <c r="Z861" s="150"/>
      <c r="AA861" s="150"/>
      <c r="AB861" s="150"/>
      <c r="AC861" s="149"/>
      <c r="AD861" s="149"/>
      <c r="AE861" s="149"/>
      <c r="AF861" s="150"/>
      <c r="AG861" s="150"/>
      <c r="AH861" s="149"/>
      <c r="AI861" s="149"/>
      <c r="AJ861" s="149"/>
      <c r="AK861" s="150"/>
      <c r="AL861" s="150"/>
      <c r="AM861" s="149"/>
      <c r="AN861" s="149"/>
      <c r="AO861" s="149"/>
      <c r="AP861" s="150"/>
      <c r="AQ861" s="150"/>
      <c r="AR861" s="150"/>
      <c r="AS861" s="150"/>
      <c r="AT861" s="150"/>
      <c r="AU861" s="150"/>
      <c r="AV861" s="150"/>
      <c r="AW861" s="150"/>
      <c r="AX861" s="150"/>
      <c r="AY861" s="151"/>
      <c r="AZ861" s="151"/>
      <c r="BA861" s="151"/>
      <c r="BB861" s="151"/>
      <c r="BC861" s="151"/>
      <c r="BD861" s="151"/>
      <c r="BE861" s="151"/>
      <c r="BF861" s="151"/>
      <c r="BG861" s="151"/>
      <c r="BH861" s="151"/>
      <c r="BI861" s="151"/>
    </row>
    <row r="862" spans="1:61" x14ac:dyDescent="0.25">
      <c r="A862" s="149"/>
      <c r="B862" s="149"/>
      <c r="C862" s="149"/>
      <c r="D862" s="149"/>
      <c r="E862" s="150"/>
      <c r="F862" s="150"/>
      <c r="G862" s="149"/>
      <c r="H862" s="149"/>
      <c r="I862" s="149"/>
      <c r="J862" s="150"/>
      <c r="K862" s="150"/>
      <c r="L862" s="149"/>
      <c r="M862" s="149"/>
      <c r="N862" s="149"/>
      <c r="O862" s="150"/>
      <c r="P862" s="150"/>
      <c r="Q862" s="149"/>
      <c r="R862" s="149"/>
      <c r="S862" s="149"/>
      <c r="T862" s="150"/>
      <c r="U862" s="150"/>
      <c r="V862" s="150"/>
      <c r="W862" s="150"/>
      <c r="X862" s="150"/>
      <c r="Y862" s="150"/>
      <c r="Z862" s="150"/>
      <c r="AA862" s="150"/>
      <c r="AB862" s="150"/>
      <c r="AC862" s="149"/>
      <c r="AD862" s="149"/>
      <c r="AE862" s="149"/>
      <c r="AF862" s="150"/>
      <c r="AG862" s="150"/>
      <c r="AH862" s="149"/>
      <c r="AI862" s="149"/>
      <c r="AJ862" s="149"/>
      <c r="AK862" s="150"/>
      <c r="AL862" s="150"/>
      <c r="AM862" s="149"/>
      <c r="AN862" s="149"/>
      <c r="AO862" s="149"/>
      <c r="AP862" s="150"/>
      <c r="AQ862" s="150"/>
      <c r="AR862" s="150"/>
      <c r="AS862" s="150"/>
      <c r="AT862" s="150"/>
      <c r="AU862" s="150"/>
      <c r="AV862" s="150"/>
      <c r="AW862" s="150"/>
      <c r="AX862" s="150"/>
      <c r="AY862" s="151"/>
      <c r="AZ862" s="151"/>
      <c r="BA862" s="151"/>
      <c r="BB862" s="151"/>
      <c r="BC862" s="151"/>
      <c r="BD862" s="151"/>
      <c r="BE862" s="151"/>
      <c r="BF862" s="151"/>
      <c r="BG862" s="151"/>
      <c r="BH862" s="151"/>
      <c r="BI862" s="151"/>
    </row>
    <row r="863" spans="1:61" x14ac:dyDescent="0.25">
      <c r="A863" s="149"/>
      <c r="B863" s="149"/>
      <c r="C863" s="149"/>
      <c r="D863" s="149"/>
      <c r="E863" s="150"/>
      <c r="F863" s="150"/>
      <c r="G863" s="149"/>
      <c r="H863" s="149"/>
      <c r="I863" s="149"/>
      <c r="J863" s="150"/>
      <c r="K863" s="150"/>
      <c r="L863" s="149"/>
      <c r="M863" s="149"/>
      <c r="N863" s="149"/>
      <c r="O863" s="150"/>
      <c r="P863" s="150"/>
      <c r="Q863" s="149"/>
      <c r="R863" s="149"/>
      <c r="S863" s="149"/>
      <c r="T863" s="150"/>
      <c r="U863" s="150"/>
      <c r="V863" s="150"/>
      <c r="W863" s="150"/>
      <c r="X863" s="150"/>
      <c r="Y863" s="150"/>
      <c r="Z863" s="150"/>
      <c r="AA863" s="150"/>
      <c r="AB863" s="150"/>
      <c r="AC863" s="149"/>
      <c r="AD863" s="149"/>
      <c r="AE863" s="149"/>
      <c r="AF863" s="150"/>
      <c r="AG863" s="150"/>
      <c r="AH863" s="149"/>
      <c r="AI863" s="149"/>
      <c r="AJ863" s="149"/>
      <c r="AK863" s="150"/>
      <c r="AL863" s="150"/>
      <c r="AM863" s="149"/>
      <c r="AN863" s="149"/>
      <c r="AO863" s="149"/>
      <c r="AP863" s="150"/>
      <c r="AQ863" s="150"/>
      <c r="AR863" s="150"/>
      <c r="AS863" s="150"/>
      <c r="AT863" s="150"/>
      <c r="AU863" s="150"/>
      <c r="AV863" s="150"/>
      <c r="AW863" s="150"/>
      <c r="AX863" s="150"/>
      <c r="AY863" s="151"/>
      <c r="AZ863" s="151"/>
      <c r="BA863" s="151"/>
      <c r="BB863" s="151"/>
      <c r="BC863" s="151"/>
      <c r="BD863" s="151"/>
      <c r="BE863" s="151"/>
      <c r="BF863" s="151"/>
      <c r="BG863" s="151"/>
      <c r="BH863" s="151"/>
      <c r="BI863" s="151"/>
    </row>
    <row r="864" spans="1:61" x14ac:dyDescent="0.25">
      <c r="A864" s="149"/>
      <c r="B864" s="149"/>
      <c r="C864" s="149"/>
      <c r="D864" s="149"/>
      <c r="E864" s="150"/>
      <c r="F864" s="150"/>
      <c r="G864" s="149"/>
      <c r="H864" s="149"/>
      <c r="I864" s="149"/>
      <c r="J864" s="150"/>
      <c r="K864" s="150"/>
      <c r="L864" s="149"/>
      <c r="M864" s="149"/>
      <c r="N864" s="149"/>
      <c r="O864" s="150"/>
      <c r="P864" s="150"/>
      <c r="Q864" s="149"/>
      <c r="R864" s="149"/>
      <c r="S864" s="149"/>
      <c r="T864" s="150"/>
      <c r="U864" s="150"/>
      <c r="V864" s="150"/>
      <c r="W864" s="150"/>
      <c r="X864" s="150"/>
      <c r="Y864" s="150"/>
      <c r="Z864" s="150"/>
      <c r="AA864" s="150"/>
      <c r="AB864" s="150"/>
      <c r="AC864" s="149"/>
      <c r="AD864" s="149"/>
      <c r="AE864" s="149"/>
      <c r="AF864" s="150"/>
      <c r="AG864" s="150"/>
      <c r="AH864" s="149"/>
      <c r="AI864" s="149"/>
      <c r="AJ864" s="149"/>
      <c r="AK864" s="150"/>
      <c r="AL864" s="150"/>
      <c r="AM864" s="149"/>
      <c r="AN864" s="149"/>
      <c r="AO864" s="149"/>
      <c r="AP864" s="150"/>
      <c r="AQ864" s="150"/>
      <c r="AR864" s="150"/>
      <c r="AS864" s="150"/>
      <c r="AT864" s="150"/>
      <c r="AU864" s="150"/>
      <c r="AV864" s="150"/>
      <c r="AW864" s="150"/>
      <c r="AX864" s="150"/>
      <c r="AY864" s="151"/>
      <c r="AZ864" s="151"/>
      <c r="BA864" s="151"/>
      <c r="BB864" s="151"/>
      <c r="BC864" s="151"/>
      <c r="BD864" s="151"/>
      <c r="BE864" s="151"/>
      <c r="BF864" s="151"/>
      <c r="BG864" s="151"/>
      <c r="BH864" s="151"/>
      <c r="BI864" s="151"/>
    </row>
    <row r="865" spans="1:61" x14ac:dyDescent="0.25">
      <c r="A865" s="149"/>
      <c r="B865" s="149"/>
      <c r="C865" s="149"/>
      <c r="D865" s="149"/>
      <c r="E865" s="150"/>
      <c r="F865" s="150"/>
      <c r="G865" s="149"/>
      <c r="H865" s="149"/>
      <c r="I865" s="149"/>
      <c r="J865" s="150"/>
      <c r="K865" s="150"/>
      <c r="L865" s="149"/>
      <c r="M865" s="149"/>
      <c r="N865" s="149"/>
      <c r="O865" s="150"/>
      <c r="P865" s="150"/>
      <c r="Q865" s="149"/>
      <c r="R865" s="149"/>
      <c r="S865" s="149"/>
      <c r="T865" s="150"/>
      <c r="U865" s="150"/>
      <c r="V865" s="150"/>
      <c r="W865" s="150"/>
      <c r="X865" s="150"/>
      <c r="Y865" s="150"/>
      <c r="Z865" s="150"/>
      <c r="AA865" s="150"/>
      <c r="AB865" s="150"/>
      <c r="AC865" s="149"/>
      <c r="AD865" s="149"/>
      <c r="AE865" s="149"/>
      <c r="AF865" s="150"/>
      <c r="AG865" s="150"/>
      <c r="AH865" s="149"/>
      <c r="AI865" s="149"/>
      <c r="AJ865" s="149"/>
      <c r="AK865" s="150"/>
      <c r="AL865" s="150"/>
      <c r="AM865" s="149"/>
      <c r="AN865" s="149"/>
      <c r="AO865" s="149"/>
      <c r="AP865" s="150"/>
      <c r="AQ865" s="150"/>
      <c r="AR865" s="150"/>
      <c r="AS865" s="150"/>
      <c r="AT865" s="150"/>
      <c r="AU865" s="150"/>
      <c r="AV865" s="150"/>
      <c r="AW865" s="150"/>
      <c r="AX865" s="150"/>
      <c r="AY865" s="151"/>
      <c r="AZ865" s="151"/>
      <c r="BA865" s="151"/>
      <c r="BB865" s="151"/>
      <c r="BC865" s="151"/>
      <c r="BD865" s="151"/>
      <c r="BE865" s="151"/>
      <c r="BF865" s="151"/>
      <c r="BG865" s="151"/>
      <c r="BH865" s="151"/>
      <c r="BI865" s="151"/>
    </row>
    <row r="866" spans="1:61" x14ac:dyDescent="0.25">
      <c r="A866" s="149"/>
      <c r="B866" s="149"/>
      <c r="C866" s="149"/>
      <c r="D866" s="149"/>
      <c r="E866" s="150"/>
      <c r="F866" s="150"/>
      <c r="G866" s="149"/>
      <c r="H866" s="149"/>
      <c r="I866" s="149"/>
      <c r="J866" s="150"/>
      <c r="K866" s="150"/>
      <c r="L866" s="149"/>
      <c r="M866" s="149"/>
      <c r="N866" s="149"/>
      <c r="O866" s="150"/>
      <c r="P866" s="150"/>
      <c r="Q866" s="149"/>
      <c r="R866" s="149"/>
      <c r="S866" s="149"/>
      <c r="T866" s="150"/>
      <c r="U866" s="150"/>
      <c r="V866" s="150"/>
      <c r="W866" s="150"/>
      <c r="X866" s="150"/>
      <c r="Y866" s="150"/>
      <c r="Z866" s="150"/>
      <c r="AA866" s="150"/>
      <c r="AB866" s="150"/>
      <c r="AC866" s="149"/>
      <c r="AD866" s="149"/>
      <c r="AE866" s="149"/>
      <c r="AF866" s="150"/>
      <c r="AG866" s="150"/>
      <c r="AH866" s="149"/>
      <c r="AI866" s="149"/>
      <c r="AJ866" s="149"/>
      <c r="AK866" s="150"/>
      <c r="AL866" s="150"/>
      <c r="AM866" s="149"/>
      <c r="AN866" s="149"/>
      <c r="AO866" s="149"/>
      <c r="AP866" s="150"/>
      <c r="AQ866" s="150"/>
      <c r="AR866" s="150"/>
      <c r="AS866" s="150"/>
      <c r="AT866" s="150"/>
      <c r="AU866" s="150"/>
      <c r="AV866" s="150"/>
      <c r="AW866" s="150"/>
      <c r="AX866" s="150"/>
      <c r="AY866" s="151"/>
      <c r="AZ866" s="151"/>
      <c r="BA866" s="151"/>
      <c r="BB866" s="151"/>
      <c r="BC866" s="151"/>
      <c r="BD866" s="151"/>
      <c r="BE866" s="151"/>
      <c r="BF866" s="151"/>
      <c r="BG866" s="151"/>
      <c r="BH866" s="151"/>
      <c r="BI866" s="151"/>
    </row>
    <row r="867" spans="1:61" x14ac:dyDescent="0.25">
      <c r="A867" s="149"/>
      <c r="B867" s="149"/>
      <c r="C867" s="149"/>
      <c r="D867" s="149"/>
      <c r="E867" s="150"/>
      <c r="F867" s="150"/>
      <c r="G867" s="149"/>
      <c r="H867" s="149"/>
      <c r="I867" s="149"/>
      <c r="J867" s="150"/>
      <c r="K867" s="150"/>
      <c r="L867" s="149"/>
      <c r="M867" s="149"/>
      <c r="N867" s="149"/>
      <c r="O867" s="150"/>
      <c r="P867" s="150"/>
      <c r="Q867" s="149"/>
      <c r="R867" s="149"/>
      <c r="S867" s="149"/>
      <c r="T867" s="150"/>
      <c r="U867" s="150"/>
      <c r="V867" s="150"/>
      <c r="W867" s="150"/>
      <c r="X867" s="150"/>
      <c r="Y867" s="150"/>
      <c r="Z867" s="150"/>
      <c r="AA867" s="150"/>
      <c r="AB867" s="150"/>
      <c r="AC867" s="149"/>
      <c r="AD867" s="149"/>
      <c r="AE867" s="149"/>
      <c r="AF867" s="150"/>
      <c r="AG867" s="150"/>
      <c r="AH867" s="149"/>
      <c r="AI867" s="149"/>
      <c r="AJ867" s="149"/>
      <c r="AK867" s="150"/>
      <c r="AL867" s="150"/>
      <c r="AM867" s="149"/>
      <c r="AN867" s="149"/>
      <c r="AO867" s="149"/>
      <c r="AP867" s="150"/>
      <c r="AQ867" s="150"/>
      <c r="AR867" s="150"/>
      <c r="AS867" s="150"/>
      <c r="AT867" s="150"/>
      <c r="AU867" s="150"/>
      <c r="AV867" s="150"/>
      <c r="AW867" s="150"/>
      <c r="AX867" s="150"/>
      <c r="AY867" s="151"/>
      <c r="AZ867" s="151"/>
      <c r="BA867" s="151"/>
      <c r="BB867" s="151"/>
      <c r="BC867" s="151"/>
      <c r="BD867" s="151"/>
      <c r="BE867" s="151"/>
      <c r="BF867" s="151"/>
      <c r="BG867" s="151"/>
      <c r="BH867" s="151"/>
      <c r="BI867" s="151"/>
    </row>
    <row r="868" spans="1:61" x14ac:dyDescent="0.25">
      <c r="A868" s="149"/>
      <c r="B868" s="149"/>
      <c r="C868" s="149"/>
      <c r="D868" s="149"/>
      <c r="E868" s="150"/>
      <c r="F868" s="150"/>
      <c r="G868" s="149"/>
      <c r="H868" s="149"/>
      <c r="I868" s="149"/>
      <c r="J868" s="150"/>
      <c r="K868" s="150"/>
      <c r="L868" s="149"/>
      <c r="M868" s="149"/>
      <c r="N868" s="149"/>
      <c r="O868" s="150"/>
      <c r="P868" s="150"/>
      <c r="Q868" s="149"/>
      <c r="R868" s="149"/>
      <c r="S868" s="149"/>
      <c r="T868" s="150"/>
      <c r="U868" s="150"/>
      <c r="V868" s="150"/>
      <c r="W868" s="150"/>
      <c r="X868" s="150"/>
      <c r="Y868" s="150"/>
      <c r="Z868" s="150"/>
      <c r="AA868" s="150"/>
      <c r="AB868" s="150"/>
      <c r="AC868" s="149"/>
      <c r="AD868" s="149"/>
      <c r="AE868" s="149"/>
      <c r="AF868" s="150"/>
      <c r="AG868" s="150"/>
      <c r="AH868" s="149"/>
      <c r="AI868" s="149"/>
      <c r="AJ868" s="149"/>
      <c r="AK868" s="150"/>
      <c r="AL868" s="150"/>
      <c r="AM868" s="149"/>
      <c r="AN868" s="149"/>
      <c r="AO868" s="149"/>
      <c r="AP868" s="150"/>
      <c r="AQ868" s="150"/>
      <c r="AR868" s="150"/>
      <c r="AS868" s="150"/>
      <c r="AT868" s="150"/>
      <c r="AU868" s="150"/>
      <c r="AV868" s="150"/>
      <c r="AW868" s="150"/>
      <c r="AX868" s="150"/>
      <c r="AY868" s="151"/>
      <c r="AZ868" s="151"/>
      <c r="BA868" s="151"/>
      <c r="BB868" s="151"/>
      <c r="BC868" s="151"/>
      <c r="BD868" s="151"/>
      <c r="BE868" s="151"/>
      <c r="BF868" s="151"/>
      <c r="BG868" s="151"/>
      <c r="BH868" s="151"/>
      <c r="BI868" s="151"/>
    </row>
    <row r="869" spans="1:61" x14ac:dyDescent="0.25">
      <c r="A869" s="149"/>
      <c r="B869" s="149"/>
      <c r="C869" s="149"/>
      <c r="D869" s="149"/>
      <c r="E869" s="150"/>
      <c r="F869" s="150"/>
      <c r="G869" s="149"/>
      <c r="H869" s="149"/>
      <c r="I869" s="149"/>
      <c r="J869" s="150"/>
      <c r="K869" s="150"/>
      <c r="L869" s="149"/>
      <c r="M869" s="149"/>
      <c r="N869" s="149"/>
      <c r="O869" s="150"/>
      <c r="P869" s="150"/>
      <c r="Q869" s="149"/>
      <c r="R869" s="149"/>
      <c r="S869" s="149"/>
      <c r="T869" s="150"/>
      <c r="U869" s="150"/>
      <c r="V869" s="150"/>
      <c r="W869" s="150"/>
      <c r="X869" s="150"/>
      <c r="Y869" s="150"/>
      <c r="Z869" s="150"/>
      <c r="AA869" s="150"/>
      <c r="AB869" s="150"/>
      <c r="AC869" s="149"/>
      <c r="AD869" s="149"/>
      <c r="AE869" s="149"/>
      <c r="AF869" s="150"/>
      <c r="AG869" s="150"/>
      <c r="AH869" s="149"/>
      <c r="AI869" s="149"/>
      <c r="AJ869" s="149"/>
      <c r="AK869" s="150"/>
      <c r="AL869" s="150"/>
      <c r="AM869" s="149"/>
      <c r="AN869" s="149"/>
      <c r="AO869" s="149"/>
      <c r="AP869" s="150"/>
      <c r="AQ869" s="150"/>
      <c r="AR869" s="150"/>
      <c r="AS869" s="150"/>
      <c r="AT869" s="150"/>
      <c r="AU869" s="150"/>
      <c r="AV869" s="150"/>
      <c r="AW869" s="150"/>
      <c r="AX869" s="150"/>
      <c r="AY869" s="151"/>
      <c r="AZ869" s="151"/>
      <c r="BA869" s="151"/>
      <c r="BB869" s="151"/>
      <c r="BC869" s="151"/>
      <c r="BD869" s="151"/>
      <c r="BE869" s="151"/>
      <c r="BF869" s="151"/>
      <c r="BG869" s="151"/>
      <c r="BH869" s="151"/>
      <c r="BI869" s="151"/>
    </row>
    <row r="870" spans="1:61" x14ac:dyDescent="0.25">
      <c r="A870" s="149"/>
      <c r="B870" s="149"/>
      <c r="C870" s="149"/>
      <c r="D870" s="149"/>
      <c r="E870" s="150"/>
      <c r="F870" s="150"/>
      <c r="G870" s="149"/>
      <c r="H870" s="149"/>
      <c r="I870" s="149"/>
      <c r="J870" s="150"/>
      <c r="K870" s="150"/>
      <c r="L870" s="149"/>
      <c r="M870" s="149"/>
      <c r="N870" s="149"/>
      <c r="O870" s="150"/>
      <c r="P870" s="150"/>
      <c r="Q870" s="149"/>
      <c r="R870" s="149"/>
      <c r="S870" s="149"/>
      <c r="T870" s="150"/>
      <c r="U870" s="150"/>
      <c r="V870" s="150"/>
      <c r="W870" s="150"/>
      <c r="X870" s="150"/>
      <c r="Y870" s="150"/>
      <c r="Z870" s="150"/>
      <c r="AA870" s="150"/>
      <c r="AB870" s="150"/>
      <c r="AC870" s="149"/>
      <c r="AD870" s="149"/>
      <c r="AE870" s="149"/>
      <c r="AF870" s="150"/>
      <c r="AG870" s="150"/>
      <c r="AH870" s="149"/>
      <c r="AI870" s="149"/>
      <c r="AJ870" s="149"/>
      <c r="AK870" s="150"/>
      <c r="AL870" s="150"/>
      <c r="AM870" s="149"/>
      <c r="AN870" s="149"/>
      <c r="AO870" s="149"/>
      <c r="AP870" s="150"/>
      <c r="AQ870" s="150"/>
      <c r="AR870" s="150"/>
      <c r="AS870" s="150"/>
      <c r="AT870" s="150"/>
      <c r="AU870" s="150"/>
      <c r="AV870" s="150"/>
      <c r="AW870" s="150"/>
      <c r="AX870" s="150"/>
      <c r="AY870" s="151"/>
      <c r="AZ870" s="151"/>
      <c r="BA870" s="151"/>
      <c r="BB870" s="151"/>
      <c r="BC870" s="151"/>
      <c r="BD870" s="151"/>
      <c r="BE870" s="151"/>
      <c r="BF870" s="151"/>
      <c r="BG870" s="151"/>
      <c r="BH870" s="151"/>
      <c r="BI870" s="151"/>
    </row>
    <row r="871" spans="1:61" x14ac:dyDescent="0.25">
      <c r="A871" s="149"/>
      <c r="B871" s="149"/>
      <c r="C871" s="149"/>
      <c r="D871" s="149"/>
      <c r="E871" s="150"/>
      <c r="F871" s="150"/>
      <c r="G871" s="149"/>
      <c r="H871" s="149"/>
      <c r="I871" s="149"/>
      <c r="J871" s="150"/>
      <c r="K871" s="150"/>
      <c r="L871" s="149"/>
      <c r="M871" s="149"/>
      <c r="N871" s="149"/>
      <c r="O871" s="150"/>
      <c r="P871" s="150"/>
      <c r="Q871" s="149"/>
      <c r="R871" s="149"/>
      <c r="S871" s="149"/>
      <c r="T871" s="150"/>
      <c r="U871" s="150"/>
      <c r="V871" s="150"/>
      <c r="W871" s="150"/>
      <c r="X871" s="150"/>
      <c r="Y871" s="150"/>
      <c r="Z871" s="150"/>
      <c r="AA871" s="150"/>
      <c r="AB871" s="150"/>
      <c r="AC871" s="149"/>
      <c r="AD871" s="149"/>
      <c r="AE871" s="149"/>
      <c r="AF871" s="150"/>
      <c r="AG871" s="150"/>
      <c r="AH871" s="149"/>
      <c r="AI871" s="149"/>
      <c r="AJ871" s="149"/>
      <c r="AK871" s="150"/>
      <c r="AL871" s="150"/>
      <c r="AM871" s="149"/>
      <c r="AN871" s="149"/>
      <c r="AO871" s="149"/>
      <c r="AP871" s="150"/>
      <c r="AQ871" s="150"/>
      <c r="AR871" s="150"/>
      <c r="AS871" s="150"/>
      <c r="AT871" s="150"/>
      <c r="AU871" s="150"/>
      <c r="AV871" s="150"/>
      <c r="AW871" s="150"/>
      <c r="AX871" s="150"/>
      <c r="AY871" s="151"/>
      <c r="AZ871" s="151"/>
      <c r="BA871" s="151"/>
      <c r="BB871" s="151"/>
      <c r="BC871" s="151"/>
      <c r="BD871" s="151"/>
      <c r="BE871" s="151"/>
      <c r="BF871" s="151"/>
      <c r="BG871" s="151"/>
      <c r="BH871" s="151"/>
      <c r="BI871" s="151"/>
    </row>
    <row r="872" spans="1:61" x14ac:dyDescent="0.25">
      <c r="A872" s="149"/>
      <c r="B872" s="149"/>
      <c r="C872" s="149"/>
      <c r="D872" s="149"/>
      <c r="E872" s="150"/>
      <c r="F872" s="150"/>
      <c r="G872" s="149"/>
      <c r="H872" s="149"/>
      <c r="I872" s="149"/>
      <c r="J872" s="150"/>
      <c r="K872" s="150"/>
      <c r="L872" s="149"/>
      <c r="M872" s="149"/>
      <c r="N872" s="149"/>
      <c r="O872" s="150"/>
      <c r="P872" s="150"/>
      <c r="Q872" s="149"/>
      <c r="R872" s="149"/>
      <c r="S872" s="149"/>
      <c r="T872" s="150"/>
      <c r="U872" s="150"/>
      <c r="V872" s="150"/>
      <c r="W872" s="150"/>
      <c r="X872" s="150"/>
      <c r="Y872" s="150"/>
      <c r="Z872" s="150"/>
      <c r="AA872" s="150"/>
      <c r="AB872" s="150"/>
      <c r="AC872" s="149"/>
      <c r="AD872" s="149"/>
      <c r="AE872" s="149"/>
      <c r="AF872" s="150"/>
      <c r="AG872" s="150"/>
      <c r="AH872" s="149"/>
      <c r="AI872" s="149"/>
      <c r="AJ872" s="149"/>
      <c r="AK872" s="150"/>
      <c r="AL872" s="150"/>
      <c r="AM872" s="149"/>
      <c r="AN872" s="149"/>
      <c r="AO872" s="149"/>
      <c r="AP872" s="150"/>
      <c r="AQ872" s="150"/>
      <c r="AR872" s="150"/>
      <c r="AS872" s="150"/>
      <c r="AT872" s="150"/>
      <c r="AU872" s="150"/>
      <c r="AV872" s="150"/>
      <c r="AW872" s="150"/>
      <c r="AX872" s="150"/>
      <c r="AY872" s="151"/>
      <c r="AZ872" s="151"/>
      <c r="BA872" s="151"/>
      <c r="BB872" s="151"/>
      <c r="BC872" s="151"/>
      <c r="BD872" s="151"/>
      <c r="BE872" s="151"/>
      <c r="BF872" s="151"/>
      <c r="BG872" s="151"/>
      <c r="BH872" s="151"/>
      <c r="BI872" s="151"/>
    </row>
    <row r="873" spans="1:61" x14ac:dyDescent="0.25">
      <c r="A873" s="149"/>
      <c r="B873" s="149"/>
      <c r="C873" s="149"/>
      <c r="D873" s="149"/>
      <c r="E873" s="150"/>
      <c r="F873" s="150"/>
      <c r="G873" s="149"/>
      <c r="H873" s="149"/>
      <c r="I873" s="149"/>
      <c r="J873" s="150"/>
      <c r="K873" s="150"/>
      <c r="L873" s="149"/>
      <c r="M873" s="149"/>
      <c r="N873" s="149"/>
      <c r="O873" s="150"/>
      <c r="P873" s="150"/>
      <c r="Q873" s="149"/>
      <c r="R873" s="149"/>
      <c r="S873" s="149"/>
      <c r="T873" s="150"/>
      <c r="U873" s="150"/>
      <c r="V873" s="150"/>
      <c r="W873" s="150"/>
      <c r="X873" s="150"/>
      <c r="Y873" s="150"/>
      <c r="Z873" s="150"/>
      <c r="AA873" s="150"/>
      <c r="AB873" s="150"/>
      <c r="AC873" s="149"/>
      <c r="AD873" s="149"/>
      <c r="AE873" s="149"/>
      <c r="AF873" s="150"/>
      <c r="AG873" s="150"/>
      <c r="AH873" s="149"/>
      <c r="AI873" s="149"/>
      <c r="AJ873" s="149"/>
      <c r="AK873" s="150"/>
      <c r="AL873" s="150"/>
      <c r="AM873" s="149"/>
      <c r="AN873" s="149"/>
      <c r="AO873" s="149"/>
      <c r="AP873" s="150"/>
      <c r="AQ873" s="150"/>
      <c r="AR873" s="150"/>
      <c r="AS873" s="150"/>
      <c r="AT873" s="150"/>
      <c r="AU873" s="150"/>
      <c r="AV873" s="150"/>
      <c r="AW873" s="150"/>
      <c r="AX873" s="150"/>
      <c r="AY873" s="151"/>
      <c r="AZ873" s="151"/>
      <c r="BA873" s="151"/>
      <c r="BB873" s="151"/>
      <c r="BC873" s="151"/>
      <c r="BD873" s="151"/>
      <c r="BE873" s="151"/>
      <c r="BF873" s="151"/>
      <c r="BG873" s="151"/>
      <c r="BH873" s="151"/>
      <c r="BI873" s="151"/>
    </row>
    <row r="874" spans="1:61" x14ac:dyDescent="0.25">
      <c r="A874" s="149"/>
      <c r="B874" s="149"/>
      <c r="C874" s="149"/>
      <c r="D874" s="149"/>
      <c r="E874" s="150"/>
      <c r="F874" s="150"/>
      <c r="G874" s="149"/>
      <c r="H874" s="149"/>
      <c r="I874" s="149"/>
      <c r="J874" s="150"/>
      <c r="K874" s="150"/>
      <c r="L874" s="149"/>
      <c r="M874" s="149"/>
      <c r="N874" s="149"/>
      <c r="O874" s="150"/>
      <c r="P874" s="150"/>
      <c r="Q874" s="149"/>
      <c r="R874" s="149"/>
      <c r="S874" s="149"/>
      <c r="T874" s="150"/>
      <c r="U874" s="150"/>
      <c r="V874" s="150"/>
      <c r="W874" s="150"/>
      <c r="X874" s="150"/>
      <c r="Y874" s="150"/>
      <c r="Z874" s="150"/>
      <c r="AA874" s="150"/>
      <c r="AB874" s="150"/>
      <c r="AC874" s="149"/>
      <c r="AD874" s="149"/>
      <c r="AE874" s="149"/>
      <c r="AF874" s="150"/>
      <c r="AG874" s="150"/>
      <c r="AH874" s="149"/>
      <c r="AI874" s="149"/>
      <c r="AJ874" s="149"/>
      <c r="AK874" s="150"/>
      <c r="AL874" s="150"/>
      <c r="AM874" s="149"/>
      <c r="AN874" s="149"/>
      <c r="AO874" s="149"/>
      <c r="AP874" s="150"/>
      <c r="AQ874" s="150"/>
      <c r="AR874" s="150"/>
      <c r="AS874" s="150"/>
      <c r="AT874" s="150"/>
      <c r="AU874" s="150"/>
      <c r="AV874" s="150"/>
      <c r="AW874" s="150"/>
      <c r="AX874" s="150"/>
      <c r="AY874" s="151"/>
      <c r="AZ874" s="151"/>
      <c r="BA874" s="151"/>
      <c r="BB874" s="151"/>
      <c r="BC874" s="151"/>
      <c r="BD874" s="151"/>
      <c r="BE874" s="151"/>
      <c r="BF874" s="151"/>
      <c r="BG874" s="151"/>
      <c r="BH874" s="151"/>
      <c r="BI874" s="151"/>
    </row>
    <row r="875" spans="1:61" x14ac:dyDescent="0.25">
      <c r="A875" s="149"/>
      <c r="B875" s="149"/>
      <c r="C875" s="149"/>
      <c r="D875" s="149"/>
      <c r="E875" s="150"/>
      <c r="F875" s="150"/>
      <c r="G875" s="149"/>
      <c r="H875" s="149"/>
      <c r="I875" s="149"/>
      <c r="J875" s="150"/>
      <c r="K875" s="150"/>
      <c r="L875" s="149"/>
      <c r="M875" s="149"/>
      <c r="N875" s="149"/>
      <c r="O875" s="150"/>
      <c r="P875" s="150"/>
      <c r="Q875" s="149"/>
      <c r="R875" s="149"/>
      <c r="S875" s="149"/>
      <c r="T875" s="150"/>
      <c r="U875" s="150"/>
      <c r="V875" s="150"/>
      <c r="W875" s="150"/>
      <c r="X875" s="150"/>
      <c r="Y875" s="150"/>
      <c r="Z875" s="150"/>
      <c r="AA875" s="150"/>
      <c r="AB875" s="150"/>
      <c r="AC875" s="149"/>
      <c r="AD875" s="149"/>
      <c r="AE875" s="149"/>
      <c r="AF875" s="150"/>
      <c r="AG875" s="150"/>
      <c r="AH875" s="149"/>
      <c r="AI875" s="149"/>
      <c r="AJ875" s="149"/>
      <c r="AK875" s="150"/>
      <c r="AL875" s="150"/>
      <c r="AM875" s="149"/>
      <c r="AN875" s="149"/>
      <c r="AO875" s="149"/>
      <c r="AP875" s="150"/>
      <c r="AQ875" s="150"/>
      <c r="AR875" s="150"/>
      <c r="AS875" s="150"/>
      <c r="AT875" s="150"/>
      <c r="AU875" s="150"/>
      <c r="AV875" s="150"/>
      <c r="AW875" s="150"/>
      <c r="AX875" s="150"/>
      <c r="AY875" s="151"/>
      <c r="AZ875" s="151"/>
      <c r="BA875" s="151"/>
      <c r="BB875" s="151"/>
      <c r="BC875" s="151"/>
      <c r="BD875" s="151"/>
      <c r="BE875" s="151"/>
      <c r="BF875" s="151"/>
      <c r="BG875" s="151"/>
      <c r="BH875" s="151"/>
      <c r="BI875" s="151"/>
    </row>
    <row r="876" spans="1:61" x14ac:dyDescent="0.25">
      <c r="A876" s="149"/>
      <c r="B876" s="149"/>
      <c r="C876" s="149"/>
      <c r="D876" s="149"/>
      <c r="E876" s="150"/>
      <c r="F876" s="150"/>
      <c r="G876" s="149"/>
      <c r="H876" s="149"/>
      <c r="I876" s="149"/>
      <c r="J876" s="150"/>
      <c r="K876" s="150"/>
      <c r="L876" s="149"/>
      <c r="M876" s="149"/>
      <c r="N876" s="149"/>
      <c r="O876" s="150"/>
      <c r="P876" s="150"/>
      <c r="Q876" s="149"/>
      <c r="R876" s="149"/>
      <c r="S876" s="149"/>
      <c r="T876" s="150"/>
      <c r="U876" s="150"/>
      <c r="V876" s="150"/>
      <c r="W876" s="150"/>
      <c r="X876" s="150"/>
      <c r="Y876" s="150"/>
      <c r="Z876" s="150"/>
      <c r="AA876" s="150"/>
      <c r="AB876" s="150"/>
      <c r="AC876" s="149"/>
      <c r="AD876" s="149"/>
      <c r="AE876" s="149"/>
      <c r="AF876" s="150"/>
      <c r="AG876" s="150"/>
      <c r="AH876" s="149"/>
      <c r="AI876" s="149"/>
      <c r="AJ876" s="149"/>
      <c r="AK876" s="150"/>
      <c r="AL876" s="150"/>
      <c r="AM876" s="149"/>
      <c r="AN876" s="149"/>
      <c r="AO876" s="149"/>
      <c r="AP876" s="150"/>
      <c r="AQ876" s="150"/>
      <c r="AR876" s="150"/>
      <c r="AS876" s="150"/>
      <c r="AT876" s="150"/>
      <c r="AU876" s="150"/>
      <c r="AV876" s="150"/>
      <c r="AW876" s="150"/>
      <c r="AX876" s="150"/>
      <c r="AY876" s="151"/>
      <c r="AZ876" s="151"/>
      <c r="BA876" s="151"/>
      <c r="BB876" s="151"/>
      <c r="BC876" s="151"/>
      <c r="BD876" s="151"/>
      <c r="BE876" s="151"/>
      <c r="BF876" s="151"/>
      <c r="BG876" s="151"/>
      <c r="BH876" s="151"/>
      <c r="BI876" s="151"/>
    </row>
    <row r="877" spans="1:61" x14ac:dyDescent="0.25">
      <c r="A877" s="149"/>
      <c r="B877" s="149"/>
      <c r="C877" s="149"/>
      <c r="D877" s="149"/>
      <c r="E877" s="150"/>
      <c r="F877" s="150"/>
      <c r="G877" s="149"/>
      <c r="H877" s="149"/>
      <c r="I877" s="149"/>
      <c r="J877" s="150"/>
      <c r="K877" s="150"/>
      <c r="L877" s="149"/>
      <c r="M877" s="149"/>
      <c r="N877" s="149"/>
      <c r="O877" s="150"/>
      <c r="P877" s="150"/>
      <c r="Q877" s="149"/>
      <c r="R877" s="149"/>
      <c r="S877" s="149"/>
      <c r="T877" s="150"/>
      <c r="U877" s="150"/>
      <c r="V877" s="150"/>
      <c r="W877" s="150"/>
      <c r="X877" s="150"/>
      <c r="Y877" s="150"/>
      <c r="Z877" s="150"/>
      <c r="AA877" s="150"/>
      <c r="AB877" s="150"/>
      <c r="AC877" s="149"/>
      <c r="AD877" s="149"/>
      <c r="AE877" s="149"/>
      <c r="AF877" s="150"/>
      <c r="AG877" s="150"/>
      <c r="AH877" s="149"/>
      <c r="AI877" s="149"/>
      <c r="AJ877" s="149"/>
      <c r="AK877" s="150"/>
      <c r="AL877" s="150"/>
      <c r="AM877" s="149"/>
      <c r="AN877" s="149"/>
      <c r="AO877" s="149"/>
      <c r="AP877" s="150"/>
      <c r="AQ877" s="150"/>
      <c r="AR877" s="150"/>
      <c r="AS877" s="150"/>
      <c r="AT877" s="150"/>
      <c r="AU877" s="150"/>
      <c r="AV877" s="150"/>
      <c r="AW877" s="150"/>
      <c r="AX877" s="150"/>
      <c r="AY877" s="151"/>
      <c r="AZ877" s="151"/>
      <c r="BA877" s="151"/>
      <c r="BB877" s="151"/>
      <c r="BC877" s="151"/>
      <c r="BD877" s="151"/>
      <c r="BE877" s="151"/>
      <c r="BF877" s="151"/>
      <c r="BG877" s="151"/>
      <c r="BH877" s="151"/>
      <c r="BI877" s="151"/>
    </row>
    <row r="878" spans="1:61" x14ac:dyDescent="0.25">
      <c r="A878" s="149"/>
      <c r="B878" s="149"/>
      <c r="C878" s="149"/>
      <c r="D878" s="149"/>
      <c r="E878" s="150"/>
      <c r="F878" s="150"/>
      <c r="G878" s="149"/>
      <c r="H878" s="149"/>
      <c r="I878" s="149"/>
      <c r="J878" s="150"/>
      <c r="K878" s="150"/>
      <c r="L878" s="149"/>
      <c r="M878" s="149"/>
      <c r="N878" s="149"/>
      <c r="O878" s="150"/>
      <c r="P878" s="150"/>
      <c r="Q878" s="149"/>
      <c r="R878" s="149"/>
      <c r="S878" s="149"/>
      <c r="T878" s="150"/>
      <c r="U878" s="150"/>
      <c r="V878" s="150"/>
      <c r="W878" s="150"/>
      <c r="X878" s="150"/>
      <c r="Y878" s="150"/>
      <c r="Z878" s="150"/>
      <c r="AA878" s="150"/>
      <c r="AB878" s="150"/>
      <c r="AC878" s="149"/>
      <c r="AD878" s="149"/>
      <c r="AE878" s="149"/>
      <c r="AF878" s="150"/>
      <c r="AG878" s="150"/>
      <c r="AH878" s="149"/>
      <c r="AI878" s="149"/>
      <c r="AJ878" s="149"/>
      <c r="AK878" s="150"/>
      <c r="AL878" s="150"/>
      <c r="AM878" s="149"/>
      <c r="AN878" s="149"/>
      <c r="AO878" s="149"/>
      <c r="AP878" s="150"/>
      <c r="AQ878" s="150"/>
      <c r="AR878" s="150"/>
      <c r="AS878" s="150"/>
      <c r="AT878" s="150"/>
      <c r="AU878" s="150"/>
      <c r="AV878" s="150"/>
      <c r="AW878" s="150"/>
      <c r="AX878" s="150"/>
      <c r="AY878" s="151"/>
      <c r="AZ878" s="151"/>
      <c r="BA878" s="151"/>
      <c r="BB878" s="151"/>
      <c r="BC878" s="151"/>
      <c r="BD878" s="151"/>
      <c r="BE878" s="151"/>
      <c r="BF878" s="151"/>
      <c r="BG878" s="151"/>
      <c r="BH878" s="151"/>
      <c r="BI878" s="151"/>
    </row>
    <row r="879" spans="1:61" x14ac:dyDescent="0.25">
      <c r="A879" s="149"/>
      <c r="B879" s="149"/>
      <c r="C879" s="149"/>
      <c r="D879" s="149"/>
      <c r="E879" s="150"/>
      <c r="F879" s="150"/>
      <c r="G879" s="149"/>
      <c r="H879" s="149"/>
      <c r="I879" s="149"/>
      <c r="J879" s="150"/>
      <c r="K879" s="150"/>
      <c r="L879" s="149"/>
      <c r="M879" s="149"/>
      <c r="N879" s="149"/>
      <c r="O879" s="150"/>
      <c r="P879" s="150"/>
      <c r="Q879" s="149"/>
      <c r="R879" s="149"/>
      <c r="S879" s="149"/>
      <c r="T879" s="150"/>
      <c r="U879" s="150"/>
      <c r="V879" s="150"/>
      <c r="W879" s="150"/>
      <c r="X879" s="150"/>
      <c r="Y879" s="150"/>
      <c r="Z879" s="150"/>
      <c r="AA879" s="150"/>
      <c r="AB879" s="150"/>
      <c r="AC879" s="149"/>
      <c r="AD879" s="149"/>
      <c r="AE879" s="149"/>
      <c r="AF879" s="150"/>
      <c r="AG879" s="150"/>
      <c r="AH879" s="149"/>
      <c r="AI879" s="149"/>
      <c r="AJ879" s="149"/>
      <c r="AK879" s="150"/>
      <c r="AL879" s="150"/>
      <c r="AM879" s="149"/>
      <c r="AN879" s="149"/>
      <c r="AO879" s="149"/>
      <c r="AP879" s="150"/>
      <c r="AQ879" s="150"/>
      <c r="AR879" s="150"/>
      <c r="AS879" s="150"/>
      <c r="AT879" s="150"/>
      <c r="AU879" s="150"/>
      <c r="AV879" s="150"/>
      <c r="AW879" s="150"/>
      <c r="AX879" s="150"/>
      <c r="AY879" s="151"/>
      <c r="AZ879" s="151"/>
      <c r="BA879" s="151"/>
      <c r="BB879" s="151"/>
      <c r="BC879" s="151"/>
      <c r="BD879" s="151"/>
      <c r="BE879" s="151"/>
      <c r="BF879" s="151"/>
      <c r="BG879" s="151"/>
      <c r="BH879" s="151"/>
      <c r="BI879" s="151"/>
    </row>
    <row r="880" spans="1:61" x14ac:dyDescent="0.25">
      <c r="A880" s="149"/>
      <c r="B880" s="149"/>
      <c r="C880" s="149"/>
      <c r="D880" s="149"/>
      <c r="E880" s="150"/>
      <c r="F880" s="150"/>
      <c r="G880" s="149"/>
      <c r="H880" s="149"/>
      <c r="I880" s="149"/>
      <c r="J880" s="150"/>
      <c r="K880" s="150"/>
      <c r="L880" s="149"/>
      <c r="M880" s="149"/>
      <c r="N880" s="149"/>
      <c r="O880" s="150"/>
      <c r="P880" s="150"/>
      <c r="Q880" s="149"/>
      <c r="R880" s="149"/>
      <c r="S880" s="149"/>
      <c r="T880" s="150"/>
      <c r="U880" s="150"/>
      <c r="V880" s="150"/>
      <c r="W880" s="150"/>
      <c r="X880" s="150"/>
      <c r="Y880" s="150"/>
      <c r="Z880" s="150"/>
      <c r="AA880" s="150"/>
      <c r="AB880" s="150"/>
      <c r="AC880" s="149"/>
      <c r="AD880" s="149"/>
      <c r="AE880" s="149"/>
      <c r="AF880" s="150"/>
      <c r="AG880" s="150"/>
      <c r="AH880" s="149"/>
      <c r="AI880" s="149"/>
      <c r="AJ880" s="149"/>
      <c r="AK880" s="150"/>
      <c r="AL880" s="150"/>
      <c r="AM880" s="149"/>
      <c r="AN880" s="149"/>
      <c r="AO880" s="149"/>
      <c r="AP880" s="150"/>
      <c r="AQ880" s="150"/>
      <c r="AR880" s="150"/>
      <c r="AS880" s="150"/>
      <c r="AT880" s="150"/>
      <c r="AU880" s="150"/>
      <c r="AV880" s="150"/>
      <c r="AW880" s="150"/>
      <c r="AX880" s="150"/>
      <c r="AY880" s="151"/>
      <c r="AZ880" s="151"/>
      <c r="BA880" s="151"/>
      <c r="BB880" s="151"/>
      <c r="BC880" s="151"/>
      <c r="BD880" s="151"/>
      <c r="BE880" s="151"/>
      <c r="BF880" s="151"/>
      <c r="BG880" s="151"/>
      <c r="BH880" s="151"/>
      <c r="BI880" s="151"/>
    </row>
    <row r="881" spans="1:61" x14ac:dyDescent="0.25">
      <c r="A881" s="149"/>
      <c r="B881" s="149"/>
      <c r="C881" s="149"/>
      <c r="D881" s="149"/>
      <c r="E881" s="150"/>
      <c r="F881" s="150"/>
      <c r="G881" s="149"/>
      <c r="H881" s="149"/>
      <c r="I881" s="149"/>
      <c r="J881" s="150"/>
      <c r="K881" s="150"/>
      <c r="L881" s="149"/>
      <c r="M881" s="149"/>
      <c r="N881" s="149"/>
      <c r="O881" s="150"/>
      <c r="P881" s="150"/>
      <c r="Q881" s="149"/>
      <c r="R881" s="149"/>
      <c r="S881" s="149"/>
      <c r="T881" s="150"/>
      <c r="U881" s="150"/>
      <c r="V881" s="150"/>
      <c r="W881" s="150"/>
      <c r="X881" s="150"/>
      <c r="Y881" s="150"/>
      <c r="Z881" s="150"/>
      <c r="AA881" s="150"/>
      <c r="AB881" s="150"/>
      <c r="AC881" s="149"/>
      <c r="AD881" s="149"/>
      <c r="AE881" s="149"/>
      <c r="AF881" s="150"/>
      <c r="AG881" s="150"/>
      <c r="AH881" s="149"/>
      <c r="AI881" s="149"/>
      <c r="AJ881" s="149"/>
      <c r="AK881" s="150"/>
      <c r="AL881" s="150"/>
      <c r="AM881" s="149"/>
      <c r="AN881" s="149"/>
      <c r="AO881" s="149"/>
      <c r="AP881" s="150"/>
      <c r="AQ881" s="150"/>
      <c r="AR881" s="150"/>
      <c r="AS881" s="150"/>
      <c r="AT881" s="150"/>
      <c r="AU881" s="150"/>
      <c r="AV881" s="150"/>
      <c r="AW881" s="150"/>
      <c r="AX881" s="150"/>
      <c r="AY881" s="151"/>
      <c r="AZ881" s="151"/>
      <c r="BA881" s="151"/>
      <c r="BB881" s="151"/>
      <c r="BC881" s="151"/>
      <c r="BD881" s="151"/>
      <c r="BE881" s="151"/>
      <c r="BF881" s="151"/>
      <c r="BG881" s="151"/>
      <c r="BH881" s="151"/>
      <c r="BI881" s="151"/>
    </row>
    <row r="882" spans="1:61" x14ac:dyDescent="0.25">
      <c r="A882" s="149"/>
      <c r="B882" s="149"/>
      <c r="C882" s="149"/>
      <c r="D882" s="149"/>
      <c r="E882" s="150"/>
      <c r="F882" s="150"/>
      <c r="G882" s="149"/>
      <c r="H882" s="149"/>
      <c r="I882" s="149"/>
      <c r="J882" s="150"/>
      <c r="K882" s="150"/>
      <c r="L882" s="149"/>
      <c r="M882" s="149"/>
      <c r="N882" s="149"/>
      <c r="O882" s="150"/>
      <c r="P882" s="150"/>
      <c r="Q882" s="149"/>
      <c r="R882" s="149"/>
      <c r="S882" s="149"/>
      <c r="T882" s="150"/>
      <c r="U882" s="150"/>
      <c r="V882" s="150"/>
      <c r="W882" s="150"/>
      <c r="X882" s="150"/>
      <c r="Y882" s="150"/>
      <c r="Z882" s="150"/>
      <c r="AA882" s="150"/>
      <c r="AB882" s="150"/>
      <c r="AC882" s="149"/>
      <c r="AD882" s="149"/>
      <c r="AE882" s="149"/>
      <c r="AF882" s="150"/>
      <c r="AG882" s="150"/>
      <c r="AH882" s="149"/>
      <c r="AI882" s="149"/>
      <c r="AJ882" s="149"/>
      <c r="AK882" s="150"/>
      <c r="AL882" s="150"/>
      <c r="AM882" s="149"/>
      <c r="AN882" s="149"/>
      <c r="AO882" s="149"/>
      <c r="AP882" s="150"/>
      <c r="AQ882" s="150"/>
      <c r="AR882" s="150"/>
      <c r="AS882" s="150"/>
      <c r="AT882" s="150"/>
      <c r="AU882" s="150"/>
      <c r="AV882" s="150"/>
      <c r="AW882" s="150"/>
      <c r="AX882" s="150"/>
      <c r="AY882" s="151"/>
      <c r="AZ882" s="151"/>
      <c r="BA882" s="151"/>
      <c r="BB882" s="151"/>
      <c r="BC882" s="151"/>
      <c r="BD882" s="151"/>
      <c r="BE882" s="151"/>
      <c r="BF882" s="151"/>
      <c r="BG882" s="151"/>
      <c r="BH882" s="151"/>
      <c r="BI882" s="151"/>
    </row>
    <row r="883" spans="1:61" x14ac:dyDescent="0.25">
      <c r="A883" s="149"/>
      <c r="B883" s="149"/>
      <c r="C883" s="149"/>
      <c r="D883" s="149"/>
      <c r="E883" s="150"/>
      <c r="F883" s="150"/>
      <c r="G883" s="149"/>
      <c r="H883" s="149"/>
      <c r="I883" s="149"/>
      <c r="J883" s="150"/>
      <c r="K883" s="150"/>
      <c r="L883" s="149"/>
      <c r="M883" s="149"/>
      <c r="N883" s="149"/>
      <c r="O883" s="150"/>
      <c r="P883" s="150"/>
      <c r="Q883" s="149"/>
      <c r="R883" s="149"/>
      <c r="S883" s="149"/>
      <c r="T883" s="150"/>
      <c r="U883" s="150"/>
      <c r="V883" s="150"/>
      <c r="W883" s="150"/>
      <c r="X883" s="150"/>
      <c r="Y883" s="150"/>
      <c r="Z883" s="150"/>
      <c r="AA883" s="150"/>
      <c r="AB883" s="150"/>
      <c r="AC883" s="149"/>
      <c r="AD883" s="149"/>
      <c r="AE883" s="149"/>
      <c r="AF883" s="150"/>
      <c r="AG883" s="150"/>
      <c r="AH883" s="149"/>
      <c r="AI883" s="149"/>
      <c r="AJ883" s="149"/>
      <c r="AK883" s="150"/>
      <c r="AL883" s="150"/>
      <c r="AM883" s="149"/>
      <c r="AN883" s="149"/>
      <c r="AO883" s="149"/>
      <c r="AP883" s="150"/>
      <c r="AQ883" s="150"/>
      <c r="AR883" s="150"/>
      <c r="AS883" s="150"/>
      <c r="AT883" s="150"/>
      <c r="AU883" s="150"/>
      <c r="AV883" s="150"/>
      <c r="AW883" s="150"/>
      <c r="AX883" s="150"/>
      <c r="AY883" s="151"/>
      <c r="AZ883" s="151"/>
      <c r="BA883" s="151"/>
      <c r="BB883" s="151"/>
      <c r="BC883" s="151"/>
      <c r="BD883" s="151"/>
      <c r="BE883" s="151"/>
      <c r="BF883" s="151"/>
      <c r="BG883" s="151"/>
      <c r="BH883" s="151"/>
      <c r="BI883" s="151"/>
    </row>
    <row r="884" spans="1:61" x14ac:dyDescent="0.25">
      <c r="A884" s="149"/>
      <c r="B884" s="149"/>
      <c r="C884" s="149"/>
      <c r="D884" s="149"/>
      <c r="E884" s="150"/>
      <c r="F884" s="150"/>
      <c r="G884" s="149"/>
      <c r="H884" s="149"/>
      <c r="I884" s="149"/>
      <c r="J884" s="150"/>
      <c r="K884" s="150"/>
      <c r="L884" s="149"/>
      <c r="M884" s="149"/>
      <c r="N884" s="149"/>
      <c r="O884" s="150"/>
      <c r="P884" s="150"/>
      <c r="Q884" s="149"/>
      <c r="R884" s="149"/>
      <c r="S884" s="149"/>
      <c r="T884" s="150"/>
      <c r="U884" s="150"/>
      <c r="V884" s="150"/>
      <c r="W884" s="150"/>
      <c r="X884" s="150"/>
      <c r="Y884" s="150"/>
      <c r="Z884" s="150"/>
      <c r="AA884" s="150"/>
      <c r="AB884" s="150"/>
      <c r="AC884" s="149"/>
      <c r="AD884" s="149"/>
      <c r="AE884" s="149"/>
      <c r="AF884" s="150"/>
      <c r="AG884" s="150"/>
      <c r="AH884" s="149"/>
      <c r="AI884" s="149"/>
      <c r="AJ884" s="149"/>
      <c r="AK884" s="150"/>
      <c r="AL884" s="150"/>
      <c r="AM884" s="149"/>
      <c r="AN884" s="149"/>
      <c r="AO884" s="149"/>
      <c r="AP884" s="150"/>
      <c r="AQ884" s="150"/>
      <c r="AR884" s="150"/>
      <c r="AS884" s="150"/>
      <c r="AT884" s="150"/>
      <c r="AU884" s="150"/>
      <c r="AV884" s="150"/>
      <c r="AW884" s="150"/>
      <c r="AX884" s="150"/>
      <c r="AY884" s="151"/>
      <c r="AZ884" s="151"/>
      <c r="BA884" s="151"/>
      <c r="BB884" s="151"/>
      <c r="BC884" s="151"/>
      <c r="BD884" s="151"/>
      <c r="BE884" s="151"/>
      <c r="BF884" s="151"/>
      <c r="BG884" s="151"/>
      <c r="BH884" s="151"/>
      <c r="BI884" s="151"/>
    </row>
    <row r="885" spans="1:61" x14ac:dyDescent="0.25">
      <c r="A885" s="149"/>
      <c r="B885" s="149"/>
      <c r="C885" s="149"/>
      <c r="D885" s="149"/>
      <c r="E885" s="150"/>
      <c r="F885" s="150"/>
      <c r="G885" s="149"/>
      <c r="H885" s="149"/>
      <c r="I885" s="149"/>
      <c r="J885" s="150"/>
      <c r="K885" s="150"/>
      <c r="L885" s="149"/>
      <c r="M885" s="149"/>
      <c r="N885" s="149"/>
      <c r="O885" s="150"/>
      <c r="P885" s="150"/>
      <c r="Q885" s="149"/>
      <c r="R885" s="149"/>
      <c r="S885" s="149"/>
      <c r="T885" s="150"/>
      <c r="U885" s="150"/>
      <c r="V885" s="150"/>
      <c r="W885" s="150"/>
      <c r="X885" s="150"/>
      <c r="Y885" s="150"/>
      <c r="Z885" s="150"/>
      <c r="AA885" s="150"/>
      <c r="AB885" s="150"/>
      <c r="AC885" s="149"/>
      <c r="AD885" s="149"/>
      <c r="AE885" s="149"/>
      <c r="AF885" s="150"/>
      <c r="AG885" s="150"/>
      <c r="AH885" s="149"/>
      <c r="AI885" s="149"/>
      <c r="AJ885" s="149"/>
      <c r="AK885" s="150"/>
      <c r="AL885" s="150"/>
      <c r="AM885" s="149"/>
      <c r="AN885" s="149"/>
      <c r="AO885" s="149"/>
      <c r="AP885" s="150"/>
      <c r="AQ885" s="150"/>
      <c r="AR885" s="150"/>
      <c r="AS885" s="150"/>
      <c r="AT885" s="150"/>
      <c r="AU885" s="150"/>
      <c r="AV885" s="150"/>
      <c r="AW885" s="150"/>
      <c r="AX885" s="150"/>
      <c r="AY885" s="151"/>
      <c r="AZ885" s="151"/>
      <c r="BA885" s="151"/>
      <c r="BB885" s="151"/>
      <c r="BC885" s="151"/>
      <c r="BD885" s="151"/>
      <c r="BE885" s="151"/>
      <c r="BF885" s="151"/>
      <c r="BG885" s="151"/>
      <c r="BH885" s="151"/>
      <c r="BI885" s="151"/>
    </row>
    <row r="886" spans="1:61" x14ac:dyDescent="0.25">
      <c r="A886" s="149"/>
      <c r="B886" s="149"/>
      <c r="C886" s="149"/>
      <c r="D886" s="149"/>
      <c r="E886" s="150"/>
      <c r="F886" s="150"/>
      <c r="G886" s="149"/>
      <c r="H886" s="149"/>
      <c r="I886" s="149"/>
      <c r="J886" s="150"/>
      <c r="K886" s="150"/>
      <c r="L886" s="149"/>
      <c r="M886" s="149"/>
      <c r="N886" s="149"/>
      <c r="O886" s="150"/>
      <c r="P886" s="150"/>
      <c r="Q886" s="149"/>
      <c r="R886" s="149"/>
      <c r="S886" s="149"/>
      <c r="T886" s="150"/>
      <c r="U886" s="150"/>
      <c r="V886" s="150"/>
      <c r="W886" s="150"/>
      <c r="X886" s="150"/>
      <c r="Y886" s="150"/>
      <c r="Z886" s="150"/>
      <c r="AA886" s="150"/>
      <c r="AB886" s="150"/>
      <c r="AC886" s="149"/>
      <c r="AD886" s="149"/>
      <c r="AE886" s="149"/>
      <c r="AF886" s="150"/>
      <c r="AG886" s="150"/>
      <c r="AH886" s="149"/>
      <c r="AI886" s="149"/>
      <c r="AJ886" s="149"/>
      <c r="AK886" s="150"/>
      <c r="AL886" s="150"/>
      <c r="AM886" s="149"/>
      <c r="AN886" s="149"/>
      <c r="AO886" s="149"/>
      <c r="AP886" s="150"/>
      <c r="AQ886" s="150"/>
      <c r="AR886" s="150"/>
      <c r="AS886" s="150"/>
      <c r="AT886" s="150"/>
      <c r="AU886" s="150"/>
      <c r="AV886" s="150"/>
      <c r="AW886" s="150"/>
      <c r="AX886" s="150"/>
      <c r="AY886" s="151"/>
      <c r="AZ886" s="151"/>
      <c r="BA886" s="151"/>
      <c r="BB886" s="151"/>
      <c r="BC886" s="151"/>
      <c r="BD886" s="151"/>
      <c r="BE886" s="151"/>
      <c r="BF886" s="151"/>
      <c r="BG886" s="151"/>
      <c r="BH886" s="151"/>
      <c r="BI886" s="151"/>
    </row>
    <row r="887" spans="1:61" x14ac:dyDescent="0.25">
      <c r="A887" s="149"/>
      <c r="B887" s="149"/>
      <c r="C887" s="149"/>
      <c r="D887" s="149"/>
      <c r="E887" s="150"/>
      <c r="F887" s="150"/>
      <c r="G887" s="149"/>
      <c r="H887" s="149"/>
      <c r="I887" s="149"/>
      <c r="J887" s="150"/>
      <c r="K887" s="150"/>
      <c r="L887" s="149"/>
      <c r="M887" s="149"/>
      <c r="N887" s="149"/>
      <c r="O887" s="150"/>
      <c r="P887" s="150"/>
      <c r="Q887" s="149"/>
      <c r="R887" s="149"/>
      <c r="S887" s="149"/>
      <c r="T887" s="150"/>
      <c r="U887" s="150"/>
      <c r="V887" s="150"/>
      <c r="W887" s="150"/>
      <c r="X887" s="150"/>
      <c r="Y887" s="150"/>
      <c r="Z887" s="150"/>
      <c r="AA887" s="150"/>
      <c r="AB887" s="150"/>
      <c r="AC887" s="149"/>
      <c r="AD887" s="149"/>
      <c r="AE887" s="149"/>
      <c r="AF887" s="150"/>
      <c r="AG887" s="150"/>
      <c r="AH887" s="149"/>
      <c r="AI887" s="149"/>
      <c r="AJ887" s="149"/>
      <c r="AK887" s="150"/>
      <c r="AL887" s="150"/>
      <c r="AM887" s="149"/>
      <c r="AN887" s="149"/>
      <c r="AO887" s="149"/>
      <c r="AP887" s="150"/>
      <c r="AQ887" s="150"/>
      <c r="AR887" s="150"/>
      <c r="AS887" s="150"/>
      <c r="AT887" s="150"/>
      <c r="AU887" s="150"/>
      <c r="AV887" s="150"/>
      <c r="AW887" s="150"/>
      <c r="AX887" s="150"/>
      <c r="AY887" s="151"/>
      <c r="AZ887" s="151"/>
      <c r="BA887" s="151"/>
      <c r="BB887" s="151"/>
      <c r="BC887" s="151"/>
      <c r="BD887" s="151"/>
      <c r="BE887" s="151"/>
      <c r="BF887" s="151"/>
      <c r="BG887" s="151"/>
      <c r="BH887" s="151"/>
      <c r="BI887" s="151"/>
    </row>
    <row r="888" spans="1:61" x14ac:dyDescent="0.25">
      <c r="A888" s="149"/>
      <c r="B888" s="149"/>
      <c r="C888" s="149"/>
      <c r="D888" s="149"/>
      <c r="E888" s="150"/>
      <c r="F888" s="150"/>
      <c r="G888" s="149"/>
      <c r="H888" s="149"/>
      <c r="I888" s="149"/>
      <c r="J888" s="150"/>
      <c r="K888" s="150"/>
      <c r="L888" s="149"/>
      <c r="M888" s="149"/>
      <c r="N888" s="149"/>
      <c r="O888" s="150"/>
      <c r="P888" s="150"/>
      <c r="Q888" s="149"/>
      <c r="R888" s="149"/>
      <c r="S888" s="149"/>
      <c r="T888" s="150"/>
      <c r="U888" s="150"/>
      <c r="V888" s="150"/>
      <c r="W888" s="150"/>
      <c r="X888" s="150"/>
      <c r="Y888" s="150"/>
      <c r="Z888" s="150"/>
      <c r="AA888" s="150"/>
      <c r="AB888" s="150"/>
      <c r="AC888" s="149"/>
      <c r="AD888" s="149"/>
      <c r="AE888" s="149"/>
      <c r="AF888" s="150"/>
      <c r="AG888" s="150"/>
      <c r="AH888" s="149"/>
      <c r="AI888" s="149"/>
      <c r="AJ888" s="149"/>
      <c r="AK888" s="150"/>
      <c r="AL888" s="150"/>
      <c r="AM888" s="149"/>
      <c r="AN888" s="149"/>
      <c r="AO888" s="149"/>
      <c r="AP888" s="150"/>
      <c r="AQ888" s="150"/>
      <c r="AR888" s="150"/>
      <c r="AS888" s="150"/>
      <c r="AT888" s="150"/>
      <c r="AU888" s="150"/>
      <c r="AV888" s="150"/>
      <c r="AW888" s="150"/>
      <c r="AX888" s="150"/>
      <c r="AY888" s="151"/>
      <c r="AZ888" s="151"/>
      <c r="BA888" s="151"/>
      <c r="BB888" s="151"/>
      <c r="BC888" s="151"/>
      <c r="BD888" s="151"/>
      <c r="BE888" s="151"/>
      <c r="BF888" s="151"/>
      <c r="BG888" s="151"/>
      <c r="BH888" s="151"/>
      <c r="BI888" s="151"/>
    </row>
    <row r="889" spans="1:61" x14ac:dyDescent="0.25">
      <c r="A889" s="149"/>
      <c r="B889" s="149"/>
      <c r="C889" s="149"/>
      <c r="D889" s="149"/>
      <c r="E889" s="150"/>
      <c r="F889" s="150"/>
      <c r="G889" s="149"/>
      <c r="H889" s="149"/>
      <c r="I889" s="149"/>
      <c r="J889" s="150"/>
      <c r="K889" s="150"/>
      <c r="L889" s="149"/>
      <c r="M889" s="149"/>
      <c r="N889" s="149"/>
      <c r="O889" s="150"/>
      <c r="P889" s="150"/>
      <c r="Q889" s="149"/>
      <c r="R889" s="149"/>
      <c r="S889" s="149"/>
      <c r="T889" s="150"/>
      <c r="U889" s="150"/>
      <c r="V889" s="150"/>
      <c r="W889" s="150"/>
      <c r="X889" s="150"/>
      <c r="Y889" s="150"/>
      <c r="Z889" s="150"/>
      <c r="AA889" s="150"/>
      <c r="AB889" s="150"/>
      <c r="AC889" s="149"/>
      <c r="AD889" s="149"/>
      <c r="AE889" s="149"/>
      <c r="AF889" s="150"/>
      <c r="AG889" s="150"/>
      <c r="AH889" s="149"/>
      <c r="AI889" s="149"/>
      <c r="AJ889" s="149"/>
      <c r="AK889" s="150"/>
      <c r="AL889" s="150"/>
      <c r="AM889" s="149"/>
      <c r="AN889" s="149"/>
      <c r="AO889" s="149"/>
      <c r="AP889" s="150"/>
      <c r="AQ889" s="150"/>
      <c r="AR889" s="150"/>
      <c r="AS889" s="150"/>
      <c r="AT889" s="150"/>
      <c r="AU889" s="150"/>
      <c r="AV889" s="150"/>
      <c r="AW889" s="150"/>
      <c r="AX889" s="150"/>
      <c r="AY889" s="151"/>
      <c r="AZ889" s="151"/>
      <c r="BA889" s="151"/>
      <c r="BB889" s="151"/>
      <c r="BC889" s="151"/>
      <c r="BD889" s="151"/>
      <c r="BE889" s="151"/>
      <c r="BF889" s="151"/>
      <c r="BG889" s="151"/>
      <c r="BH889" s="151"/>
      <c r="BI889" s="151"/>
    </row>
    <row r="890" spans="1:61" x14ac:dyDescent="0.25">
      <c r="A890" s="149"/>
      <c r="B890" s="149"/>
      <c r="C890" s="149"/>
      <c r="D890" s="149"/>
      <c r="E890" s="150"/>
      <c r="F890" s="150"/>
      <c r="G890" s="149"/>
      <c r="H890" s="149"/>
      <c r="I890" s="149"/>
      <c r="J890" s="150"/>
      <c r="K890" s="150"/>
      <c r="L890" s="149"/>
      <c r="M890" s="149"/>
      <c r="N890" s="149"/>
      <c r="O890" s="150"/>
      <c r="P890" s="150"/>
      <c r="Q890" s="149"/>
      <c r="R890" s="149"/>
      <c r="S890" s="149"/>
      <c r="T890" s="150"/>
      <c r="U890" s="150"/>
      <c r="V890" s="150"/>
      <c r="W890" s="150"/>
      <c r="X890" s="150"/>
      <c r="Y890" s="150"/>
      <c r="Z890" s="150"/>
      <c r="AA890" s="150"/>
      <c r="AB890" s="150"/>
      <c r="AC890" s="149"/>
      <c r="AD890" s="149"/>
      <c r="AE890" s="149"/>
      <c r="AF890" s="150"/>
      <c r="AG890" s="150"/>
      <c r="AH890" s="149"/>
      <c r="AI890" s="149"/>
      <c r="AJ890" s="149"/>
      <c r="AK890" s="150"/>
      <c r="AL890" s="150"/>
      <c r="AM890" s="149"/>
      <c r="AN890" s="149"/>
      <c r="AO890" s="149"/>
      <c r="AP890" s="150"/>
      <c r="AQ890" s="150"/>
      <c r="AR890" s="150"/>
      <c r="AS890" s="150"/>
      <c r="AT890" s="150"/>
      <c r="AU890" s="150"/>
      <c r="AV890" s="150"/>
      <c r="AW890" s="150"/>
      <c r="AX890" s="150"/>
      <c r="AY890" s="151"/>
      <c r="AZ890" s="151"/>
      <c r="BA890" s="151"/>
      <c r="BB890" s="151"/>
      <c r="BC890" s="151"/>
      <c r="BD890" s="151"/>
      <c r="BE890" s="151"/>
      <c r="BF890" s="151"/>
      <c r="BG890" s="151"/>
      <c r="BH890" s="151"/>
      <c r="BI890" s="151"/>
    </row>
    <row r="891" spans="1:61" x14ac:dyDescent="0.25">
      <c r="A891" s="149"/>
      <c r="B891" s="149"/>
      <c r="C891" s="149"/>
      <c r="D891" s="149"/>
      <c r="E891" s="150"/>
      <c r="F891" s="150"/>
      <c r="G891" s="149"/>
      <c r="H891" s="149"/>
      <c r="I891" s="149"/>
      <c r="J891" s="150"/>
      <c r="K891" s="150"/>
      <c r="L891" s="149"/>
      <c r="M891" s="149"/>
      <c r="N891" s="149"/>
      <c r="O891" s="150"/>
      <c r="P891" s="150"/>
      <c r="Q891" s="149"/>
      <c r="R891" s="149"/>
      <c r="S891" s="149"/>
      <c r="T891" s="150"/>
      <c r="U891" s="150"/>
      <c r="V891" s="150"/>
      <c r="W891" s="150"/>
      <c r="X891" s="150"/>
      <c r="Y891" s="150"/>
      <c r="Z891" s="150"/>
      <c r="AA891" s="150"/>
      <c r="AB891" s="150"/>
      <c r="AC891" s="149"/>
      <c r="AD891" s="149"/>
      <c r="AE891" s="149"/>
      <c r="AF891" s="150"/>
      <c r="AG891" s="150"/>
      <c r="AH891" s="149"/>
      <c r="AI891" s="149"/>
      <c r="AJ891" s="149"/>
      <c r="AK891" s="150"/>
      <c r="AL891" s="150"/>
      <c r="AM891" s="149"/>
      <c r="AN891" s="149"/>
      <c r="AO891" s="149"/>
      <c r="AP891" s="150"/>
      <c r="AQ891" s="150"/>
      <c r="AR891" s="150"/>
      <c r="AS891" s="150"/>
      <c r="AT891" s="150"/>
      <c r="AU891" s="150"/>
      <c r="AV891" s="150"/>
      <c r="AW891" s="150"/>
      <c r="AX891" s="150"/>
      <c r="AY891" s="151"/>
      <c r="AZ891" s="151"/>
      <c r="BA891" s="151"/>
      <c r="BB891" s="151"/>
      <c r="BC891" s="151"/>
      <c r="BD891" s="151"/>
      <c r="BE891" s="151"/>
      <c r="BF891" s="151"/>
      <c r="BG891" s="151"/>
      <c r="BH891" s="151"/>
      <c r="BI891" s="151"/>
    </row>
    <row r="892" spans="1:61" x14ac:dyDescent="0.25">
      <c r="A892" s="149"/>
      <c r="B892" s="149"/>
      <c r="C892" s="149"/>
      <c r="D892" s="149"/>
      <c r="E892" s="150"/>
      <c r="F892" s="150"/>
      <c r="G892" s="149"/>
      <c r="H892" s="149"/>
      <c r="I892" s="149"/>
      <c r="J892" s="150"/>
      <c r="K892" s="150"/>
      <c r="L892" s="149"/>
      <c r="M892" s="149"/>
      <c r="N892" s="149"/>
      <c r="O892" s="150"/>
      <c r="P892" s="150"/>
      <c r="Q892" s="149"/>
      <c r="R892" s="149"/>
      <c r="S892" s="149"/>
      <c r="T892" s="150"/>
      <c r="U892" s="150"/>
      <c r="V892" s="150"/>
      <c r="W892" s="150"/>
      <c r="X892" s="150"/>
      <c r="Y892" s="150"/>
      <c r="Z892" s="150"/>
      <c r="AA892" s="150"/>
      <c r="AB892" s="150"/>
      <c r="AC892" s="149"/>
      <c r="AD892" s="149"/>
      <c r="AE892" s="149"/>
      <c r="AF892" s="150"/>
      <c r="AG892" s="150"/>
      <c r="AH892" s="149"/>
      <c r="AI892" s="149"/>
      <c r="AJ892" s="149"/>
      <c r="AK892" s="150"/>
      <c r="AL892" s="150"/>
      <c r="AM892" s="149"/>
      <c r="AN892" s="149"/>
      <c r="AO892" s="149"/>
      <c r="AP892" s="150"/>
      <c r="AQ892" s="150"/>
      <c r="AR892" s="150"/>
      <c r="AS892" s="150"/>
      <c r="AT892" s="150"/>
      <c r="AU892" s="150"/>
      <c r="AV892" s="150"/>
      <c r="AW892" s="150"/>
      <c r="AX892" s="150"/>
      <c r="AY892" s="151"/>
      <c r="AZ892" s="151"/>
      <c r="BA892" s="151"/>
      <c r="BB892" s="151"/>
      <c r="BC892" s="151"/>
      <c r="BD892" s="151"/>
      <c r="BE892" s="151"/>
      <c r="BF892" s="151"/>
      <c r="BG892" s="151"/>
      <c r="BH892" s="151"/>
      <c r="BI892" s="151"/>
    </row>
    <row r="893" spans="1:61" x14ac:dyDescent="0.25">
      <c r="A893" s="149"/>
      <c r="B893" s="149"/>
      <c r="C893" s="149"/>
      <c r="D893" s="149"/>
      <c r="E893" s="150"/>
      <c r="F893" s="150"/>
      <c r="G893" s="149"/>
      <c r="H893" s="149"/>
      <c r="I893" s="149"/>
      <c r="J893" s="150"/>
      <c r="K893" s="150"/>
      <c r="L893" s="149"/>
      <c r="M893" s="149"/>
      <c r="N893" s="149"/>
      <c r="O893" s="150"/>
      <c r="P893" s="150"/>
      <c r="Q893" s="149"/>
      <c r="R893" s="149"/>
      <c r="S893" s="149"/>
      <c r="T893" s="150"/>
      <c r="U893" s="150"/>
      <c r="V893" s="150"/>
      <c r="W893" s="150"/>
      <c r="X893" s="150"/>
      <c r="Y893" s="150"/>
      <c r="Z893" s="150"/>
      <c r="AA893" s="150"/>
      <c r="AB893" s="150"/>
      <c r="AC893" s="149"/>
      <c r="AD893" s="149"/>
      <c r="AE893" s="149"/>
      <c r="AF893" s="150"/>
      <c r="AG893" s="150"/>
      <c r="AH893" s="149"/>
      <c r="AI893" s="149"/>
      <c r="AJ893" s="149"/>
      <c r="AK893" s="150"/>
      <c r="AL893" s="150"/>
      <c r="AM893" s="149"/>
      <c r="AN893" s="149"/>
      <c r="AO893" s="149"/>
      <c r="AP893" s="150"/>
      <c r="AQ893" s="150"/>
      <c r="AR893" s="150"/>
      <c r="AS893" s="150"/>
      <c r="AT893" s="150"/>
      <c r="AU893" s="150"/>
      <c r="AV893" s="150"/>
      <c r="AW893" s="150"/>
      <c r="AX893" s="150"/>
      <c r="AY893" s="151"/>
      <c r="AZ893" s="151"/>
      <c r="BA893" s="151"/>
      <c r="BB893" s="151"/>
      <c r="BC893" s="151"/>
      <c r="BD893" s="151"/>
      <c r="BE893" s="151"/>
      <c r="BF893" s="151"/>
      <c r="BG893" s="151"/>
      <c r="BH893" s="151"/>
      <c r="BI893" s="151"/>
    </row>
    <row r="894" spans="1:61" x14ac:dyDescent="0.25">
      <c r="A894" s="149"/>
      <c r="B894" s="149"/>
      <c r="C894" s="149"/>
      <c r="D894" s="149"/>
      <c r="E894" s="150"/>
      <c r="F894" s="150"/>
      <c r="G894" s="149"/>
      <c r="H894" s="149"/>
      <c r="I894" s="149"/>
      <c r="J894" s="150"/>
      <c r="K894" s="150"/>
      <c r="L894" s="149"/>
      <c r="M894" s="149"/>
      <c r="N894" s="149"/>
      <c r="O894" s="150"/>
      <c r="P894" s="150"/>
      <c r="Q894" s="149"/>
      <c r="R894" s="149"/>
      <c r="S894" s="149"/>
      <c r="T894" s="150"/>
      <c r="U894" s="150"/>
      <c r="V894" s="150"/>
      <c r="W894" s="150"/>
      <c r="X894" s="150"/>
      <c r="Y894" s="150"/>
      <c r="Z894" s="150"/>
      <c r="AA894" s="150"/>
      <c r="AB894" s="150"/>
      <c r="AC894" s="149"/>
      <c r="AD894" s="149"/>
      <c r="AE894" s="149"/>
      <c r="AF894" s="150"/>
      <c r="AG894" s="150"/>
      <c r="AH894" s="149"/>
      <c r="AI894" s="149"/>
      <c r="AJ894" s="149"/>
      <c r="AK894" s="150"/>
      <c r="AL894" s="150"/>
      <c r="AM894" s="149"/>
      <c r="AN894" s="149"/>
      <c r="AO894" s="149"/>
      <c r="AP894" s="150"/>
      <c r="AQ894" s="150"/>
      <c r="AR894" s="150"/>
      <c r="AS894" s="150"/>
      <c r="AT894" s="150"/>
      <c r="AU894" s="150"/>
      <c r="AV894" s="150"/>
      <c r="AW894" s="150"/>
      <c r="AX894" s="150"/>
      <c r="AY894" s="151"/>
      <c r="AZ894" s="151"/>
      <c r="BA894" s="151"/>
      <c r="BB894" s="151"/>
      <c r="BC894" s="151"/>
      <c r="BD894" s="151"/>
      <c r="BE894" s="151"/>
      <c r="BF894" s="151"/>
      <c r="BG894" s="151"/>
      <c r="BH894" s="151"/>
      <c r="BI894" s="151"/>
    </row>
    <row r="895" spans="1:61" x14ac:dyDescent="0.25">
      <c r="A895" s="149"/>
      <c r="B895" s="149"/>
      <c r="C895" s="149"/>
      <c r="D895" s="149"/>
      <c r="E895" s="150"/>
      <c r="F895" s="150"/>
      <c r="G895" s="149"/>
      <c r="H895" s="149"/>
      <c r="I895" s="149"/>
      <c r="J895" s="150"/>
      <c r="K895" s="150"/>
      <c r="L895" s="149"/>
      <c r="M895" s="149"/>
      <c r="N895" s="149"/>
      <c r="O895" s="150"/>
      <c r="P895" s="150"/>
      <c r="Q895" s="149"/>
      <c r="R895" s="149"/>
      <c r="S895" s="149"/>
      <c r="T895" s="150"/>
      <c r="U895" s="150"/>
      <c r="V895" s="150"/>
      <c r="W895" s="150"/>
      <c r="X895" s="150"/>
      <c r="Y895" s="150"/>
      <c r="Z895" s="150"/>
      <c r="AA895" s="150"/>
      <c r="AB895" s="150"/>
      <c r="AC895" s="149"/>
      <c r="AD895" s="149"/>
      <c r="AE895" s="149"/>
      <c r="AF895" s="150"/>
      <c r="AG895" s="150"/>
      <c r="AH895" s="149"/>
      <c r="AI895" s="149"/>
      <c r="AJ895" s="149"/>
      <c r="AK895" s="150"/>
      <c r="AL895" s="150"/>
      <c r="AM895" s="149"/>
      <c r="AN895" s="149"/>
      <c r="AO895" s="149"/>
      <c r="AP895" s="150"/>
      <c r="AQ895" s="150"/>
      <c r="AR895" s="150"/>
      <c r="AS895" s="150"/>
      <c r="AT895" s="150"/>
      <c r="AU895" s="150"/>
      <c r="AV895" s="150"/>
      <c r="AW895" s="150"/>
      <c r="AX895" s="150"/>
      <c r="AY895" s="151"/>
      <c r="AZ895" s="151"/>
      <c r="BA895" s="151"/>
      <c r="BB895" s="151"/>
      <c r="BC895" s="151"/>
      <c r="BD895" s="151"/>
      <c r="BE895" s="151"/>
      <c r="BF895" s="151"/>
      <c r="BG895" s="151"/>
      <c r="BH895" s="151"/>
      <c r="BI895" s="151"/>
    </row>
    <row r="896" spans="1:61" x14ac:dyDescent="0.25">
      <c r="A896" s="149"/>
      <c r="B896" s="149"/>
      <c r="C896" s="149"/>
      <c r="D896" s="149"/>
      <c r="E896" s="150"/>
      <c r="F896" s="150"/>
      <c r="G896" s="149"/>
      <c r="H896" s="149"/>
      <c r="I896" s="149"/>
      <c r="J896" s="150"/>
      <c r="K896" s="150"/>
      <c r="L896" s="149"/>
      <c r="M896" s="149"/>
      <c r="N896" s="149"/>
      <c r="O896" s="150"/>
      <c r="P896" s="150"/>
      <c r="Q896" s="149"/>
      <c r="R896" s="149"/>
      <c r="S896" s="149"/>
      <c r="T896" s="150"/>
      <c r="U896" s="150"/>
      <c r="V896" s="150"/>
      <c r="W896" s="150"/>
      <c r="X896" s="150"/>
      <c r="Y896" s="150"/>
      <c r="Z896" s="150"/>
      <c r="AA896" s="150"/>
      <c r="AB896" s="150"/>
      <c r="AC896" s="149"/>
      <c r="AD896" s="149"/>
      <c r="AE896" s="149"/>
      <c r="AF896" s="150"/>
      <c r="AG896" s="150"/>
      <c r="AH896" s="149"/>
      <c r="AI896" s="149"/>
      <c r="AJ896" s="149"/>
      <c r="AK896" s="150"/>
      <c r="AL896" s="150"/>
      <c r="AM896" s="149"/>
      <c r="AN896" s="149"/>
      <c r="AO896" s="149"/>
      <c r="AP896" s="150"/>
      <c r="AQ896" s="150"/>
      <c r="AR896" s="150"/>
      <c r="AS896" s="150"/>
      <c r="AT896" s="150"/>
      <c r="AU896" s="150"/>
      <c r="AV896" s="150"/>
      <c r="AW896" s="150"/>
      <c r="AX896" s="150"/>
      <c r="AY896" s="151"/>
      <c r="AZ896" s="151"/>
      <c r="BA896" s="151"/>
      <c r="BB896" s="151"/>
      <c r="BC896" s="151"/>
      <c r="BD896" s="151"/>
      <c r="BE896" s="151"/>
      <c r="BF896" s="151"/>
      <c r="BG896" s="151"/>
      <c r="BH896" s="151"/>
      <c r="BI896" s="151"/>
    </row>
    <row r="897" spans="1:61" x14ac:dyDescent="0.25">
      <c r="A897" s="149"/>
      <c r="B897" s="149"/>
      <c r="C897" s="149"/>
      <c r="D897" s="149"/>
      <c r="E897" s="150"/>
      <c r="F897" s="150"/>
      <c r="G897" s="149"/>
      <c r="H897" s="149"/>
      <c r="I897" s="149"/>
      <c r="J897" s="150"/>
      <c r="K897" s="150"/>
      <c r="L897" s="149"/>
      <c r="M897" s="149"/>
      <c r="N897" s="149"/>
      <c r="O897" s="150"/>
      <c r="P897" s="150"/>
      <c r="Q897" s="149"/>
      <c r="R897" s="149"/>
      <c r="S897" s="149"/>
      <c r="T897" s="150"/>
      <c r="U897" s="150"/>
      <c r="V897" s="150"/>
      <c r="W897" s="150"/>
      <c r="X897" s="150"/>
      <c r="Y897" s="150"/>
      <c r="Z897" s="150"/>
      <c r="AA897" s="150"/>
      <c r="AB897" s="150"/>
      <c r="AC897" s="149"/>
      <c r="AD897" s="149"/>
      <c r="AE897" s="149"/>
      <c r="AF897" s="150"/>
      <c r="AG897" s="150"/>
      <c r="AH897" s="149"/>
      <c r="AI897" s="149"/>
      <c r="AJ897" s="149"/>
      <c r="AK897" s="150"/>
      <c r="AL897" s="150"/>
      <c r="AM897" s="149"/>
      <c r="AN897" s="149"/>
      <c r="AO897" s="149"/>
      <c r="AP897" s="150"/>
      <c r="AQ897" s="150"/>
      <c r="AR897" s="150"/>
      <c r="AS897" s="150"/>
      <c r="AT897" s="150"/>
      <c r="AU897" s="150"/>
      <c r="AV897" s="150"/>
      <c r="AW897" s="150"/>
      <c r="AX897" s="150"/>
      <c r="AY897" s="151"/>
      <c r="AZ897" s="151"/>
      <c r="BA897" s="151"/>
      <c r="BB897" s="151"/>
      <c r="BC897" s="151"/>
      <c r="BD897" s="151"/>
      <c r="BE897" s="151"/>
      <c r="BF897" s="151"/>
      <c r="BG897" s="151"/>
      <c r="BH897" s="151"/>
      <c r="BI897" s="151"/>
    </row>
    <row r="898" spans="1:61" x14ac:dyDescent="0.25">
      <c r="A898" s="149"/>
      <c r="B898" s="149"/>
      <c r="C898" s="149"/>
      <c r="D898" s="149"/>
      <c r="E898" s="150"/>
      <c r="F898" s="150"/>
      <c r="G898" s="149"/>
      <c r="H898" s="149"/>
      <c r="I898" s="149"/>
      <c r="J898" s="150"/>
      <c r="K898" s="150"/>
      <c r="L898" s="149"/>
      <c r="M898" s="149"/>
      <c r="N898" s="149"/>
      <c r="O898" s="150"/>
      <c r="P898" s="150"/>
      <c r="Q898" s="149"/>
      <c r="R898" s="149"/>
      <c r="S898" s="149"/>
      <c r="T898" s="150"/>
      <c r="U898" s="150"/>
      <c r="V898" s="150"/>
      <c r="W898" s="150"/>
      <c r="X898" s="150"/>
      <c r="Y898" s="150"/>
      <c r="Z898" s="150"/>
      <c r="AA898" s="150"/>
      <c r="AB898" s="150"/>
      <c r="AC898" s="149"/>
      <c r="AD898" s="149"/>
      <c r="AE898" s="149"/>
      <c r="AF898" s="150"/>
      <c r="AG898" s="150"/>
      <c r="AH898" s="149"/>
      <c r="AI898" s="149"/>
      <c r="AJ898" s="149"/>
      <c r="AK898" s="150"/>
      <c r="AL898" s="150"/>
      <c r="AM898" s="149"/>
      <c r="AN898" s="149"/>
      <c r="AO898" s="149"/>
      <c r="AP898" s="150"/>
      <c r="AQ898" s="150"/>
      <c r="AR898" s="150"/>
      <c r="AS898" s="150"/>
      <c r="AT898" s="150"/>
      <c r="AU898" s="150"/>
      <c r="AV898" s="150"/>
      <c r="AW898" s="150"/>
      <c r="AX898" s="150"/>
      <c r="AY898" s="151"/>
      <c r="AZ898" s="151"/>
      <c r="BA898" s="151"/>
      <c r="BB898" s="151"/>
      <c r="BC898" s="151"/>
      <c r="BD898" s="151"/>
      <c r="BE898" s="151"/>
      <c r="BF898" s="151"/>
      <c r="BG898" s="151"/>
      <c r="BH898" s="151"/>
      <c r="BI898" s="151"/>
    </row>
    <row r="899" spans="1:61" x14ac:dyDescent="0.25">
      <c r="A899" s="149"/>
      <c r="B899" s="149"/>
      <c r="C899" s="149"/>
      <c r="D899" s="149"/>
      <c r="E899" s="150"/>
      <c r="F899" s="150"/>
      <c r="G899" s="149"/>
      <c r="H899" s="149"/>
      <c r="I899" s="149"/>
      <c r="J899" s="150"/>
      <c r="K899" s="150"/>
      <c r="L899" s="149"/>
      <c r="M899" s="149"/>
      <c r="N899" s="149"/>
      <c r="O899" s="150"/>
      <c r="P899" s="150"/>
      <c r="Q899" s="149"/>
      <c r="R899" s="149"/>
      <c r="S899" s="149"/>
      <c r="T899" s="150"/>
      <c r="U899" s="150"/>
      <c r="V899" s="150"/>
      <c r="W899" s="150"/>
      <c r="X899" s="150"/>
      <c r="Y899" s="150"/>
      <c r="Z899" s="150"/>
      <c r="AA899" s="150"/>
      <c r="AB899" s="150"/>
      <c r="AC899" s="149"/>
      <c r="AD899" s="149"/>
      <c r="AE899" s="149"/>
      <c r="AF899" s="150"/>
      <c r="AG899" s="150"/>
      <c r="AH899" s="149"/>
      <c r="AI899" s="149"/>
      <c r="AJ899" s="149"/>
      <c r="AK899" s="150"/>
      <c r="AL899" s="150"/>
      <c r="AM899" s="149"/>
      <c r="AN899" s="149"/>
      <c r="AO899" s="149"/>
      <c r="AP899" s="150"/>
      <c r="AQ899" s="150"/>
      <c r="AR899" s="150"/>
      <c r="AS899" s="150"/>
      <c r="AT899" s="150"/>
      <c r="AU899" s="150"/>
      <c r="AV899" s="150"/>
      <c r="AW899" s="150"/>
      <c r="AX899" s="150"/>
      <c r="AY899" s="151"/>
      <c r="AZ899" s="151"/>
      <c r="BA899" s="151"/>
      <c r="BB899" s="151"/>
      <c r="BC899" s="151"/>
      <c r="BD899" s="151"/>
      <c r="BE899" s="151"/>
      <c r="BF899" s="151"/>
      <c r="BG899" s="151"/>
      <c r="BH899" s="151"/>
      <c r="BI899" s="151"/>
    </row>
    <row r="900" spans="1:61" x14ac:dyDescent="0.25">
      <c r="A900" s="149"/>
      <c r="B900" s="149"/>
      <c r="C900" s="149"/>
      <c r="D900" s="149"/>
      <c r="E900" s="150"/>
      <c r="F900" s="150"/>
      <c r="G900" s="149"/>
      <c r="H900" s="149"/>
      <c r="I900" s="149"/>
      <c r="J900" s="150"/>
      <c r="K900" s="150"/>
      <c r="L900" s="149"/>
      <c r="M900" s="149"/>
      <c r="N900" s="149"/>
      <c r="O900" s="150"/>
      <c r="P900" s="150"/>
      <c r="Q900" s="149"/>
      <c r="R900" s="149"/>
      <c r="S900" s="149"/>
      <c r="T900" s="150"/>
      <c r="U900" s="150"/>
      <c r="V900" s="150"/>
      <c r="W900" s="150"/>
      <c r="X900" s="150"/>
      <c r="Y900" s="150"/>
      <c r="Z900" s="150"/>
      <c r="AA900" s="150"/>
      <c r="AB900" s="150"/>
      <c r="AC900" s="149"/>
      <c r="AD900" s="149"/>
      <c r="AE900" s="149"/>
      <c r="AF900" s="150"/>
      <c r="AG900" s="150"/>
      <c r="AH900" s="149"/>
      <c r="AI900" s="149"/>
      <c r="AJ900" s="149"/>
      <c r="AK900" s="150"/>
      <c r="AL900" s="150"/>
      <c r="AM900" s="149"/>
      <c r="AN900" s="149"/>
      <c r="AO900" s="149"/>
      <c r="AP900" s="150"/>
      <c r="AQ900" s="150"/>
      <c r="AR900" s="150"/>
      <c r="AS900" s="150"/>
      <c r="AT900" s="150"/>
      <c r="AU900" s="150"/>
      <c r="AV900" s="150"/>
      <c r="AW900" s="150"/>
      <c r="AX900" s="150"/>
      <c r="AY900" s="151"/>
      <c r="AZ900" s="151"/>
      <c r="BA900" s="151"/>
      <c r="BB900" s="151"/>
      <c r="BC900" s="151"/>
      <c r="BD900" s="151"/>
      <c r="BE900" s="151"/>
      <c r="BF900" s="151"/>
      <c r="BG900" s="151"/>
      <c r="BH900" s="151"/>
      <c r="BI900" s="151"/>
    </row>
    <row r="901" spans="1:61" x14ac:dyDescent="0.25">
      <c r="A901" s="149"/>
      <c r="B901" s="149"/>
      <c r="C901" s="149"/>
      <c r="D901" s="149"/>
      <c r="E901" s="150"/>
      <c r="F901" s="150"/>
      <c r="G901" s="149"/>
      <c r="H901" s="149"/>
      <c r="I901" s="149"/>
      <c r="J901" s="150"/>
      <c r="K901" s="150"/>
      <c r="L901" s="149"/>
      <c r="M901" s="149"/>
      <c r="N901" s="149"/>
      <c r="O901" s="150"/>
      <c r="P901" s="150"/>
      <c r="Q901" s="149"/>
      <c r="R901" s="149"/>
      <c r="S901" s="149"/>
      <c r="T901" s="150"/>
      <c r="U901" s="150"/>
      <c r="V901" s="150"/>
      <c r="W901" s="150"/>
      <c r="X901" s="150"/>
      <c r="Y901" s="150"/>
      <c r="Z901" s="150"/>
      <c r="AA901" s="150"/>
      <c r="AB901" s="150"/>
      <c r="AC901" s="149"/>
      <c r="AD901" s="149"/>
      <c r="AE901" s="149"/>
      <c r="AF901" s="150"/>
      <c r="AG901" s="150"/>
      <c r="AH901" s="149"/>
      <c r="AI901" s="149"/>
      <c r="AJ901" s="149"/>
      <c r="AK901" s="150"/>
      <c r="AL901" s="150"/>
      <c r="AM901" s="149"/>
      <c r="AN901" s="149"/>
      <c r="AO901" s="149"/>
      <c r="AP901" s="150"/>
      <c r="AQ901" s="150"/>
      <c r="AR901" s="150"/>
      <c r="AS901" s="150"/>
      <c r="AT901" s="150"/>
      <c r="AU901" s="150"/>
      <c r="AV901" s="150"/>
      <c r="AW901" s="150"/>
      <c r="AX901" s="150"/>
      <c r="AY901" s="151"/>
      <c r="AZ901" s="151"/>
      <c r="BA901" s="151"/>
      <c r="BB901" s="151"/>
      <c r="BC901" s="151"/>
      <c r="BD901" s="151"/>
      <c r="BE901" s="151"/>
      <c r="BF901" s="151"/>
      <c r="BG901" s="151"/>
      <c r="BH901" s="151"/>
      <c r="BI901" s="151"/>
    </row>
    <row r="902" spans="1:61" x14ac:dyDescent="0.25">
      <c r="A902" s="149"/>
      <c r="B902" s="149"/>
      <c r="C902" s="149"/>
      <c r="D902" s="149"/>
      <c r="E902" s="150"/>
      <c r="F902" s="150"/>
      <c r="G902" s="149"/>
      <c r="H902" s="149"/>
      <c r="I902" s="149"/>
      <c r="J902" s="150"/>
      <c r="K902" s="150"/>
      <c r="L902" s="149"/>
      <c r="M902" s="149"/>
      <c r="N902" s="149"/>
      <c r="O902" s="150"/>
      <c r="P902" s="150"/>
      <c r="Q902" s="149"/>
      <c r="R902" s="149"/>
      <c r="S902" s="149"/>
      <c r="T902" s="150"/>
      <c r="U902" s="150"/>
      <c r="V902" s="150"/>
      <c r="W902" s="150"/>
      <c r="X902" s="150"/>
      <c r="Y902" s="150"/>
      <c r="Z902" s="150"/>
      <c r="AA902" s="150"/>
      <c r="AB902" s="150"/>
      <c r="AC902" s="149"/>
      <c r="AD902" s="149"/>
      <c r="AE902" s="149"/>
      <c r="AF902" s="150"/>
      <c r="AG902" s="150"/>
      <c r="AH902" s="149"/>
      <c r="AI902" s="149"/>
      <c r="AJ902" s="149"/>
      <c r="AK902" s="150"/>
      <c r="AL902" s="150"/>
      <c r="AM902" s="149"/>
      <c r="AN902" s="149"/>
      <c r="AO902" s="149"/>
      <c r="AP902" s="150"/>
      <c r="AQ902" s="150"/>
      <c r="AR902" s="150"/>
      <c r="AS902" s="150"/>
      <c r="AT902" s="150"/>
      <c r="AU902" s="150"/>
      <c r="AV902" s="150"/>
      <c r="AW902" s="150"/>
      <c r="AX902" s="150"/>
      <c r="AY902" s="151"/>
      <c r="AZ902" s="151"/>
      <c r="BA902" s="151"/>
      <c r="BB902" s="151"/>
      <c r="BC902" s="151"/>
      <c r="BD902" s="151"/>
      <c r="BE902" s="151"/>
      <c r="BF902" s="151"/>
      <c r="BG902" s="151"/>
      <c r="BH902" s="151"/>
      <c r="BI902" s="151"/>
    </row>
    <row r="903" spans="1:61" x14ac:dyDescent="0.25">
      <c r="A903" s="149"/>
      <c r="B903" s="149"/>
      <c r="C903" s="149"/>
      <c r="D903" s="149"/>
      <c r="E903" s="150"/>
      <c r="F903" s="150"/>
      <c r="G903" s="149"/>
      <c r="H903" s="149"/>
      <c r="I903" s="149"/>
      <c r="J903" s="150"/>
      <c r="K903" s="150"/>
      <c r="L903" s="149"/>
      <c r="M903" s="149"/>
      <c r="N903" s="149"/>
      <c r="O903" s="150"/>
      <c r="P903" s="150"/>
      <c r="Q903" s="149"/>
      <c r="R903" s="149"/>
      <c r="S903" s="149"/>
      <c r="T903" s="150"/>
      <c r="U903" s="150"/>
      <c r="V903" s="150"/>
      <c r="W903" s="150"/>
      <c r="X903" s="150"/>
      <c r="Y903" s="150"/>
      <c r="Z903" s="150"/>
      <c r="AA903" s="150"/>
      <c r="AB903" s="150"/>
      <c r="AC903" s="149"/>
      <c r="AD903" s="149"/>
      <c r="AE903" s="149"/>
      <c r="AF903" s="150"/>
      <c r="AG903" s="150"/>
      <c r="AH903" s="149"/>
      <c r="AI903" s="149"/>
      <c r="AJ903" s="149"/>
      <c r="AK903" s="150"/>
      <c r="AL903" s="150"/>
      <c r="AM903" s="149"/>
      <c r="AN903" s="149"/>
      <c r="AO903" s="149"/>
      <c r="AP903" s="150"/>
      <c r="AQ903" s="150"/>
      <c r="AR903" s="150"/>
      <c r="AS903" s="150"/>
      <c r="AT903" s="150"/>
      <c r="AU903" s="150"/>
      <c r="AV903" s="150"/>
      <c r="AW903" s="150"/>
      <c r="AX903" s="150"/>
      <c r="AY903" s="151"/>
      <c r="AZ903" s="151"/>
      <c r="BA903" s="151"/>
      <c r="BB903" s="151"/>
      <c r="BC903" s="151"/>
      <c r="BD903" s="151"/>
      <c r="BE903" s="151"/>
      <c r="BF903" s="151"/>
      <c r="BG903" s="151"/>
      <c r="BH903" s="151"/>
      <c r="BI903" s="151"/>
    </row>
    <row r="904" spans="1:61" x14ac:dyDescent="0.25">
      <c r="A904" s="149"/>
      <c r="B904" s="149"/>
      <c r="C904" s="149"/>
      <c r="D904" s="149"/>
      <c r="E904" s="150"/>
      <c r="F904" s="150"/>
      <c r="G904" s="149"/>
      <c r="H904" s="149"/>
      <c r="I904" s="149"/>
      <c r="J904" s="150"/>
      <c r="K904" s="150"/>
      <c r="L904" s="149"/>
      <c r="M904" s="149"/>
      <c r="N904" s="149"/>
      <c r="O904" s="150"/>
      <c r="P904" s="150"/>
      <c r="Q904" s="149"/>
      <c r="R904" s="149"/>
      <c r="S904" s="149"/>
      <c r="T904" s="150"/>
      <c r="U904" s="150"/>
      <c r="V904" s="150"/>
      <c r="W904" s="150"/>
      <c r="X904" s="150"/>
      <c r="Y904" s="150"/>
      <c r="Z904" s="150"/>
      <c r="AA904" s="150"/>
      <c r="AB904" s="150"/>
      <c r="AC904" s="149"/>
      <c r="AD904" s="149"/>
      <c r="AE904" s="149"/>
      <c r="AF904" s="150"/>
      <c r="AG904" s="150"/>
      <c r="AH904" s="149"/>
      <c r="AI904" s="149"/>
      <c r="AJ904" s="149"/>
      <c r="AK904" s="150"/>
      <c r="AL904" s="150"/>
      <c r="AM904" s="149"/>
      <c r="AN904" s="149"/>
      <c r="AO904" s="149"/>
      <c r="AP904" s="150"/>
      <c r="AQ904" s="150"/>
      <c r="AR904" s="150"/>
      <c r="AS904" s="150"/>
      <c r="AT904" s="150"/>
      <c r="AU904" s="150"/>
      <c r="AV904" s="150"/>
      <c r="AW904" s="150"/>
      <c r="AX904" s="150"/>
      <c r="AY904" s="151"/>
      <c r="AZ904" s="151"/>
      <c r="BA904" s="151"/>
      <c r="BB904" s="151"/>
      <c r="BC904" s="151"/>
      <c r="BD904" s="151"/>
      <c r="BE904" s="151"/>
      <c r="BF904" s="151"/>
      <c r="BG904" s="151"/>
      <c r="BH904" s="151"/>
      <c r="BI904" s="151"/>
    </row>
    <row r="905" spans="1:61" x14ac:dyDescent="0.25">
      <c r="A905" s="149"/>
      <c r="B905" s="149"/>
      <c r="C905" s="149"/>
      <c r="D905" s="149"/>
      <c r="E905" s="150"/>
      <c r="F905" s="150"/>
      <c r="G905" s="149"/>
      <c r="H905" s="149"/>
      <c r="I905" s="149"/>
      <c r="J905" s="150"/>
      <c r="K905" s="150"/>
      <c r="L905" s="149"/>
      <c r="M905" s="149"/>
      <c r="N905" s="149"/>
      <c r="O905" s="150"/>
      <c r="P905" s="150"/>
      <c r="Q905" s="149"/>
      <c r="R905" s="149"/>
      <c r="S905" s="149"/>
      <c r="T905" s="150"/>
      <c r="U905" s="150"/>
      <c r="V905" s="150"/>
      <c r="W905" s="150"/>
      <c r="X905" s="150"/>
      <c r="Y905" s="150"/>
      <c r="Z905" s="150"/>
      <c r="AA905" s="150"/>
      <c r="AB905" s="150"/>
      <c r="AC905" s="149"/>
      <c r="AD905" s="149"/>
      <c r="AE905" s="149"/>
      <c r="AF905" s="150"/>
      <c r="AG905" s="150"/>
      <c r="AH905" s="149"/>
      <c r="AI905" s="149"/>
      <c r="AJ905" s="149"/>
      <c r="AK905" s="150"/>
      <c r="AL905" s="150"/>
      <c r="AM905" s="149"/>
      <c r="AN905" s="149"/>
      <c r="AO905" s="149"/>
      <c r="AP905" s="150"/>
      <c r="AQ905" s="150"/>
      <c r="AR905" s="150"/>
      <c r="AS905" s="150"/>
      <c r="AT905" s="150"/>
      <c r="AU905" s="150"/>
      <c r="AV905" s="150"/>
      <c r="AW905" s="150"/>
      <c r="AX905" s="150"/>
      <c r="AY905" s="151"/>
      <c r="AZ905" s="151"/>
      <c r="BA905" s="151"/>
      <c r="BB905" s="151"/>
      <c r="BC905" s="151"/>
      <c r="BD905" s="151"/>
      <c r="BE905" s="151"/>
      <c r="BF905" s="151"/>
      <c r="BG905" s="151"/>
      <c r="BH905" s="151"/>
      <c r="BI905" s="151"/>
    </row>
    <row r="906" spans="1:61" x14ac:dyDescent="0.25">
      <c r="A906" s="149"/>
      <c r="B906" s="149"/>
      <c r="C906" s="149"/>
      <c r="D906" s="149"/>
      <c r="E906" s="150"/>
      <c r="F906" s="150"/>
      <c r="G906" s="149"/>
      <c r="H906" s="149"/>
      <c r="I906" s="149"/>
      <c r="J906" s="150"/>
      <c r="K906" s="150"/>
      <c r="L906" s="149"/>
      <c r="M906" s="149"/>
      <c r="N906" s="149"/>
      <c r="O906" s="150"/>
      <c r="P906" s="150"/>
      <c r="Q906" s="149"/>
      <c r="R906" s="149"/>
      <c r="S906" s="149"/>
      <c r="T906" s="150"/>
      <c r="U906" s="150"/>
      <c r="V906" s="150"/>
      <c r="W906" s="150"/>
      <c r="X906" s="150"/>
      <c r="Y906" s="150"/>
      <c r="Z906" s="150"/>
      <c r="AA906" s="150"/>
      <c r="AB906" s="150"/>
      <c r="AC906" s="149"/>
      <c r="AD906" s="149"/>
      <c r="AE906" s="149"/>
      <c r="AF906" s="150"/>
      <c r="AG906" s="150"/>
      <c r="AH906" s="149"/>
      <c r="AI906" s="149"/>
      <c r="AJ906" s="149"/>
      <c r="AK906" s="150"/>
      <c r="AL906" s="150"/>
      <c r="AM906" s="149"/>
      <c r="AN906" s="149"/>
      <c r="AO906" s="149"/>
      <c r="AP906" s="150"/>
      <c r="AQ906" s="150"/>
      <c r="AR906" s="150"/>
      <c r="AS906" s="150"/>
      <c r="AT906" s="150"/>
      <c r="AU906" s="150"/>
      <c r="AV906" s="150"/>
      <c r="AW906" s="150"/>
      <c r="AX906" s="150"/>
      <c r="AY906" s="151"/>
      <c r="AZ906" s="151"/>
      <c r="BA906" s="151"/>
      <c r="BB906" s="151"/>
      <c r="BC906" s="151"/>
      <c r="BD906" s="151"/>
      <c r="BE906" s="151"/>
      <c r="BF906" s="151"/>
      <c r="BG906" s="151"/>
      <c r="BH906" s="151"/>
      <c r="BI906" s="151"/>
    </row>
    <row r="907" spans="1:61" x14ac:dyDescent="0.25">
      <c r="A907" s="149"/>
      <c r="B907" s="149"/>
      <c r="C907" s="149"/>
      <c r="D907" s="149"/>
      <c r="E907" s="150"/>
      <c r="F907" s="150"/>
      <c r="G907" s="149"/>
      <c r="H907" s="149"/>
      <c r="I907" s="149"/>
      <c r="J907" s="150"/>
      <c r="K907" s="150"/>
      <c r="L907" s="149"/>
      <c r="M907" s="149"/>
      <c r="N907" s="149"/>
      <c r="O907" s="150"/>
      <c r="P907" s="150"/>
      <c r="Q907" s="149"/>
      <c r="R907" s="149"/>
      <c r="S907" s="149"/>
      <c r="T907" s="150"/>
      <c r="U907" s="150"/>
      <c r="V907" s="150"/>
      <c r="W907" s="150"/>
      <c r="X907" s="150"/>
      <c r="Y907" s="150"/>
      <c r="Z907" s="150"/>
      <c r="AA907" s="150"/>
      <c r="AB907" s="150"/>
      <c r="AC907" s="149"/>
      <c r="AD907" s="149"/>
      <c r="AE907" s="149"/>
      <c r="AF907" s="150"/>
      <c r="AG907" s="150"/>
      <c r="AH907" s="149"/>
      <c r="AI907" s="149"/>
      <c r="AJ907" s="149"/>
      <c r="AK907" s="150"/>
      <c r="AL907" s="150"/>
      <c r="AM907" s="149"/>
      <c r="AN907" s="149"/>
      <c r="AO907" s="149"/>
      <c r="AP907" s="150"/>
      <c r="AQ907" s="150"/>
      <c r="AR907" s="150"/>
      <c r="AS907" s="150"/>
      <c r="AT907" s="150"/>
      <c r="AU907" s="150"/>
      <c r="AV907" s="150"/>
      <c r="AW907" s="150"/>
      <c r="AX907" s="150"/>
      <c r="AY907" s="151"/>
      <c r="AZ907" s="151"/>
      <c r="BA907" s="151"/>
      <c r="BB907" s="151"/>
      <c r="BC907" s="151"/>
      <c r="BD907" s="151"/>
      <c r="BE907" s="151"/>
      <c r="BF907" s="151"/>
      <c r="BG907" s="151"/>
      <c r="BH907" s="151"/>
      <c r="BI907" s="151"/>
    </row>
    <row r="908" spans="1:61" x14ac:dyDescent="0.25">
      <c r="A908" s="149"/>
      <c r="B908" s="149"/>
      <c r="C908" s="149"/>
      <c r="D908" s="149"/>
      <c r="E908" s="150"/>
      <c r="F908" s="150"/>
      <c r="G908" s="149"/>
      <c r="H908" s="149"/>
      <c r="I908" s="149"/>
      <c r="J908" s="150"/>
      <c r="K908" s="150"/>
      <c r="L908" s="149"/>
      <c r="M908" s="149"/>
      <c r="N908" s="149"/>
      <c r="O908" s="150"/>
      <c r="P908" s="150"/>
      <c r="Q908" s="149"/>
      <c r="R908" s="149"/>
      <c r="S908" s="149"/>
      <c r="T908" s="150"/>
      <c r="U908" s="150"/>
      <c r="V908" s="150"/>
      <c r="W908" s="150"/>
      <c r="X908" s="150"/>
      <c r="Y908" s="150"/>
      <c r="Z908" s="150"/>
      <c r="AA908" s="150"/>
      <c r="AB908" s="150"/>
      <c r="AC908" s="149"/>
      <c r="AD908" s="149"/>
      <c r="AE908" s="149"/>
      <c r="AF908" s="150"/>
      <c r="AG908" s="150"/>
      <c r="AH908" s="149"/>
      <c r="AI908" s="149"/>
      <c r="AJ908" s="149"/>
      <c r="AK908" s="150"/>
      <c r="AL908" s="150"/>
      <c r="AM908" s="149"/>
      <c r="AN908" s="149"/>
      <c r="AO908" s="149"/>
      <c r="AP908" s="150"/>
      <c r="AQ908" s="150"/>
      <c r="AR908" s="150"/>
      <c r="AS908" s="150"/>
      <c r="AT908" s="150"/>
      <c r="AU908" s="150"/>
      <c r="AV908" s="150"/>
      <c r="AW908" s="150"/>
      <c r="AX908" s="150"/>
      <c r="AY908" s="151"/>
      <c r="AZ908" s="151"/>
      <c r="BA908" s="151"/>
      <c r="BB908" s="151"/>
      <c r="BC908" s="151"/>
      <c r="BD908" s="151"/>
      <c r="BE908" s="151"/>
      <c r="BF908" s="151"/>
      <c r="BG908" s="151"/>
      <c r="BH908" s="151"/>
      <c r="BI908" s="151"/>
    </row>
    <row r="909" spans="1:61" x14ac:dyDescent="0.25">
      <c r="A909" s="149"/>
      <c r="B909" s="149"/>
      <c r="C909" s="149"/>
      <c r="D909" s="149"/>
      <c r="E909" s="150"/>
      <c r="F909" s="150"/>
      <c r="G909" s="149"/>
      <c r="H909" s="149"/>
      <c r="I909" s="149"/>
      <c r="J909" s="150"/>
      <c r="K909" s="150"/>
      <c r="L909" s="149"/>
      <c r="M909" s="149"/>
      <c r="N909" s="149"/>
      <c r="O909" s="150"/>
      <c r="P909" s="150"/>
      <c r="Q909" s="149"/>
      <c r="R909" s="149"/>
      <c r="S909" s="149"/>
      <c r="T909" s="150"/>
      <c r="U909" s="150"/>
      <c r="V909" s="150"/>
      <c r="W909" s="150"/>
      <c r="X909" s="150"/>
      <c r="Y909" s="150"/>
      <c r="Z909" s="150"/>
      <c r="AA909" s="150"/>
      <c r="AB909" s="150"/>
      <c r="AC909" s="149"/>
      <c r="AD909" s="149"/>
      <c r="AE909" s="149"/>
      <c r="AF909" s="150"/>
      <c r="AG909" s="150"/>
      <c r="AH909" s="149"/>
      <c r="AI909" s="149"/>
      <c r="AJ909" s="149"/>
      <c r="AK909" s="150"/>
      <c r="AL909" s="150"/>
      <c r="AM909" s="149"/>
      <c r="AN909" s="149"/>
      <c r="AO909" s="149"/>
      <c r="AP909" s="150"/>
      <c r="AQ909" s="150"/>
      <c r="AR909" s="150"/>
      <c r="AS909" s="150"/>
      <c r="AT909" s="150"/>
      <c r="AU909" s="150"/>
      <c r="AV909" s="150"/>
      <c r="AW909" s="150"/>
      <c r="AX909" s="150"/>
      <c r="AY909" s="151"/>
      <c r="AZ909" s="151"/>
      <c r="BA909" s="151"/>
      <c r="BB909" s="151"/>
      <c r="BC909" s="151"/>
      <c r="BD909" s="151"/>
      <c r="BE909" s="151"/>
      <c r="BF909" s="151"/>
      <c r="BG909" s="151"/>
      <c r="BH909" s="151"/>
      <c r="BI909" s="151"/>
    </row>
    <row r="910" spans="1:61" x14ac:dyDescent="0.25">
      <c r="A910" s="149"/>
      <c r="B910" s="149"/>
      <c r="C910" s="149"/>
      <c r="D910" s="149"/>
      <c r="E910" s="150"/>
      <c r="F910" s="150"/>
      <c r="G910" s="149"/>
      <c r="H910" s="149"/>
      <c r="I910" s="149"/>
      <c r="J910" s="150"/>
      <c r="K910" s="150"/>
      <c r="L910" s="149"/>
      <c r="M910" s="149"/>
      <c r="N910" s="149"/>
      <c r="O910" s="150"/>
      <c r="P910" s="150"/>
      <c r="Q910" s="149"/>
      <c r="R910" s="149"/>
      <c r="S910" s="149"/>
      <c r="T910" s="150"/>
      <c r="U910" s="150"/>
      <c r="V910" s="150"/>
      <c r="W910" s="150"/>
      <c r="X910" s="150"/>
      <c r="Y910" s="150"/>
      <c r="Z910" s="150"/>
      <c r="AA910" s="150"/>
      <c r="AB910" s="150"/>
      <c r="AC910" s="149"/>
      <c r="AD910" s="149"/>
      <c r="AE910" s="149"/>
      <c r="AF910" s="150"/>
      <c r="AG910" s="150"/>
      <c r="AH910" s="149"/>
      <c r="AI910" s="149"/>
      <c r="AJ910" s="149"/>
      <c r="AK910" s="150"/>
      <c r="AL910" s="150"/>
      <c r="AM910" s="149"/>
      <c r="AN910" s="149"/>
      <c r="AO910" s="149"/>
      <c r="AP910" s="150"/>
      <c r="AQ910" s="150"/>
      <c r="AR910" s="150"/>
      <c r="AS910" s="150"/>
      <c r="AT910" s="150"/>
      <c r="AU910" s="150"/>
      <c r="AV910" s="150"/>
      <c r="AW910" s="150"/>
      <c r="AX910" s="150"/>
      <c r="AY910" s="151"/>
      <c r="AZ910" s="151"/>
      <c r="BA910" s="151"/>
      <c r="BB910" s="151"/>
      <c r="BC910" s="151"/>
      <c r="BD910" s="151"/>
      <c r="BE910" s="151"/>
      <c r="BF910" s="151"/>
      <c r="BG910" s="151"/>
      <c r="BH910" s="151"/>
      <c r="BI910" s="151"/>
    </row>
    <row r="911" spans="1:61" x14ac:dyDescent="0.25">
      <c r="A911" s="149"/>
      <c r="B911" s="149"/>
      <c r="C911" s="149"/>
      <c r="D911" s="149"/>
      <c r="E911" s="150"/>
      <c r="F911" s="150"/>
      <c r="G911" s="149"/>
      <c r="H911" s="149"/>
      <c r="I911" s="149"/>
      <c r="J911" s="150"/>
      <c r="K911" s="150"/>
      <c r="L911" s="149"/>
      <c r="M911" s="149"/>
      <c r="N911" s="149"/>
      <c r="O911" s="150"/>
      <c r="P911" s="150"/>
      <c r="Q911" s="149"/>
      <c r="R911" s="149"/>
      <c r="S911" s="149"/>
      <c r="T911" s="150"/>
      <c r="U911" s="150"/>
      <c r="V911" s="150"/>
      <c r="W911" s="150"/>
      <c r="X911" s="150"/>
      <c r="Y911" s="150"/>
      <c r="Z911" s="150"/>
      <c r="AA911" s="150"/>
      <c r="AB911" s="150"/>
      <c r="AC911" s="149"/>
      <c r="AD911" s="149"/>
      <c r="AE911" s="149"/>
      <c r="AF911" s="150"/>
      <c r="AG911" s="150"/>
      <c r="AH911" s="149"/>
      <c r="AI911" s="149"/>
      <c r="AJ911" s="149"/>
      <c r="AK911" s="150"/>
      <c r="AL911" s="150"/>
      <c r="AM911" s="149"/>
      <c r="AN911" s="149"/>
      <c r="AO911" s="149"/>
      <c r="AP911" s="150"/>
      <c r="AQ911" s="150"/>
      <c r="AR911" s="150"/>
      <c r="AS911" s="150"/>
      <c r="AT911" s="150"/>
      <c r="AU911" s="150"/>
      <c r="AV911" s="150"/>
      <c r="AW911" s="150"/>
      <c r="AX911" s="150"/>
      <c r="AY911" s="151"/>
      <c r="AZ911" s="151"/>
      <c r="BA911" s="151"/>
      <c r="BB911" s="151"/>
      <c r="BC911" s="151"/>
      <c r="BD911" s="151"/>
      <c r="BE911" s="151"/>
      <c r="BF911" s="151"/>
      <c r="BG911" s="151"/>
      <c r="BH911" s="151"/>
      <c r="BI911" s="151"/>
    </row>
    <row r="912" spans="1:61" x14ac:dyDescent="0.25">
      <c r="A912" s="149"/>
      <c r="B912" s="149"/>
      <c r="C912" s="149"/>
      <c r="D912" s="149"/>
      <c r="E912" s="150"/>
      <c r="F912" s="150"/>
      <c r="G912" s="149"/>
      <c r="H912" s="149"/>
      <c r="I912" s="149"/>
      <c r="J912" s="150"/>
      <c r="K912" s="150"/>
      <c r="L912" s="149"/>
      <c r="M912" s="149"/>
      <c r="N912" s="149"/>
      <c r="O912" s="150"/>
      <c r="P912" s="150"/>
      <c r="Q912" s="149"/>
      <c r="R912" s="149"/>
      <c r="S912" s="149"/>
      <c r="T912" s="150"/>
      <c r="U912" s="150"/>
      <c r="V912" s="150"/>
      <c r="W912" s="150"/>
      <c r="X912" s="150"/>
      <c r="Y912" s="150"/>
      <c r="Z912" s="150"/>
      <c r="AA912" s="150"/>
      <c r="AB912" s="150"/>
      <c r="AC912" s="149"/>
      <c r="AD912" s="149"/>
      <c r="AE912" s="149"/>
      <c r="AF912" s="150"/>
      <c r="AG912" s="150"/>
      <c r="AH912" s="149"/>
      <c r="AI912" s="149"/>
      <c r="AJ912" s="149"/>
      <c r="AK912" s="150"/>
      <c r="AL912" s="150"/>
      <c r="AM912" s="149"/>
      <c r="AN912" s="149"/>
      <c r="AO912" s="149"/>
      <c r="AP912" s="150"/>
      <c r="AQ912" s="150"/>
      <c r="AR912" s="150"/>
      <c r="AS912" s="150"/>
      <c r="AT912" s="150"/>
      <c r="AU912" s="150"/>
      <c r="AV912" s="150"/>
      <c r="AW912" s="150"/>
      <c r="AX912" s="150"/>
      <c r="AY912" s="151"/>
      <c r="AZ912" s="151"/>
      <c r="BA912" s="151"/>
      <c r="BB912" s="151"/>
      <c r="BC912" s="151"/>
      <c r="BD912" s="151"/>
      <c r="BE912" s="151"/>
      <c r="BF912" s="151"/>
      <c r="BG912" s="151"/>
      <c r="BH912" s="151"/>
      <c r="BI912" s="151"/>
    </row>
    <row r="913" spans="1:61" x14ac:dyDescent="0.25">
      <c r="A913" s="149"/>
      <c r="B913" s="149"/>
      <c r="C913" s="149"/>
      <c r="D913" s="149"/>
      <c r="E913" s="150"/>
      <c r="F913" s="150"/>
      <c r="G913" s="149"/>
      <c r="H913" s="149"/>
      <c r="I913" s="149"/>
      <c r="J913" s="150"/>
      <c r="K913" s="150"/>
      <c r="L913" s="149"/>
      <c r="M913" s="149"/>
      <c r="N913" s="149"/>
      <c r="O913" s="150"/>
      <c r="P913" s="150"/>
      <c r="Q913" s="149"/>
      <c r="R913" s="149"/>
      <c r="S913" s="149"/>
      <c r="T913" s="150"/>
      <c r="U913" s="150"/>
      <c r="V913" s="150"/>
      <c r="W913" s="150"/>
      <c r="X913" s="150"/>
      <c r="Y913" s="150"/>
      <c r="Z913" s="150"/>
      <c r="AA913" s="150"/>
      <c r="AB913" s="150"/>
      <c r="AC913" s="149"/>
      <c r="AD913" s="149"/>
      <c r="AE913" s="149"/>
      <c r="AF913" s="150"/>
      <c r="AG913" s="150"/>
      <c r="AH913" s="149"/>
      <c r="AI913" s="149"/>
      <c r="AJ913" s="149"/>
      <c r="AK913" s="150"/>
      <c r="AL913" s="150"/>
      <c r="AM913" s="149"/>
      <c r="AN913" s="149"/>
      <c r="AO913" s="149"/>
      <c r="AP913" s="150"/>
      <c r="AQ913" s="150"/>
      <c r="AR913" s="150"/>
      <c r="AS913" s="150"/>
      <c r="AT913" s="150"/>
      <c r="AU913" s="150"/>
      <c r="AV913" s="150"/>
      <c r="AW913" s="150"/>
      <c r="AX913" s="150"/>
      <c r="AY913" s="151"/>
      <c r="AZ913" s="151"/>
      <c r="BA913" s="151"/>
      <c r="BB913" s="151"/>
      <c r="BC913" s="151"/>
      <c r="BD913" s="151"/>
      <c r="BE913" s="151"/>
      <c r="BF913" s="151"/>
      <c r="BG913" s="151"/>
      <c r="BH913" s="151"/>
      <c r="BI913" s="151"/>
    </row>
    <row r="914" spans="1:61" x14ac:dyDescent="0.25">
      <c r="A914" s="149"/>
      <c r="B914" s="149"/>
      <c r="C914" s="149"/>
      <c r="D914" s="149"/>
      <c r="E914" s="150"/>
      <c r="F914" s="150"/>
      <c r="G914" s="149"/>
      <c r="H914" s="149"/>
      <c r="I914" s="149"/>
      <c r="J914" s="150"/>
      <c r="K914" s="150"/>
      <c r="L914" s="149"/>
      <c r="M914" s="149"/>
      <c r="N914" s="149"/>
      <c r="O914" s="150"/>
      <c r="P914" s="150"/>
      <c r="Q914" s="149"/>
      <c r="R914" s="149"/>
      <c r="S914" s="149"/>
      <c r="T914" s="150"/>
      <c r="U914" s="150"/>
      <c r="V914" s="150"/>
      <c r="W914" s="150"/>
      <c r="X914" s="150"/>
      <c r="Y914" s="150"/>
      <c r="Z914" s="150"/>
      <c r="AA914" s="150"/>
      <c r="AB914" s="150"/>
      <c r="AC914" s="149"/>
      <c r="AD914" s="149"/>
      <c r="AE914" s="149"/>
      <c r="AF914" s="150"/>
      <c r="AG914" s="150"/>
      <c r="AH914" s="149"/>
      <c r="AI914" s="149"/>
      <c r="AJ914" s="149"/>
      <c r="AK914" s="150"/>
      <c r="AL914" s="150"/>
      <c r="AM914" s="149"/>
      <c r="AN914" s="149"/>
      <c r="AO914" s="149"/>
      <c r="AP914" s="150"/>
      <c r="AQ914" s="150"/>
      <c r="AR914" s="150"/>
      <c r="AS914" s="150"/>
      <c r="AT914" s="150"/>
      <c r="AU914" s="150"/>
      <c r="AV914" s="150"/>
      <c r="AW914" s="150"/>
      <c r="AX914" s="150"/>
      <c r="AY914" s="151"/>
      <c r="AZ914" s="151"/>
      <c r="BA914" s="151"/>
      <c r="BB914" s="151"/>
      <c r="BC914" s="151"/>
      <c r="BD914" s="151"/>
      <c r="BE914" s="151"/>
      <c r="BF914" s="151"/>
      <c r="BG914" s="151"/>
      <c r="BH914" s="151"/>
      <c r="BI914" s="151"/>
    </row>
    <row r="915" spans="1:61" x14ac:dyDescent="0.25">
      <c r="A915" s="149"/>
      <c r="B915" s="149"/>
      <c r="C915" s="149"/>
      <c r="D915" s="149"/>
      <c r="E915" s="150"/>
      <c r="F915" s="150"/>
      <c r="G915" s="149"/>
      <c r="H915" s="149"/>
      <c r="I915" s="149"/>
      <c r="J915" s="150"/>
      <c r="K915" s="150"/>
      <c r="L915" s="149"/>
      <c r="M915" s="149"/>
      <c r="N915" s="149"/>
      <c r="O915" s="150"/>
      <c r="P915" s="150"/>
      <c r="Q915" s="149"/>
      <c r="R915" s="149"/>
      <c r="S915" s="149"/>
      <c r="T915" s="150"/>
      <c r="U915" s="150"/>
      <c r="V915" s="150"/>
      <c r="W915" s="150"/>
      <c r="X915" s="150"/>
      <c r="Y915" s="150"/>
      <c r="Z915" s="150"/>
      <c r="AA915" s="150"/>
      <c r="AB915" s="150"/>
      <c r="AC915" s="149"/>
      <c r="AD915" s="149"/>
      <c r="AE915" s="149"/>
      <c r="AF915" s="150"/>
      <c r="AG915" s="150"/>
      <c r="AH915" s="149"/>
      <c r="AI915" s="149"/>
      <c r="AJ915" s="149"/>
      <c r="AK915" s="150"/>
      <c r="AL915" s="150"/>
      <c r="AM915" s="149"/>
      <c r="AN915" s="149"/>
      <c r="AO915" s="149"/>
      <c r="AP915" s="150"/>
      <c r="AQ915" s="150"/>
      <c r="AR915" s="150"/>
      <c r="AS915" s="150"/>
      <c r="AT915" s="150"/>
      <c r="AU915" s="150"/>
      <c r="AV915" s="150"/>
      <c r="AW915" s="150"/>
      <c r="AX915" s="150"/>
      <c r="AY915" s="151"/>
      <c r="AZ915" s="151"/>
      <c r="BA915" s="151"/>
      <c r="BB915" s="151"/>
      <c r="BC915" s="151"/>
      <c r="BD915" s="151"/>
      <c r="BE915" s="151"/>
      <c r="BF915" s="151"/>
      <c r="BG915" s="151"/>
      <c r="BH915" s="151"/>
      <c r="BI915" s="151"/>
    </row>
    <row r="916" spans="1:61" x14ac:dyDescent="0.25">
      <c r="A916" s="149"/>
      <c r="B916" s="149"/>
      <c r="C916" s="149"/>
      <c r="D916" s="149"/>
      <c r="E916" s="150"/>
      <c r="F916" s="150"/>
      <c r="G916" s="149"/>
      <c r="H916" s="149"/>
      <c r="I916" s="149"/>
      <c r="J916" s="150"/>
      <c r="K916" s="150"/>
      <c r="L916" s="149"/>
      <c r="M916" s="149"/>
      <c r="N916" s="149"/>
      <c r="O916" s="150"/>
      <c r="P916" s="150"/>
      <c r="Q916" s="149"/>
      <c r="R916" s="149"/>
      <c r="S916" s="149"/>
      <c r="T916" s="150"/>
      <c r="U916" s="150"/>
      <c r="V916" s="150"/>
      <c r="W916" s="150"/>
      <c r="X916" s="150"/>
      <c r="Y916" s="150"/>
      <c r="Z916" s="150"/>
      <c r="AA916" s="150"/>
      <c r="AB916" s="150"/>
      <c r="AC916" s="149"/>
      <c r="AD916" s="149"/>
      <c r="AE916" s="149"/>
      <c r="AF916" s="150"/>
      <c r="AG916" s="150"/>
      <c r="AH916" s="149"/>
      <c r="AI916" s="149"/>
      <c r="AJ916" s="149"/>
      <c r="AK916" s="150"/>
      <c r="AL916" s="150"/>
      <c r="AM916" s="149"/>
      <c r="AN916" s="149"/>
      <c r="AO916" s="149"/>
      <c r="AP916" s="150"/>
      <c r="AQ916" s="150"/>
      <c r="AR916" s="150"/>
      <c r="AS916" s="150"/>
      <c r="AT916" s="150"/>
      <c r="AU916" s="150"/>
      <c r="AV916" s="150"/>
      <c r="AW916" s="150"/>
      <c r="AX916" s="150"/>
      <c r="AY916" s="151"/>
      <c r="AZ916" s="151"/>
      <c r="BA916" s="151"/>
      <c r="BB916" s="151"/>
      <c r="BC916" s="151"/>
      <c r="BD916" s="151"/>
      <c r="BE916" s="151"/>
      <c r="BF916" s="151"/>
      <c r="BG916" s="151"/>
      <c r="BH916" s="151"/>
      <c r="BI916" s="151"/>
    </row>
    <row r="917" spans="1:61" x14ac:dyDescent="0.25">
      <c r="A917" s="149"/>
      <c r="B917" s="149"/>
      <c r="C917" s="149"/>
      <c r="D917" s="149"/>
      <c r="E917" s="150"/>
      <c r="F917" s="150"/>
      <c r="G917" s="149"/>
      <c r="H917" s="149"/>
      <c r="I917" s="149"/>
      <c r="J917" s="150"/>
      <c r="K917" s="150"/>
      <c r="L917" s="149"/>
      <c r="M917" s="149"/>
      <c r="N917" s="149"/>
      <c r="O917" s="150"/>
      <c r="P917" s="150"/>
      <c r="Q917" s="149"/>
      <c r="R917" s="149"/>
      <c r="S917" s="149"/>
      <c r="T917" s="150"/>
      <c r="U917" s="150"/>
      <c r="V917" s="150"/>
      <c r="W917" s="150"/>
      <c r="X917" s="150"/>
      <c r="Y917" s="150"/>
      <c r="Z917" s="150"/>
      <c r="AA917" s="150"/>
      <c r="AB917" s="150"/>
      <c r="AC917" s="149"/>
      <c r="AD917" s="149"/>
      <c r="AE917" s="149"/>
      <c r="AF917" s="150"/>
      <c r="AG917" s="150"/>
      <c r="AH917" s="149"/>
      <c r="AI917" s="149"/>
      <c r="AJ917" s="149"/>
      <c r="AK917" s="150"/>
      <c r="AL917" s="150"/>
      <c r="AM917" s="149"/>
      <c r="AN917" s="149"/>
      <c r="AO917" s="149"/>
      <c r="AP917" s="150"/>
      <c r="AQ917" s="150"/>
      <c r="AR917" s="150"/>
      <c r="AS917" s="150"/>
      <c r="AT917" s="150"/>
      <c r="AU917" s="150"/>
      <c r="AV917" s="150"/>
      <c r="AW917" s="150"/>
      <c r="AX917" s="150"/>
      <c r="AY917" s="151"/>
      <c r="AZ917" s="151"/>
      <c r="BA917" s="151"/>
      <c r="BB917" s="151"/>
      <c r="BC917" s="151"/>
      <c r="BD917" s="151"/>
      <c r="BE917" s="151"/>
      <c r="BF917" s="151"/>
      <c r="BG917" s="151"/>
      <c r="BH917" s="151"/>
      <c r="BI917" s="151"/>
    </row>
    <row r="918" spans="1:61" x14ac:dyDescent="0.25">
      <c r="A918" s="149"/>
      <c r="B918" s="149"/>
      <c r="C918" s="149"/>
      <c r="D918" s="149"/>
      <c r="E918" s="150"/>
      <c r="F918" s="150"/>
      <c r="G918" s="149"/>
      <c r="H918" s="149"/>
      <c r="I918" s="149"/>
      <c r="J918" s="150"/>
      <c r="K918" s="150"/>
      <c r="L918" s="149"/>
      <c r="M918" s="149"/>
      <c r="N918" s="149"/>
      <c r="O918" s="150"/>
      <c r="P918" s="150"/>
      <c r="Q918" s="149"/>
      <c r="R918" s="149"/>
      <c r="S918" s="149"/>
      <c r="T918" s="150"/>
      <c r="U918" s="150"/>
      <c r="V918" s="150"/>
      <c r="W918" s="150"/>
      <c r="X918" s="150"/>
      <c r="Y918" s="150"/>
      <c r="Z918" s="150"/>
      <c r="AA918" s="150"/>
      <c r="AB918" s="150"/>
      <c r="AC918" s="149"/>
      <c r="AD918" s="149"/>
      <c r="AE918" s="149"/>
      <c r="AF918" s="150"/>
      <c r="AG918" s="150"/>
      <c r="AH918" s="149"/>
      <c r="AI918" s="149"/>
      <c r="AJ918" s="149"/>
      <c r="AK918" s="150"/>
      <c r="AL918" s="150"/>
      <c r="AM918" s="149"/>
      <c r="AN918" s="149"/>
      <c r="AO918" s="149"/>
      <c r="AP918" s="150"/>
      <c r="AQ918" s="150"/>
      <c r="AR918" s="150"/>
      <c r="AS918" s="150"/>
      <c r="AT918" s="150"/>
      <c r="AU918" s="150"/>
      <c r="AV918" s="150"/>
      <c r="AW918" s="150"/>
      <c r="AX918" s="150"/>
      <c r="AY918" s="151"/>
      <c r="AZ918" s="151"/>
      <c r="BA918" s="151"/>
      <c r="BB918" s="151"/>
      <c r="BC918" s="151"/>
      <c r="BD918" s="151"/>
      <c r="BE918" s="151"/>
      <c r="BF918" s="151"/>
      <c r="BG918" s="151"/>
      <c r="BH918" s="151"/>
      <c r="BI918" s="151"/>
    </row>
    <row r="919" spans="1:61" x14ac:dyDescent="0.25">
      <c r="A919" s="149"/>
      <c r="B919" s="149"/>
      <c r="C919" s="149"/>
      <c r="D919" s="149"/>
      <c r="E919" s="150"/>
      <c r="F919" s="150"/>
      <c r="G919" s="149"/>
      <c r="H919" s="149"/>
      <c r="I919" s="149"/>
      <c r="J919" s="150"/>
      <c r="K919" s="150"/>
      <c r="L919" s="149"/>
      <c r="M919" s="149"/>
      <c r="N919" s="149"/>
      <c r="O919" s="150"/>
      <c r="P919" s="150"/>
      <c r="Q919" s="149"/>
      <c r="R919" s="149"/>
      <c r="S919" s="149"/>
      <c r="T919" s="150"/>
      <c r="U919" s="150"/>
      <c r="V919" s="150"/>
      <c r="W919" s="150"/>
      <c r="X919" s="150"/>
      <c r="Y919" s="150"/>
      <c r="Z919" s="150"/>
      <c r="AA919" s="150"/>
      <c r="AB919" s="150"/>
      <c r="AC919" s="149"/>
      <c r="AD919" s="149"/>
      <c r="AE919" s="149"/>
      <c r="AF919" s="150"/>
      <c r="AG919" s="150"/>
      <c r="AH919" s="149"/>
      <c r="AI919" s="149"/>
      <c r="AJ919" s="149"/>
      <c r="AK919" s="150"/>
      <c r="AL919" s="150"/>
      <c r="AM919" s="149"/>
      <c r="AN919" s="149"/>
      <c r="AO919" s="149"/>
      <c r="AP919" s="150"/>
      <c r="AQ919" s="150"/>
      <c r="AR919" s="150"/>
      <c r="AS919" s="150"/>
      <c r="AT919" s="150"/>
      <c r="AU919" s="150"/>
      <c r="AV919" s="150"/>
      <c r="AW919" s="150"/>
      <c r="AX919" s="150"/>
      <c r="AY919" s="151"/>
      <c r="AZ919" s="151"/>
      <c r="BA919" s="151"/>
      <c r="BB919" s="151"/>
      <c r="BC919" s="151"/>
      <c r="BD919" s="151"/>
      <c r="BE919" s="151"/>
      <c r="BF919" s="151"/>
      <c r="BG919" s="151"/>
      <c r="BH919" s="151"/>
      <c r="BI919" s="151"/>
    </row>
    <row r="920" spans="1:61" x14ac:dyDescent="0.25">
      <c r="A920" s="149"/>
      <c r="B920" s="149"/>
      <c r="C920" s="149"/>
      <c r="D920" s="149"/>
      <c r="E920" s="150"/>
      <c r="F920" s="150"/>
      <c r="G920" s="149"/>
      <c r="H920" s="149"/>
      <c r="I920" s="149"/>
      <c r="J920" s="150"/>
      <c r="K920" s="150"/>
      <c r="L920" s="149"/>
      <c r="M920" s="149"/>
      <c r="N920" s="149"/>
      <c r="O920" s="150"/>
      <c r="P920" s="150"/>
      <c r="Q920" s="149"/>
      <c r="R920" s="149"/>
      <c r="S920" s="149"/>
      <c r="T920" s="150"/>
      <c r="U920" s="150"/>
      <c r="V920" s="150"/>
      <c r="W920" s="150"/>
      <c r="X920" s="150"/>
      <c r="Y920" s="150"/>
      <c r="Z920" s="150"/>
      <c r="AA920" s="150"/>
      <c r="AB920" s="150"/>
      <c r="AC920" s="149"/>
      <c r="AD920" s="149"/>
      <c r="AE920" s="149"/>
      <c r="AF920" s="150"/>
      <c r="AG920" s="150"/>
      <c r="AH920" s="149"/>
      <c r="AI920" s="149"/>
      <c r="AJ920" s="149"/>
      <c r="AK920" s="150"/>
      <c r="AL920" s="150"/>
      <c r="AM920" s="149"/>
      <c r="AN920" s="149"/>
      <c r="AO920" s="149"/>
      <c r="AP920" s="150"/>
      <c r="AQ920" s="150"/>
      <c r="AR920" s="150"/>
      <c r="AS920" s="150"/>
      <c r="AT920" s="150"/>
      <c r="AU920" s="150"/>
      <c r="AV920" s="150"/>
      <c r="AW920" s="150"/>
      <c r="AX920" s="150"/>
      <c r="AY920" s="151"/>
      <c r="AZ920" s="151"/>
      <c r="BA920" s="151"/>
      <c r="BB920" s="151"/>
      <c r="BC920" s="151"/>
      <c r="BD920" s="151"/>
      <c r="BE920" s="151"/>
      <c r="BF920" s="151"/>
      <c r="BG920" s="151"/>
      <c r="BH920" s="151"/>
      <c r="BI920" s="151"/>
    </row>
    <row r="921" spans="1:61" x14ac:dyDescent="0.25">
      <c r="A921" s="149"/>
      <c r="B921" s="149"/>
      <c r="C921" s="149"/>
      <c r="D921" s="149"/>
      <c r="E921" s="150"/>
      <c r="F921" s="150"/>
      <c r="G921" s="149"/>
      <c r="H921" s="149"/>
      <c r="I921" s="149"/>
      <c r="J921" s="150"/>
      <c r="K921" s="150"/>
      <c r="L921" s="149"/>
      <c r="M921" s="149"/>
      <c r="N921" s="149"/>
      <c r="O921" s="150"/>
      <c r="P921" s="150"/>
      <c r="Q921" s="149"/>
      <c r="R921" s="149"/>
      <c r="S921" s="149"/>
      <c r="T921" s="150"/>
      <c r="U921" s="150"/>
      <c r="V921" s="150"/>
      <c r="W921" s="150"/>
      <c r="X921" s="150"/>
      <c r="Y921" s="150"/>
      <c r="Z921" s="150"/>
      <c r="AA921" s="150"/>
      <c r="AB921" s="150"/>
      <c r="AC921" s="149"/>
      <c r="AD921" s="149"/>
      <c r="AE921" s="149"/>
      <c r="AF921" s="150"/>
      <c r="AG921" s="150"/>
      <c r="AH921" s="149"/>
      <c r="AI921" s="149"/>
      <c r="AJ921" s="149"/>
      <c r="AK921" s="150"/>
      <c r="AL921" s="150"/>
      <c r="AM921" s="149"/>
      <c r="AN921" s="149"/>
      <c r="AO921" s="149"/>
      <c r="AP921" s="150"/>
      <c r="AQ921" s="150"/>
      <c r="AR921" s="150"/>
      <c r="AS921" s="150"/>
      <c r="AT921" s="150"/>
      <c r="AU921" s="150"/>
      <c r="AV921" s="150"/>
      <c r="AW921" s="150"/>
      <c r="AX921" s="150"/>
      <c r="AY921" s="151"/>
      <c r="AZ921" s="151"/>
      <c r="BA921" s="151"/>
      <c r="BB921" s="151"/>
      <c r="BC921" s="151"/>
      <c r="BD921" s="151"/>
      <c r="BE921" s="151"/>
      <c r="BF921" s="151"/>
      <c r="BG921" s="151"/>
      <c r="BH921" s="151"/>
      <c r="BI921" s="151"/>
    </row>
    <row r="922" spans="1:61" x14ac:dyDescent="0.25">
      <c r="A922" s="149"/>
      <c r="B922" s="149"/>
      <c r="C922" s="149"/>
      <c r="D922" s="149"/>
      <c r="E922" s="150"/>
      <c r="F922" s="150"/>
      <c r="G922" s="149"/>
      <c r="H922" s="149"/>
      <c r="I922" s="149"/>
      <c r="J922" s="150"/>
      <c r="K922" s="150"/>
      <c r="L922" s="149"/>
      <c r="M922" s="149"/>
      <c r="N922" s="149"/>
      <c r="O922" s="150"/>
      <c r="P922" s="150"/>
      <c r="Q922" s="149"/>
      <c r="R922" s="149"/>
      <c r="S922" s="149"/>
      <c r="T922" s="150"/>
      <c r="U922" s="150"/>
      <c r="V922" s="150"/>
      <c r="W922" s="150"/>
      <c r="X922" s="150"/>
      <c r="Y922" s="150"/>
      <c r="Z922" s="150"/>
      <c r="AA922" s="150"/>
      <c r="AB922" s="150"/>
      <c r="AC922" s="149"/>
      <c r="AD922" s="149"/>
      <c r="AE922" s="149"/>
      <c r="AF922" s="150"/>
      <c r="AG922" s="150"/>
      <c r="AH922" s="149"/>
      <c r="AI922" s="149"/>
      <c r="AJ922" s="149"/>
      <c r="AK922" s="150"/>
      <c r="AL922" s="150"/>
      <c r="AM922" s="149"/>
      <c r="AN922" s="149"/>
      <c r="AO922" s="149"/>
      <c r="AP922" s="150"/>
      <c r="AQ922" s="150"/>
      <c r="AR922" s="150"/>
      <c r="AS922" s="150"/>
      <c r="AT922" s="150"/>
      <c r="AU922" s="150"/>
      <c r="AV922" s="150"/>
      <c r="AW922" s="150"/>
      <c r="AX922" s="150"/>
      <c r="AY922" s="151"/>
      <c r="AZ922" s="151"/>
      <c r="BA922" s="151"/>
      <c r="BB922" s="151"/>
      <c r="BC922" s="151"/>
      <c r="BD922" s="151"/>
      <c r="BE922" s="151"/>
      <c r="BF922" s="151"/>
      <c r="BG922" s="151"/>
      <c r="BH922" s="151"/>
      <c r="BI922" s="151"/>
    </row>
    <row r="923" spans="1:61" x14ac:dyDescent="0.25">
      <c r="A923" s="149"/>
      <c r="B923" s="149"/>
      <c r="C923" s="149"/>
      <c r="D923" s="149"/>
      <c r="E923" s="150"/>
      <c r="F923" s="150"/>
      <c r="G923" s="149"/>
      <c r="H923" s="149"/>
      <c r="I923" s="149"/>
      <c r="J923" s="150"/>
      <c r="K923" s="150"/>
      <c r="L923" s="149"/>
      <c r="M923" s="149"/>
      <c r="N923" s="149"/>
      <c r="O923" s="150"/>
      <c r="P923" s="150"/>
      <c r="Q923" s="149"/>
      <c r="R923" s="149"/>
      <c r="S923" s="149"/>
      <c r="T923" s="150"/>
      <c r="U923" s="150"/>
      <c r="V923" s="150"/>
      <c r="W923" s="150"/>
      <c r="X923" s="150"/>
      <c r="Y923" s="150"/>
      <c r="Z923" s="150"/>
      <c r="AA923" s="150"/>
      <c r="AB923" s="150"/>
      <c r="AC923" s="149"/>
      <c r="AD923" s="149"/>
      <c r="AE923" s="149"/>
      <c r="AF923" s="150"/>
      <c r="AG923" s="150"/>
      <c r="AH923" s="149"/>
      <c r="AI923" s="149"/>
      <c r="AJ923" s="149"/>
      <c r="AK923" s="150"/>
      <c r="AL923" s="150"/>
      <c r="AM923" s="149"/>
      <c r="AN923" s="149"/>
      <c r="AO923" s="149"/>
      <c r="AP923" s="150"/>
      <c r="AQ923" s="150"/>
      <c r="AR923" s="150"/>
      <c r="AS923" s="150"/>
      <c r="AT923" s="150"/>
      <c r="AU923" s="150"/>
      <c r="AV923" s="150"/>
      <c r="AW923" s="150"/>
      <c r="AX923" s="150"/>
      <c r="AY923" s="151"/>
      <c r="AZ923" s="151"/>
      <c r="BA923" s="151"/>
      <c r="BB923" s="151"/>
      <c r="BC923" s="151"/>
      <c r="BD923" s="151"/>
      <c r="BE923" s="151"/>
      <c r="BF923" s="151"/>
      <c r="BG923" s="151"/>
      <c r="BH923" s="151"/>
      <c r="BI923" s="151"/>
    </row>
    <row r="924" spans="1:61" x14ac:dyDescent="0.25">
      <c r="A924" s="149"/>
      <c r="B924" s="149"/>
      <c r="C924" s="149"/>
      <c r="D924" s="149"/>
      <c r="E924" s="150"/>
      <c r="F924" s="150"/>
      <c r="G924" s="149"/>
      <c r="H924" s="149"/>
      <c r="I924" s="149"/>
      <c r="J924" s="150"/>
      <c r="K924" s="150"/>
      <c r="L924" s="149"/>
      <c r="M924" s="149"/>
      <c r="N924" s="149"/>
      <c r="O924" s="150"/>
      <c r="P924" s="150"/>
      <c r="Q924" s="149"/>
      <c r="R924" s="149"/>
      <c r="S924" s="149"/>
      <c r="T924" s="150"/>
      <c r="U924" s="150"/>
      <c r="V924" s="150"/>
      <c r="W924" s="150"/>
      <c r="X924" s="150"/>
      <c r="Y924" s="150"/>
      <c r="Z924" s="150"/>
      <c r="AA924" s="150"/>
      <c r="AB924" s="150"/>
      <c r="AC924" s="149"/>
      <c r="AD924" s="149"/>
      <c r="AE924" s="149"/>
      <c r="AF924" s="150"/>
      <c r="AG924" s="150"/>
      <c r="AH924" s="149"/>
      <c r="AI924" s="149"/>
      <c r="AJ924" s="149"/>
      <c r="AK924" s="150"/>
      <c r="AL924" s="150"/>
      <c r="AM924" s="149"/>
      <c r="AN924" s="149"/>
      <c r="AO924" s="149"/>
      <c r="AP924" s="150"/>
      <c r="AQ924" s="150"/>
      <c r="AR924" s="150"/>
      <c r="AS924" s="150"/>
      <c r="AT924" s="150"/>
      <c r="AU924" s="150"/>
      <c r="AV924" s="150"/>
      <c r="AW924" s="150"/>
      <c r="AX924" s="150"/>
      <c r="AY924" s="151"/>
      <c r="AZ924" s="151"/>
      <c r="BA924" s="151"/>
      <c r="BB924" s="151"/>
      <c r="BC924" s="151"/>
      <c r="BD924" s="151"/>
      <c r="BE924" s="151"/>
      <c r="BF924" s="151"/>
      <c r="BG924" s="151"/>
      <c r="BH924" s="151"/>
      <c r="BI924" s="151"/>
    </row>
    <row r="925" spans="1:61" x14ac:dyDescent="0.25">
      <c r="A925" s="149"/>
      <c r="B925" s="149"/>
      <c r="C925" s="149"/>
      <c r="D925" s="149"/>
      <c r="E925" s="150"/>
      <c r="F925" s="150"/>
      <c r="G925" s="149"/>
      <c r="H925" s="149"/>
      <c r="I925" s="149"/>
      <c r="J925" s="150"/>
      <c r="K925" s="150"/>
      <c r="L925" s="149"/>
      <c r="M925" s="149"/>
      <c r="N925" s="149"/>
      <c r="O925" s="150"/>
      <c r="P925" s="150"/>
      <c r="Q925" s="149"/>
      <c r="R925" s="149"/>
      <c r="S925" s="149"/>
      <c r="T925" s="150"/>
      <c r="U925" s="150"/>
      <c r="V925" s="150"/>
      <c r="W925" s="150"/>
      <c r="X925" s="150"/>
      <c r="Y925" s="150"/>
      <c r="Z925" s="150"/>
      <c r="AA925" s="150"/>
      <c r="AB925" s="150"/>
      <c r="AC925" s="149"/>
      <c r="AD925" s="149"/>
      <c r="AE925" s="149"/>
      <c r="AF925" s="150"/>
      <c r="AG925" s="150"/>
      <c r="AH925" s="149"/>
      <c r="AI925" s="149"/>
      <c r="AJ925" s="149"/>
      <c r="AK925" s="150"/>
      <c r="AL925" s="150"/>
      <c r="AM925" s="149"/>
      <c r="AN925" s="149"/>
      <c r="AO925" s="149"/>
      <c r="AP925" s="150"/>
      <c r="AQ925" s="150"/>
      <c r="AR925" s="150"/>
      <c r="AS925" s="150"/>
      <c r="AT925" s="150"/>
      <c r="AU925" s="150"/>
      <c r="AV925" s="150"/>
      <c r="AW925" s="150"/>
      <c r="AX925" s="150"/>
      <c r="AY925" s="151"/>
      <c r="AZ925" s="151"/>
      <c r="BA925" s="151"/>
      <c r="BB925" s="151"/>
      <c r="BC925" s="151"/>
      <c r="BD925" s="151"/>
      <c r="BE925" s="151"/>
      <c r="BF925" s="151"/>
      <c r="BG925" s="151"/>
      <c r="BH925" s="151"/>
      <c r="BI925" s="151"/>
    </row>
    <row r="926" spans="1:61" x14ac:dyDescent="0.25">
      <c r="A926" s="149"/>
      <c r="B926" s="149"/>
      <c r="C926" s="149"/>
      <c r="D926" s="149"/>
      <c r="E926" s="150"/>
      <c r="F926" s="150"/>
      <c r="G926" s="149"/>
      <c r="H926" s="149"/>
      <c r="I926" s="149"/>
      <c r="J926" s="150"/>
      <c r="K926" s="150"/>
      <c r="L926" s="149"/>
      <c r="M926" s="149"/>
      <c r="N926" s="149"/>
      <c r="O926" s="150"/>
      <c r="P926" s="150"/>
      <c r="Q926" s="149"/>
      <c r="R926" s="149"/>
      <c r="S926" s="149"/>
      <c r="T926" s="150"/>
      <c r="U926" s="150"/>
      <c r="V926" s="150"/>
      <c r="W926" s="150"/>
      <c r="X926" s="150"/>
      <c r="Y926" s="150"/>
      <c r="Z926" s="150"/>
      <c r="AA926" s="150"/>
      <c r="AB926" s="150"/>
      <c r="AC926" s="149"/>
      <c r="AD926" s="149"/>
      <c r="AE926" s="149"/>
      <c r="AF926" s="150"/>
      <c r="AG926" s="150"/>
      <c r="AH926" s="149"/>
      <c r="AI926" s="149"/>
      <c r="AJ926" s="149"/>
      <c r="AK926" s="150"/>
      <c r="AL926" s="150"/>
      <c r="AM926" s="149"/>
      <c r="AN926" s="149"/>
      <c r="AO926" s="149"/>
      <c r="AP926" s="150"/>
      <c r="AQ926" s="150"/>
      <c r="AR926" s="150"/>
      <c r="AS926" s="150"/>
      <c r="AT926" s="150"/>
      <c r="AU926" s="150"/>
      <c r="AV926" s="150"/>
      <c r="AW926" s="150"/>
      <c r="AX926" s="150"/>
      <c r="AY926" s="151"/>
      <c r="AZ926" s="151"/>
      <c r="BA926" s="151"/>
      <c r="BB926" s="151"/>
      <c r="BC926" s="151"/>
      <c r="BD926" s="151"/>
      <c r="BE926" s="151"/>
      <c r="BF926" s="151"/>
      <c r="BG926" s="151"/>
      <c r="BH926" s="151"/>
      <c r="BI926" s="151"/>
    </row>
    <row r="927" spans="1:61" x14ac:dyDescent="0.25">
      <c r="A927" s="149"/>
      <c r="B927" s="149"/>
      <c r="C927" s="149"/>
      <c r="D927" s="149"/>
      <c r="E927" s="150"/>
      <c r="F927" s="150"/>
      <c r="G927" s="149"/>
      <c r="H927" s="149"/>
      <c r="I927" s="149"/>
      <c r="J927" s="150"/>
      <c r="K927" s="150"/>
      <c r="L927" s="149"/>
      <c r="M927" s="149"/>
      <c r="N927" s="149"/>
      <c r="O927" s="150"/>
      <c r="P927" s="150"/>
      <c r="Q927" s="149"/>
      <c r="R927" s="149"/>
      <c r="S927" s="149"/>
      <c r="T927" s="150"/>
      <c r="U927" s="150"/>
      <c r="V927" s="150"/>
      <c r="W927" s="150"/>
      <c r="X927" s="150"/>
      <c r="Y927" s="150"/>
      <c r="Z927" s="150"/>
      <c r="AA927" s="150"/>
      <c r="AB927" s="150"/>
      <c r="AC927" s="149"/>
      <c r="AD927" s="149"/>
      <c r="AE927" s="149"/>
      <c r="AF927" s="150"/>
      <c r="AG927" s="150"/>
      <c r="AH927" s="149"/>
      <c r="AI927" s="149"/>
      <c r="AJ927" s="149"/>
      <c r="AK927" s="150"/>
      <c r="AL927" s="150"/>
      <c r="AM927" s="149"/>
      <c r="AN927" s="149"/>
      <c r="AO927" s="149"/>
      <c r="AP927" s="150"/>
      <c r="AQ927" s="150"/>
      <c r="AR927" s="150"/>
      <c r="AS927" s="150"/>
      <c r="AT927" s="150"/>
      <c r="AU927" s="150"/>
      <c r="AV927" s="150"/>
      <c r="AW927" s="150"/>
      <c r="AX927" s="150"/>
      <c r="AY927" s="151"/>
      <c r="AZ927" s="151"/>
      <c r="BA927" s="151"/>
      <c r="BB927" s="151"/>
      <c r="BC927" s="151"/>
      <c r="BD927" s="151"/>
      <c r="BE927" s="151"/>
      <c r="BF927" s="151"/>
      <c r="BG927" s="151"/>
      <c r="BH927" s="151"/>
      <c r="BI927" s="151"/>
    </row>
    <row r="928" spans="1:61" x14ac:dyDescent="0.25">
      <c r="A928" s="149"/>
      <c r="B928" s="149"/>
      <c r="C928" s="149"/>
      <c r="D928" s="149"/>
      <c r="E928" s="150"/>
      <c r="F928" s="150"/>
      <c r="G928" s="149"/>
      <c r="H928" s="149"/>
      <c r="I928" s="149"/>
      <c r="J928" s="150"/>
      <c r="K928" s="150"/>
      <c r="L928" s="149"/>
      <c r="M928" s="149"/>
      <c r="N928" s="149"/>
      <c r="O928" s="150"/>
      <c r="P928" s="150"/>
      <c r="Q928" s="149"/>
      <c r="R928" s="149"/>
      <c r="S928" s="149"/>
      <c r="T928" s="150"/>
      <c r="U928" s="150"/>
      <c r="V928" s="150"/>
      <c r="W928" s="150"/>
      <c r="X928" s="150"/>
      <c r="Y928" s="150"/>
      <c r="Z928" s="150"/>
      <c r="AA928" s="150"/>
      <c r="AB928" s="150"/>
      <c r="AC928" s="149"/>
      <c r="AD928" s="149"/>
      <c r="AE928" s="149"/>
      <c r="AF928" s="150"/>
      <c r="AG928" s="150"/>
      <c r="AH928" s="149"/>
      <c r="AI928" s="149"/>
      <c r="AJ928" s="149"/>
      <c r="AK928" s="150"/>
      <c r="AL928" s="150"/>
      <c r="AM928" s="149"/>
      <c r="AN928" s="149"/>
      <c r="AO928" s="149"/>
      <c r="AP928" s="150"/>
      <c r="AQ928" s="150"/>
      <c r="AR928" s="150"/>
      <c r="AS928" s="150"/>
      <c r="AT928" s="150"/>
      <c r="AU928" s="150"/>
      <c r="AV928" s="150"/>
      <c r="AW928" s="150"/>
      <c r="AX928" s="150"/>
      <c r="AY928" s="151"/>
      <c r="AZ928" s="151"/>
      <c r="BA928" s="151"/>
      <c r="BB928" s="151"/>
      <c r="BC928" s="151"/>
      <c r="BD928" s="151"/>
      <c r="BE928" s="151"/>
      <c r="BF928" s="151"/>
      <c r="BG928" s="151"/>
      <c r="BH928" s="151"/>
      <c r="BI928" s="151"/>
    </row>
    <row r="929" spans="1:61" x14ac:dyDescent="0.25">
      <c r="A929" s="149"/>
      <c r="B929" s="149"/>
      <c r="C929" s="149"/>
      <c r="D929" s="149"/>
      <c r="E929" s="150"/>
      <c r="F929" s="150"/>
      <c r="G929" s="149"/>
      <c r="H929" s="149"/>
      <c r="I929" s="149"/>
      <c r="J929" s="150"/>
      <c r="K929" s="150"/>
      <c r="L929" s="149"/>
      <c r="M929" s="149"/>
      <c r="N929" s="149"/>
      <c r="O929" s="150"/>
      <c r="P929" s="150"/>
      <c r="Q929" s="149"/>
      <c r="R929" s="149"/>
      <c r="S929" s="149"/>
      <c r="T929" s="150"/>
      <c r="U929" s="150"/>
      <c r="V929" s="150"/>
      <c r="W929" s="150"/>
      <c r="X929" s="150"/>
      <c r="Y929" s="150"/>
      <c r="Z929" s="150"/>
      <c r="AA929" s="150"/>
      <c r="AB929" s="150"/>
      <c r="AC929" s="149"/>
      <c r="AD929" s="149"/>
      <c r="AE929" s="149"/>
      <c r="AF929" s="150"/>
      <c r="AG929" s="150"/>
      <c r="AH929" s="149"/>
      <c r="AI929" s="149"/>
      <c r="AJ929" s="149"/>
      <c r="AK929" s="150"/>
      <c r="AL929" s="150"/>
      <c r="AM929" s="149"/>
      <c r="AN929" s="149"/>
      <c r="AO929" s="149"/>
      <c r="AP929" s="150"/>
      <c r="AQ929" s="150"/>
      <c r="AR929" s="150"/>
      <c r="AS929" s="150"/>
      <c r="AT929" s="150"/>
      <c r="AU929" s="150"/>
      <c r="AV929" s="150"/>
      <c r="AW929" s="150"/>
      <c r="AX929" s="150"/>
      <c r="AY929" s="151"/>
      <c r="AZ929" s="151"/>
      <c r="BA929" s="151"/>
      <c r="BB929" s="151"/>
      <c r="BC929" s="151"/>
      <c r="BD929" s="151"/>
      <c r="BE929" s="151"/>
      <c r="BF929" s="151"/>
      <c r="BG929" s="151"/>
      <c r="BH929" s="151"/>
      <c r="BI929" s="151"/>
    </row>
    <row r="930" spans="1:61" x14ac:dyDescent="0.25">
      <c r="A930" s="149"/>
      <c r="B930" s="149"/>
      <c r="C930" s="149"/>
      <c r="D930" s="149"/>
      <c r="E930" s="150"/>
      <c r="F930" s="150"/>
      <c r="G930" s="149"/>
      <c r="H930" s="149"/>
      <c r="I930" s="149"/>
      <c r="J930" s="150"/>
      <c r="K930" s="150"/>
      <c r="L930" s="149"/>
      <c r="M930" s="149"/>
      <c r="N930" s="149"/>
      <c r="O930" s="150"/>
      <c r="P930" s="150"/>
      <c r="Q930" s="149"/>
      <c r="R930" s="149"/>
      <c r="S930" s="149"/>
      <c r="T930" s="150"/>
      <c r="U930" s="150"/>
      <c r="V930" s="150"/>
      <c r="W930" s="150"/>
      <c r="X930" s="150"/>
      <c r="Y930" s="150"/>
      <c r="Z930" s="150"/>
      <c r="AA930" s="150"/>
      <c r="AB930" s="150"/>
      <c r="AC930" s="149"/>
      <c r="AD930" s="149"/>
      <c r="AE930" s="149"/>
      <c r="AF930" s="150"/>
      <c r="AG930" s="150"/>
      <c r="AH930" s="149"/>
      <c r="AI930" s="149"/>
      <c r="AJ930" s="149"/>
      <c r="AK930" s="150"/>
      <c r="AL930" s="150"/>
      <c r="AM930" s="149"/>
      <c r="AN930" s="149"/>
      <c r="AO930" s="149"/>
      <c r="AP930" s="150"/>
      <c r="AQ930" s="150"/>
      <c r="AR930" s="150"/>
      <c r="AS930" s="150"/>
      <c r="AT930" s="150"/>
      <c r="AU930" s="150"/>
      <c r="AV930" s="150"/>
      <c r="AW930" s="150"/>
      <c r="AX930" s="150"/>
      <c r="AY930" s="151"/>
      <c r="AZ930" s="151"/>
      <c r="BA930" s="151"/>
      <c r="BB930" s="151"/>
      <c r="BC930" s="151"/>
      <c r="BD930" s="151"/>
      <c r="BE930" s="151"/>
      <c r="BF930" s="151"/>
      <c r="BG930" s="151"/>
      <c r="BH930" s="151"/>
      <c r="BI930" s="151"/>
    </row>
    <row r="931" spans="1:61" x14ac:dyDescent="0.25">
      <c r="A931" s="149"/>
      <c r="B931" s="149"/>
      <c r="C931" s="149"/>
      <c r="D931" s="149"/>
      <c r="E931" s="150"/>
      <c r="F931" s="150"/>
      <c r="G931" s="149"/>
      <c r="H931" s="149"/>
      <c r="I931" s="149"/>
      <c r="J931" s="150"/>
      <c r="K931" s="150"/>
      <c r="L931" s="149"/>
      <c r="M931" s="149"/>
      <c r="N931" s="149"/>
      <c r="O931" s="150"/>
      <c r="P931" s="150"/>
      <c r="Q931" s="149"/>
      <c r="R931" s="149"/>
      <c r="S931" s="149"/>
      <c r="T931" s="150"/>
      <c r="U931" s="150"/>
      <c r="V931" s="150"/>
      <c r="W931" s="150"/>
      <c r="X931" s="150"/>
      <c r="Y931" s="150"/>
      <c r="Z931" s="150"/>
      <c r="AA931" s="150"/>
      <c r="AB931" s="150"/>
      <c r="AC931" s="149"/>
      <c r="AD931" s="149"/>
      <c r="AE931" s="149"/>
      <c r="AF931" s="150"/>
      <c r="AG931" s="150"/>
      <c r="AH931" s="149"/>
      <c r="AI931" s="149"/>
      <c r="AJ931" s="149"/>
      <c r="AK931" s="150"/>
      <c r="AL931" s="150"/>
      <c r="AM931" s="149"/>
      <c r="AN931" s="149"/>
      <c r="AO931" s="149"/>
      <c r="AP931" s="150"/>
      <c r="AQ931" s="150"/>
      <c r="AR931" s="150"/>
      <c r="AS931" s="150"/>
      <c r="AT931" s="150"/>
      <c r="AU931" s="150"/>
      <c r="AV931" s="150"/>
      <c r="AW931" s="150"/>
      <c r="AX931" s="150"/>
      <c r="AY931" s="151"/>
      <c r="AZ931" s="151"/>
      <c r="BA931" s="151"/>
      <c r="BB931" s="151"/>
      <c r="BC931" s="151"/>
      <c r="BD931" s="151"/>
      <c r="BE931" s="151"/>
      <c r="BF931" s="151"/>
      <c r="BG931" s="151"/>
      <c r="BH931" s="151"/>
      <c r="BI931" s="151"/>
    </row>
    <row r="932" spans="1:61" x14ac:dyDescent="0.25">
      <c r="A932" s="149"/>
      <c r="B932" s="149"/>
      <c r="C932" s="149"/>
      <c r="D932" s="149"/>
      <c r="E932" s="150"/>
      <c r="F932" s="150"/>
      <c r="G932" s="149"/>
      <c r="H932" s="149"/>
      <c r="I932" s="149"/>
      <c r="J932" s="150"/>
      <c r="K932" s="150"/>
      <c r="L932" s="149"/>
      <c r="M932" s="149"/>
      <c r="N932" s="149"/>
      <c r="O932" s="150"/>
      <c r="P932" s="150"/>
      <c r="Q932" s="149"/>
      <c r="R932" s="149"/>
      <c r="S932" s="149"/>
      <c r="T932" s="150"/>
      <c r="U932" s="150"/>
      <c r="V932" s="150"/>
      <c r="W932" s="150"/>
      <c r="X932" s="150"/>
      <c r="Y932" s="150"/>
      <c r="Z932" s="150"/>
      <c r="AA932" s="150"/>
      <c r="AB932" s="150"/>
      <c r="AC932" s="149"/>
      <c r="AD932" s="149"/>
      <c r="AE932" s="149"/>
      <c r="AF932" s="150"/>
      <c r="AG932" s="150"/>
      <c r="AH932" s="149"/>
      <c r="AI932" s="149"/>
      <c r="AJ932" s="149"/>
      <c r="AK932" s="150"/>
      <c r="AL932" s="150"/>
      <c r="AM932" s="149"/>
      <c r="AN932" s="149"/>
      <c r="AO932" s="149"/>
      <c r="AP932" s="150"/>
      <c r="AQ932" s="150"/>
      <c r="AR932" s="150"/>
      <c r="AS932" s="150"/>
      <c r="AT932" s="150"/>
      <c r="AU932" s="150"/>
      <c r="AV932" s="150"/>
      <c r="AW932" s="150"/>
      <c r="AX932" s="150"/>
      <c r="AY932" s="151"/>
      <c r="AZ932" s="151"/>
      <c r="BA932" s="151"/>
      <c r="BB932" s="151"/>
      <c r="BC932" s="151"/>
      <c r="BD932" s="151"/>
      <c r="BE932" s="151"/>
      <c r="BF932" s="151"/>
      <c r="BG932" s="151"/>
      <c r="BH932" s="151"/>
      <c r="BI932" s="151"/>
    </row>
    <row r="933" spans="1:61" x14ac:dyDescent="0.25">
      <c r="A933" s="149"/>
      <c r="B933" s="149"/>
      <c r="C933" s="149"/>
      <c r="D933" s="149"/>
      <c r="E933" s="150"/>
      <c r="F933" s="150"/>
      <c r="G933" s="149"/>
      <c r="H933" s="149"/>
      <c r="I933" s="149"/>
      <c r="J933" s="150"/>
      <c r="K933" s="150"/>
      <c r="L933" s="149"/>
      <c r="M933" s="149"/>
      <c r="N933" s="149"/>
      <c r="O933" s="150"/>
      <c r="P933" s="150"/>
      <c r="Q933" s="149"/>
      <c r="R933" s="149"/>
      <c r="S933" s="149"/>
      <c r="T933" s="150"/>
      <c r="U933" s="150"/>
      <c r="V933" s="150"/>
      <c r="W933" s="150"/>
      <c r="X933" s="150"/>
      <c r="Y933" s="150"/>
      <c r="Z933" s="150"/>
      <c r="AA933" s="150"/>
      <c r="AB933" s="150"/>
      <c r="AC933" s="149"/>
      <c r="AD933" s="149"/>
      <c r="AE933" s="149"/>
      <c r="AF933" s="150"/>
      <c r="AG933" s="150"/>
      <c r="AH933" s="149"/>
      <c r="AI933" s="149"/>
      <c r="AJ933" s="149"/>
      <c r="AK933" s="150"/>
      <c r="AL933" s="150"/>
      <c r="AM933" s="149"/>
      <c r="AN933" s="149"/>
      <c r="AO933" s="149"/>
      <c r="AP933" s="150"/>
      <c r="AQ933" s="150"/>
      <c r="AR933" s="150"/>
      <c r="AS933" s="150"/>
      <c r="AT933" s="150"/>
      <c r="AU933" s="150"/>
      <c r="AV933" s="150"/>
      <c r="AW933" s="150"/>
      <c r="AX933" s="150"/>
      <c r="AY933" s="151"/>
      <c r="AZ933" s="151"/>
      <c r="BA933" s="151"/>
      <c r="BB933" s="151"/>
      <c r="BC933" s="151"/>
      <c r="BD933" s="151"/>
      <c r="BE933" s="151"/>
      <c r="BF933" s="151"/>
      <c r="BG933" s="151"/>
      <c r="BH933" s="151"/>
      <c r="BI933" s="151"/>
    </row>
    <row r="934" spans="1:61" x14ac:dyDescent="0.25">
      <c r="A934" s="149"/>
      <c r="B934" s="149"/>
      <c r="C934" s="149"/>
      <c r="D934" s="149"/>
      <c r="E934" s="150"/>
      <c r="F934" s="150"/>
      <c r="G934" s="149"/>
      <c r="H934" s="149"/>
      <c r="I934" s="149"/>
      <c r="J934" s="150"/>
      <c r="K934" s="150"/>
      <c r="L934" s="149"/>
      <c r="M934" s="149"/>
      <c r="N934" s="149"/>
      <c r="O934" s="150"/>
      <c r="P934" s="150"/>
      <c r="Q934" s="149"/>
      <c r="R934" s="149"/>
      <c r="S934" s="149"/>
      <c r="T934" s="150"/>
      <c r="U934" s="150"/>
      <c r="V934" s="150"/>
      <c r="W934" s="150"/>
      <c r="X934" s="150"/>
      <c r="Y934" s="150"/>
      <c r="Z934" s="150"/>
      <c r="AA934" s="150"/>
      <c r="AB934" s="150"/>
      <c r="AC934" s="149"/>
      <c r="AD934" s="149"/>
      <c r="AE934" s="149"/>
      <c r="AF934" s="150"/>
      <c r="AG934" s="150"/>
      <c r="AH934" s="149"/>
      <c r="AI934" s="149"/>
      <c r="AJ934" s="149"/>
      <c r="AK934" s="150"/>
      <c r="AL934" s="150"/>
      <c r="AM934" s="149"/>
      <c r="AN934" s="149"/>
      <c r="AO934" s="149"/>
      <c r="AP934" s="150"/>
      <c r="AQ934" s="150"/>
      <c r="AR934" s="150"/>
      <c r="AS934" s="150"/>
      <c r="AT934" s="150"/>
      <c r="AU934" s="150"/>
      <c r="AV934" s="150"/>
      <c r="AW934" s="150"/>
      <c r="AX934" s="150"/>
      <c r="AY934" s="151"/>
      <c r="AZ934" s="151"/>
      <c r="BA934" s="151"/>
      <c r="BB934" s="151"/>
      <c r="BC934" s="151"/>
      <c r="BD934" s="151"/>
      <c r="BE934" s="151"/>
      <c r="BF934" s="151"/>
      <c r="BG934" s="151"/>
      <c r="BH934" s="151"/>
      <c r="BI934" s="151"/>
    </row>
    <row r="935" spans="1:61" x14ac:dyDescent="0.25">
      <c r="A935" s="149"/>
      <c r="B935" s="149"/>
      <c r="C935" s="149"/>
      <c r="D935" s="149"/>
      <c r="E935" s="150"/>
      <c r="F935" s="150"/>
      <c r="G935" s="149"/>
      <c r="H935" s="149"/>
      <c r="I935" s="149"/>
      <c r="J935" s="150"/>
      <c r="K935" s="150"/>
      <c r="L935" s="149"/>
      <c r="M935" s="149"/>
      <c r="N935" s="149"/>
      <c r="O935" s="150"/>
      <c r="P935" s="150"/>
      <c r="Q935" s="149"/>
      <c r="R935" s="149"/>
      <c r="S935" s="149"/>
      <c r="T935" s="150"/>
      <c r="U935" s="150"/>
      <c r="V935" s="150"/>
      <c r="W935" s="150"/>
      <c r="X935" s="150"/>
      <c r="Y935" s="150"/>
      <c r="Z935" s="150"/>
      <c r="AA935" s="150"/>
      <c r="AB935" s="150"/>
      <c r="AC935" s="149"/>
      <c r="AD935" s="149"/>
      <c r="AE935" s="149"/>
      <c r="AF935" s="150"/>
      <c r="AG935" s="150"/>
      <c r="AH935" s="149"/>
      <c r="AI935" s="149"/>
      <c r="AJ935" s="149"/>
      <c r="AK935" s="150"/>
      <c r="AL935" s="150"/>
      <c r="AM935" s="149"/>
      <c r="AN935" s="149"/>
      <c r="AO935" s="149"/>
      <c r="AP935" s="150"/>
      <c r="AQ935" s="150"/>
      <c r="AR935" s="150"/>
      <c r="AS935" s="150"/>
      <c r="AT935" s="150"/>
      <c r="AU935" s="150"/>
      <c r="AV935" s="150"/>
      <c r="AW935" s="150"/>
      <c r="AX935" s="150"/>
      <c r="AY935" s="151"/>
      <c r="AZ935" s="151"/>
      <c r="BA935" s="151"/>
      <c r="BB935" s="151"/>
      <c r="BC935" s="151"/>
      <c r="BD935" s="151"/>
      <c r="BE935" s="151"/>
      <c r="BF935" s="151"/>
      <c r="BG935" s="151"/>
      <c r="BH935" s="151"/>
      <c r="BI935" s="151"/>
    </row>
    <row r="936" spans="1:61" x14ac:dyDescent="0.25">
      <c r="A936" s="149"/>
      <c r="B936" s="149"/>
      <c r="C936" s="149"/>
      <c r="D936" s="149"/>
      <c r="E936" s="150"/>
      <c r="F936" s="150"/>
      <c r="G936" s="149"/>
      <c r="H936" s="149"/>
      <c r="I936" s="149"/>
      <c r="J936" s="150"/>
      <c r="K936" s="150"/>
      <c r="L936" s="149"/>
      <c r="M936" s="149"/>
      <c r="N936" s="149"/>
      <c r="O936" s="150"/>
      <c r="P936" s="150"/>
      <c r="Q936" s="149"/>
      <c r="R936" s="149"/>
      <c r="S936" s="149"/>
      <c r="T936" s="150"/>
      <c r="U936" s="150"/>
      <c r="V936" s="150"/>
      <c r="W936" s="150"/>
      <c r="X936" s="150"/>
      <c r="Y936" s="150"/>
      <c r="Z936" s="150"/>
      <c r="AA936" s="150"/>
      <c r="AB936" s="150"/>
      <c r="AC936" s="149"/>
      <c r="AD936" s="149"/>
      <c r="AE936" s="149"/>
      <c r="AF936" s="150"/>
      <c r="AG936" s="150"/>
      <c r="AH936" s="149"/>
      <c r="AI936" s="149"/>
      <c r="AJ936" s="149"/>
      <c r="AK936" s="150"/>
      <c r="AL936" s="150"/>
      <c r="AM936" s="149"/>
      <c r="AN936" s="149"/>
      <c r="AO936" s="149"/>
      <c r="AP936" s="150"/>
      <c r="AQ936" s="150"/>
      <c r="AR936" s="150"/>
      <c r="AS936" s="150"/>
      <c r="AT936" s="150"/>
      <c r="AU936" s="150"/>
      <c r="AV936" s="150"/>
      <c r="AW936" s="150"/>
      <c r="AX936" s="150"/>
      <c r="AY936" s="151"/>
      <c r="AZ936" s="151"/>
      <c r="BA936" s="151"/>
      <c r="BB936" s="151"/>
      <c r="BC936" s="151"/>
      <c r="BD936" s="151"/>
      <c r="BE936" s="151"/>
      <c r="BF936" s="151"/>
      <c r="BG936" s="151"/>
      <c r="BH936" s="151"/>
      <c r="BI936" s="151"/>
    </row>
    <row r="937" spans="1:61" x14ac:dyDescent="0.25">
      <c r="A937" s="149"/>
      <c r="B937" s="149"/>
      <c r="C937" s="149"/>
      <c r="D937" s="149"/>
      <c r="E937" s="150"/>
      <c r="F937" s="150"/>
      <c r="G937" s="149"/>
      <c r="H937" s="149"/>
      <c r="I937" s="149"/>
      <c r="J937" s="150"/>
      <c r="K937" s="150"/>
      <c r="L937" s="149"/>
      <c r="M937" s="149"/>
      <c r="N937" s="149"/>
      <c r="O937" s="150"/>
      <c r="P937" s="150"/>
      <c r="Q937" s="149"/>
      <c r="R937" s="149"/>
      <c r="S937" s="149"/>
      <c r="T937" s="150"/>
      <c r="U937" s="150"/>
      <c r="V937" s="150"/>
      <c r="W937" s="150"/>
      <c r="X937" s="150"/>
      <c r="Y937" s="150"/>
      <c r="Z937" s="150"/>
      <c r="AA937" s="150"/>
      <c r="AB937" s="150"/>
      <c r="AC937" s="149"/>
      <c r="AD937" s="149"/>
      <c r="AE937" s="149"/>
      <c r="AF937" s="150"/>
      <c r="AG937" s="150"/>
      <c r="AH937" s="149"/>
      <c r="AI937" s="149"/>
      <c r="AJ937" s="149"/>
      <c r="AK937" s="150"/>
      <c r="AL937" s="150"/>
      <c r="AM937" s="149"/>
      <c r="AN937" s="149"/>
      <c r="AO937" s="149"/>
      <c r="AP937" s="150"/>
      <c r="AQ937" s="150"/>
      <c r="AR937" s="150"/>
      <c r="AS937" s="150"/>
      <c r="AT937" s="150"/>
      <c r="AU937" s="150"/>
      <c r="AV937" s="150"/>
      <c r="AW937" s="150"/>
      <c r="AX937" s="150"/>
      <c r="AY937" s="151"/>
      <c r="AZ937" s="151"/>
      <c r="BA937" s="151"/>
      <c r="BB937" s="151"/>
      <c r="BC937" s="151"/>
      <c r="BD937" s="151"/>
      <c r="BE937" s="151"/>
      <c r="BF937" s="151"/>
      <c r="BG937" s="151"/>
      <c r="BH937" s="151"/>
      <c r="BI937" s="151"/>
    </row>
    <row r="938" spans="1:61" x14ac:dyDescent="0.25">
      <c r="A938" s="149"/>
      <c r="B938" s="149"/>
      <c r="C938" s="149"/>
      <c r="D938" s="149"/>
      <c r="E938" s="150"/>
      <c r="F938" s="150"/>
      <c r="G938" s="149"/>
      <c r="H938" s="149"/>
      <c r="I938" s="149"/>
      <c r="J938" s="150"/>
      <c r="K938" s="150"/>
      <c r="L938" s="149"/>
      <c r="M938" s="149"/>
      <c r="N938" s="149"/>
      <c r="O938" s="150"/>
      <c r="P938" s="150"/>
      <c r="Q938" s="149"/>
      <c r="R938" s="149"/>
      <c r="S938" s="149"/>
      <c r="T938" s="150"/>
      <c r="U938" s="150"/>
      <c r="V938" s="150"/>
      <c r="W938" s="150"/>
      <c r="X938" s="150"/>
      <c r="Y938" s="150"/>
      <c r="Z938" s="150"/>
      <c r="AA938" s="150"/>
      <c r="AB938" s="150"/>
      <c r="AC938" s="149"/>
      <c r="AD938" s="149"/>
      <c r="AE938" s="149"/>
      <c r="AF938" s="150"/>
      <c r="AG938" s="150"/>
      <c r="AH938" s="149"/>
      <c r="AI938" s="149"/>
      <c r="AJ938" s="149"/>
      <c r="AK938" s="150"/>
      <c r="AL938" s="150"/>
      <c r="AM938" s="149"/>
      <c r="AN938" s="149"/>
      <c r="AO938" s="149"/>
      <c r="AP938" s="150"/>
      <c r="AQ938" s="150"/>
      <c r="AR938" s="150"/>
      <c r="AS938" s="150"/>
      <c r="AT938" s="150"/>
      <c r="AU938" s="150"/>
      <c r="AV938" s="150"/>
      <c r="AW938" s="150"/>
      <c r="AX938" s="150"/>
      <c r="AY938" s="151"/>
      <c r="AZ938" s="151"/>
      <c r="BA938" s="151"/>
      <c r="BB938" s="151"/>
      <c r="BC938" s="151"/>
      <c r="BD938" s="151"/>
      <c r="BE938" s="151"/>
      <c r="BF938" s="151"/>
      <c r="BG938" s="151"/>
      <c r="BH938" s="151"/>
      <c r="BI938" s="151"/>
    </row>
    <row r="939" spans="1:61" x14ac:dyDescent="0.25">
      <c r="A939" s="149"/>
      <c r="B939" s="149"/>
      <c r="C939" s="149"/>
      <c r="D939" s="149"/>
      <c r="E939" s="150"/>
      <c r="F939" s="150"/>
      <c r="G939" s="149"/>
      <c r="H939" s="149"/>
      <c r="I939" s="149"/>
      <c r="J939" s="150"/>
      <c r="K939" s="150"/>
      <c r="L939" s="149"/>
      <c r="M939" s="149"/>
      <c r="N939" s="149"/>
      <c r="O939" s="150"/>
      <c r="P939" s="150"/>
      <c r="Q939" s="149"/>
      <c r="R939" s="149"/>
      <c r="S939" s="149"/>
      <c r="T939" s="150"/>
      <c r="U939" s="150"/>
      <c r="V939" s="150"/>
      <c r="W939" s="150"/>
      <c r="X939" s="150"/>
      <c r="Y939" s="150"/>
      <c r="Z939" s="150"/>
      <c r="AA939" s="150"/>
      <c r="AB939" s="150"/>
      <c r="AC939" s="149"/>
      <c r="AD939" s="149"/>
      <c r="AE939" s="149"/>
      <c r="AF939" s="150"/>
      <c r="AG939" s="150"/>
      <c r="AH939" s="149"/>
      <c r="AI939" s="149"/>
      <c r="AJ939" s="149"/>
      <c r="AK939" s="150"/>
      <c r="AL939" s="150"/>
      <c r="AM939" s="149"/>
      <c r="AN939" s="149"/>
      <c r="AO939" s="149"/>
      <c r="AP939" s="150"/>
      <c r="AQ939" s="150"/>
      <c r="AR939" s="150"/>
      <c r="AS939" s="150"/>
      <c r="AT939" s="150"/>
      <c r="AU939" s="150"/>
      <c r="AV939" s="150"/>
      <c r="AW939" s="150"/>
      <c r="AX939" s="150"/>
      <c r="AY939" s="151"/>
      <c r="AZ939" s="151"/>
      <c r="BA939" s="151"/>
      <c r="BB939" s="151"/>
      <c r="BC939" s="151"/>
      <c r="BD939" s="151"/>
      <c r="BE939" s="151"/>
      <c r="BF939" s="151"/>
      <c r="BG939" s="151"/>
      <c r="BH939" s="151"/>
      <c r="BI939" s="151"/>
    </row>
    <row r="940" spans="1:61" x14ac:dyDescent="0.25">
      <c r="A940" s="149"/>
      <c r="B940" s="149"/>
      <c r="C940" s="149"/>
      <c r="D940" s="149"/>
      <c r="E940" s="150"/>
      <c r="F940" s="150"/>
      <c r="G940" s="149"/>
      <c r="H940" s="149"/>
      <c r="I940" s="149"/>
      <c r="J940" s="150"/>
      <c r="K940" s="150"/>
      <c r="L940" s="149"/>
      <c r="M940" s="149"/>
      <c r="N940" s="149"/>
      <c r="O940" s="150"/>
      <c r="P940" s="150"/>
      <c r="Q940" s="149"/>
      <c r="R940" s="149"/>
      <c r="S940" s="149"/>
      <c r="T940" s="150"/>
      <c r="U940" s="150"/>
      <c r="V940" s="150"/>
      <c r="W940" s="150"/>
      <c r="X940" s="150"/>
      <c r="Y940" s="150"/>
      <c r="Z940" s="150"/>
      <c r="AA940" s="150"/>
      <c r="AB940" s="150"/>
      <c r="AC940" s="149"/>
      <c r="AD940" s="149"/>
      <c r="AE940" s="149"/>
      <c r="AF940" s="150"/>
      <c r="AG940" s="150"/>
      <c r="AH940" s="149"/>
      <c r="AI940" s="149"/>
      <c r="AJ940" s="149"/>
      <c r="AK940" s="150"/>
      <c r="AL940" s="150"/>
      <c r="AM940" s="149"/>
      <c r="AN940" s="149"/>
      <c r="AO940" s="149"/>
      <c r="AP940" s="150"/>
      <c r="AQ940" s="150"/>
      <c r="AR940" s="150"/>
      <c r="AS940" s="150"/>
      <c r="AT940" s="150"/>
      <c r="AU940" s="150"/>
      <c r="AV940" s="150"/>
      <c r="AW940" s="150"/>
      <c r="AX940" s="150"/>
      <c r="AY940" s="151"/>
      <c r="AZ940" s="151"/>
      <c r="BA940" s="151"/>
      <c r="BB940" s="151"/>
      <c r="BC940" s="151"/>
      <c r="BD940" s="151"/>
      <c r="BE940" s="151"/>
      <c r="BF940" s="151"/>
      <c r="BG940" s="151"/>
      <c r="BH940" s="151"/>
      <c r="BI940" s="151"/>
    </row>
    <row r="941" spans="1:61" x14ac:dyDescent="0.25">
      <c r="A941" s="149"/>
      <c r="B941" s="149"/>
      <c r="C941" s="149"/>
      <c r="D941" s="149"/>
      <c r="E941" s="150"/>
      <c r="F941" s="150"/>
      <c r="G941" s="149"/>
      <c r="H941" s="149"/>
      <c r="I941" s="149"/>
      <c r="J941" s="150"/>
      <c r="K941" s="150"/>
      <c r="L941" s="149"/>
      <c r="M941" s="149"/>
      <c r="N941" s="149"/>
      <c r="O941" s="150"/>
      <c r="P941" s="150"/>
      <c r="Q941" s="149"/>
      <c r="R941" s="149"/>
      <c r="S941" s="149"/>
      <c r="T941" s="150"/>
      <c r="U941" s="150"/>
      <c r="V941" s="150"/>
      <c r="W941" s="150"/>
      <c r="X941" s="150"/>
      <c r="Y941" s="150"/>
      <c r="Z941" s="150"/>
      <c r="AA941" s="150"/>
      <c r="AB941" s="150"/>
      <c r="AC941" s="149"/>
      <c r="AD941" s="149"/>
      <c r="AE941" s="149"/>
      <c r="AF941" s="150"/>
      <c r="AG941" s="150"/>
      <c r="AH941" s="149"/>
      <c r="AI941" s="149"/>
      <c r="AJ941" s="149"/>
      <c r="AK941" s="150"/>
      <c r="AL941" s="150"/>
      <c r="AM941" s="149"/>
      <c r="AN941" s="149"/>
      <c r="AO941" s="149"/>
      <c r="AP941" s="150"/>
      <c r="AQ941" s="150"/>
      <c r="AR941" s="150"/>
      <c r="AS941" s="150"/>
      <c r="AT941" s="150"/>
      <c r="AU941" s="150"/>
      <c r="AV941" s="150"/>
      <c r="AW941" s="150"/>
      <c r="AX941" s="150"/>
      <c r="AY941" s="151"/>
      <c r="AZ941" s="151"/>
      <c r="BA941" s="151"/>
      <c r="BB941" s="151"/>
      <c r="BC941" s="151"/>
      <c r="BD941" s="151"/>
      <c r="BE941" s="151"/>
      <c r="BF941" s="151"/>
      <c r="BG941" s="151"/>
      <c r="BH941" s="151"/>
      <c r="BI941" s="151"/>
    </row>
    <row r="942" spans="1:61" x14ac:dyDescent="0.25">
      <c r="A942" s="149"/>
      <c r="B942" s="149"/>
      <c r="C942" s="149"/>
      <c r="D942" s="149"/>
      <c r="E942" s="150"/>
      <c r="F942" s="150"/>
      <c r="G942" s="149"/>
      <c r="H942" s="149"/>
      <c r="I942" s="149"/>
      <c r="J942" s="150"/>
      <c r="K942" s="150"/>
      <c r="L942" s="149"/>
      <c r="M942" s="149"/>
      <c r="N942" s="149"/>
      <c r="O942" s="150"/>
      <c r="P942" s="150"/>
      <c r="Q942" s="149"/>
      <c r="R942" s="149"/>
      <c r="S942" s="149"/>
      <c r="T942" s="150"/>
      <c r="U942" s="150"/>
      <c r="V942" s="150"/>
      <c r="W942" s="150"/>
      <c r="X942" s="150"/>
      <c r="Y942" s="150"/>
      <c r="Z942" s="150"/>
      <c r="AA942" s="150"/>
      <c r="AB942" s="150"/>
      <c r="AC942" s="149"/>
      <c r="AD942" s="149"/>
      <c r="AE942" s="149"/>
      <c r="AF942" s="150"/>
      <c r="AG942" s="150"/>
      <c r="AH942" s="149"/>
      <c r="AI942" s="149"/>
      <c r="AJ942" s="149"/>
      <c r="AK942" s="150"/>
      <c r="AL942" s="150"/>
      <c r="AM942" s="149"/>
      <c r="AN942" s="149"/>
      <c r="AO942" s="149"/>
      <c r="AP942" s="150"/>
      <c r="AQ942" s="150"/>
      <c r="AR942" s="150"/>
      <c r="AS942" s="150"/>
      <c r="AT942" s="150"/>
      <c r="AU942" s="150"/>
      <c r="AV942" s="150"/>
      <c r="AW942" s="150"/>
      <c r="AX942" s="150"/>
      <c r="AY942" s="151"/>
      <c r="AZ942" s="151"/>
      <c r="BA942" s="151"/>
      <c r="BB942" s="151"/>
      <c r="BC942" s="151"/>
      <c r="BD942" s="151"/>
      <c r="BE942" s="151"/>
      <c r="BF942" s="151"/>
      <c r="BG942" s="151"/>
      <c r="BH942" s="151"/>
      <c r="BI942" s="151"/>
    </row>
    <row r="943" spans="1:61" x14ac:dyDescent="0.25">
      <c r="A943" s="149"/>
      <c r="B943" s="149"/>
      <c r="C943" s="149"/>
      <c r="D943" s="149"/>
      <c r="E943" s="150"/>
      <c r="F943" s="150"/>
      <c r="G943" s="149"/>
      <c r="H943" s="149"/>
      <c r="I943" s="149"/>
      <c r="J943" s="150"/>
      <c r="K943" s="150"/>
      <c r="L943" s="149"/>
      <c r="M943" s="149"/>
      <c r="N943" s="149"/>
      <c r="O943" s="150"/>
      <c r="P943" s="150"/>
      <c r="Q943" s="149"/>
      <c r="R943" s="149"/>
      <c r="S943" s="149"/>
      <c r="T943" s="150"/>
      <c r="U943" s="150"/>
      <c r="V943" s="150"/>
      <c r="W943" s="150"/>
      <c r="X943" s="150"/>
      <c r="Y943" s="150"/>
      <c r="Z943" s="150"/>
      <c r="AA943" s="150"/>
      <c r="AB943" s="150"/>
      <c r="AC943" s="149"/>
      <c r="AD943" s="149"/>
      <c r="AE943" s="149"/>
      <c r="AF943" s="150"/>
      <c r="AG943" s="150"/>
      <c r="AH943" s="149"/>
      <c r="AI943" s="149"/>
      <c r="AJ943" s="149"/>
      <c r="AK943" s="150"/>
      <c r="AL943" s="150"/>
      <c r="AM943" s="149"/>
      <c r="AN943" s="149"/>
      <c r="AO943" s="149"/>
      <c r="AP943" s="150"/>
      <c r="AQ943" s="150"/>
      <c r="AR943" s="150"/>
      <c r="AS943" s="150"/>
      <c r="AT943" s="150"/>
      <c r="AU943" s="150"/>
      <c r="AV943" s="150"/>
      <c r="AW943" s="150"/>
      <c r="AX943" s="150"/>
      <c r="AY943" s="151"/>
      <c r="AZ943" s="151"/>
      <c r="BA943" s="151"/>
      <c r="BB943" s="151"/>
      <c r="BC943" s="151"/>
      <c r="BD943" s="151"/>
      <c r="BE943" s="151"/>
      <c r="BF943" s="151"/>
      <c r="BG943" s="151"/>
      <c r="BH943" s="151"/>
      <c r="BI943" s="151"/>
    </row>
    <row r="944" spans="1:61" x14ac:dyDescent="0.25">
      <c r="A944" s="149"/>
      <c r="B944" s="149"/>
      <c r="C944" s="149"/>
      <c r="D944" s="149"/>
      <c r="E944" s="150"/>
      <c r="F944" s="150"/>
      <c r="G944" s="149"/>
      <c r="H944" s="149"/>
      <c r="I944" s="149"/>
      <c r="J944" s="150"/>
      <c r="K944" s="150"/>
      <c r="L944" s="149"/>
      <c r="M944" s="149"/>
      <c r="N944" s="149"/>
      <c r="O944" s="150"/>
      <c r="P944" s="150"/>
      <c r="Q944" s="149"/>
      <c r="R944" s="149"/>
      <c r="S944" s="149"/>
      <c r="T944" s="150"/>
      <c r="U944" s="150"/>
      <c r="V944" s="150"/>
      <c r="W944" s="150"/>
      <c r="X944" s="150"/>
      <c r="Y944" s="150"/>
      <c r="Z944" s="150"/>
      <c r="AA944" s="150"/>
      <c r="AB944" s="150"/>
      <c r="AC944" s="149"/>
      <c r="AD944" s="149"/>
      <c r="AE944" s="149"/>
      <c r="AF944" s="150"/>
      <c r="AG944" s="150"/>
      <c r="AH944" s="149"/>
      <c r="AI944" s="149"/>
      <c r="AJ944" s="149"/>
      <c r="AK944" s="150"/>
      <c r="AL944" s="150"/>
      <c r="AM944" s="149"/>
      <c r="AN944" s="149"/>
      <c r="AO944" s="149"/>
      <c r="AP944" s="150"/>
      <c r="AQ944" s="150"/>
      <c r="AR944" s="150"/>
      <c r="AS944" s="150"/>
      <c r="AT944" s="150"/>
      <c r="AU944" s="150"/>
      <c r="AV944" s="150"/>
      <c r="AW944" s="150"/>
      <c r="AX944" s="150"/>
      <c r="AY944" s="151"/>
      <c r="AZ944" s="151"/>
      <c r="BA944" s="151"/>
      <c r="BB944" s="151"/>
      <c r="BC944" s="151"/>
      <c r="BD944" s="151"/>
      <c r="BE944" s="151"/>
      <c r="BF944" s="151"/>
      <c r="BG944" s="151"/>
      <c r="BH944" s="151"/>
      <c r="BI944" s="151"/>
    </row>
    <row r="945" spans="1:61" x14ac:dyDescent="0.25">
      <c r="A945" s="149"/>
      <c r="B945" s="149"/>
      <c r="C945" s="149"/>
      <c r="D945" s="149"/>
      <c r="E945" s="150"/>
      <c r="F945" s="150"/>
      <c r="G945" s="149"/>
      <c r="H945" s="149"/>
      <c r="I945" s="149"/>
      <c r="J945" s="150"/>
      <c r="K945" s="150"/>
      <c r="L945" s="149"/>
      <c r="M945" s="149"/>
      <c r="N945" s="149"/>
      <c r="O945" s="150"/>
      <c r="P945" s="150"/>
      <c r="Q945" s="149"/>
      <c r="R945" s="149"/>
      <c r="S945" s="149"/>
      <c r="T945" s="150"/>
      <c r="U945" s="150"/>
      <c r="V945" s="150"/>
      <c r="W945" s="150"/>
      <c r="X945" s="150"/>
      <c r="Y945" s="150"/>
      <c r="Z945" s="150"/>
      <c r="AA945" s="150"/>
      <c r="AB945" s="150"/>
      <c r="AC945" s="149"/>
      <c r="AD945" s="149"/>
      <c r="AE945" s="149"/>
      <c r="AF945" s="150"/>
      <c r="AG945" s="150"/>
      <c r="AH945" s="149"/>
      <c r="AI945" s="149"/>
      <c r="AJ945" s="149"/>
      <c r="AK945" s="150"/>
      <c r="AL945" s="150"/>
      <c r="AM945" s="149"/>
      <c r="AN945" s="149"/>
      <c r="AO945" s="149"/>
      <c r="AP945" s="150"/>
      <c r="AQ945" s="150"/>
      <c r="AR945" s="150"/>
      <c r="AS945" s="150"/>
      <c r="AT945" s="150"/>
      <c r="AU945" s="150"/>
      <c r="AV945" s="150"/>
      <c r="AW945" s="150"/>
      <c r="AX945" s="150"/>
      <c r="AY945" s="151"/>
      <c r="AZ945" s="151"/>
      <c r="BA945" s="151"/>
      <c r="BB945" s="151"/>
      <c r="BC945" s="151"/>
      <c r="BD945" s="151"/>
      <c r="BE945" s="151"/>
      <c r="BF945" s="151"/>
      <c r="BG945" s="151"/>
      <c r="BH945" s="151"/>
      <c r="BI945" s="151"/>
    </row>
    <row r="946" spans="1:61" x14ac:dyDescent="0.25">
      <c r="A946" s="149"/>
      <c r="B946" s="149"/>
      <c r="C946" s="149"/>
      <c r="D946" s="149"/>
      <c r="E946" s="150"/>
      <c r="F946" s="150"/>
      <c r="G946" s="149"/>
      <c r="H946" s="149"/>
      <c r="I946" s="149"/>
      <c r="J946" s="150"/>
      <c r="K946" s="150"/>
      <c r="L946" s="149"/>
      <c r="M946" s="149"/>
      <c r="N946" s="149"/>
      <c r="O946" s="150"/>
      <c r="P946" s="150"/>
      <c r="Q946" s="149"/>
      <c r="R946" s="149"/>
      <c r="S946" s="149"/>
      <c r="T946" s="150"/>
      <c r="U946" s="150"/>
      <c r="V946" s="150"/>
      <c r="W946" s="150"/>
      <c r="X946" s="150"/>
      <c r="Y946" s="150"/>
      <c r="Z946" s="150"/>
      <c r="AA946" s="150"/>
      <c r="AB946" s="150"/>
      <c r="AC946" s="149"/>
      <c r="AD946" s="149"/>
      <c r="AE946" s="149"/>
      <c r="AF946" s="150"/>
      <c r="AG946" s="150"/>
      <c r="AH946" s="149"/>
      <c r="AI946" s="149"/>
      <c r="AJ946" s="149"/>
      <c r="AK946" s="150"/>
      <c r="AL946" s="150"/>
      <c r="AM946" s="149"/>
      <c r="AN946" s="149"/>
      <c r="AO946" s="149"/>
      <c r="AP946" s="150"/>
      <c r="AQ946" s="150"/>
      <c r="AR946" s="150"/>
      <c r="AS946" s="150"/>
      <c r="AT946" s="150"/>
      <c r="AU946" s="150"/>
      <c r="AV946" s="150"/>
      <c r="AW946" s="150"/>
      <c r="AX946" s="150"/>
      <c r="AY946" s="151"/>
      <c r="AZ946" s="151"/>
      <c r="BA946" s="151"/>
      <c r="BB946" s="151"/>
      <c r="BC946" s="151"/>
      <c r="BD946" s="151"/>
      <c r="BE946" s="151"/>
      <c r="BF946" s="151"/>
      <c r="BG946" s="151"/>
      <c r="BH946" s="151"/>
      <c r="BI946" s="151"/>
    </row>
    <row r="947" spans="1:61" x14ac:dyDescent="0.25">
      <c r="A947" s="149"/>
      <c r="B947" s="149"/>
      <c r="C947" s="149"/>
      <c r="D947" s="149"/>
      <c r="E947" s="150"/>
      <c r="F947" s="150"/>
      <c r="G947" s="149"/>
      <c r="H947" s="149"/>
      <c r="I947" s="149"/>
      <c r="J947" s="150"/>
      <c r="K947" s="150"/>
      <c r="L947" s="149"/>
      <c r="M947" s="149"/>
      <c r="N947" s="149"/>
      <c r="O947" s="150"/>
      <c r="P947" s="150"/>
      <c r="Q947" s="149"/>
      <c r="R947" s="149"/>
      <c r="S947" s="149"/>
      <c r="T947" s="150"/>
      <c r="U947" s="150"/>
      <c r="V947" s="150"/>
      <c r="W947" s="150"/>
      <c r="X947" s="150"/>
      <c r="Y947" s="150"/>
      <c r="Z947" s="150"/>
      <c r="AA947" s="150"/>
      <c r="AB947" s="150"/>
      <c r="AC947" s="149"/>
      <c r="AD947" s="149"/>
      <c r="AE947" s="149"/>
      <c r="AF947" s="150"/>
      <c r="AG947" s="150"/>
      <c r="AH947" s="149"/>
      <c r="AI947" s="149"/>
      <c r="AJ947" s="149"/>
      <c r="AK947" s="150"/>
      <c r="AL947" s="150"/>
      <c r="AM947" s="149"/>
      <c r="AN947" s="149"/>
      <c r="AO947" s="149"/>
      <c r="AP947" s="150"/>
      <c r="AQ947" s="150"/>
      <c r="AR947" s="150"/>
      <c r="AS947" s="150"/>
      <c r="AT947" s="150"/>
      <c r="AU947" s="150"/>
      <c r="AV947" s="150"/>
      <c r="AW947" s="150"/>
      <c r="AX947" s="150"/>
      <c r="AY947" s="151"/>
      <c r="AZ947" s="151"/>
      <c r="BA947" s="151"/>
      <c r="BB947" s="151"/>
      <c r="BC947" s="151"/>
      <c r="BD947" s="151"/>
      <c r="BE947" s="151"/>
      <c r="BF947" s="151"/>
      <c r="BG947" s="151"/>
      <c r="BH947" s="151"/>
      <c r="BI947" s="151"/>
    </row>
    <row r="948" spans="1:61" x14ac:dyDescent="0.25">
      <c r="A948" s="149"/>
      <c r="B948" s="149"/>
      <c r="C948" s="149"/>
      <c r="D948" s="149"/>
      <c r="E948" s="150"/>
      <c r="F948" s="150"/>
      <c r="G948" s="149"/>
      <c r="H948" s="149"/>
      <c r="I948" s="149"/>
      <c r="J948" s="150"/>
      <c r="K948" s="150"/>
      <c r="L948" s="149"/>
      <c r="M948" s="149"/>
      <c r="N948" s="149"/>
      <c r="O948" s="150"/>
      <c r="P948" s="150"/>
      <c r="Q948" s="149"/>
      <c r="R948" s="149"/>
      <c r="S948" s="149"/>
      <c r="T948" s="150"/>
      <c r="U948" s="150"/>
      <c r="V948" s="150"/>
      <c r="W948" s="150"/>
      <c r="X948" s="150"/>
      <c r="Y948" s="150"/>
      <c r="Z948" s="150"/>
      <c r="AA948" s="150"/>
      <c r="AB948" s="150"/>
      <c r="AC948" s="149"/>
      <c r="AD948" s="149"/>
      <c r="AE948" s="149"/>
      <c r="AF948" s="150"/>
      <c r="AG948" s="150"/>
      <c r="AH948" s="149"/>
      <c r="AI948" s="149"/>
      <c r="AJ948" s="149"/>
      <c r="AK948" s="150"/>
      <c r="AL948" s="150"/>
      <c r="AM948" s="149"/>
      <c r="AN948" s="149"/>
      <c r="AO948" s="149"/>
      <c r="AP948" s="150"/>
      <c r="AQ948" s="150"/>
      <c r="AR948" s="150"/>
      <c r="AS948" s="150"/>
      <c r="AT948" s="150"/>
      <c r="AU948" s="150"/>
      <c r="AV948" s="150"/>
      <c r="AW948" s="150"/>
      <c r="AX948" s="150"/>
      <c r="AY948" s="151"/>
      <c r="AZ948" s="151"/>
      <c r="BA948" s="151"/>
      <c r="BB948" s="151"/>
      <c r="BC948" s="151"/>
      <c r="BD948" s="151"/>
      <c r="BE948" s="151"/>
      <c r="BF948" s="151"/>
      <c r="BG948" s="151"/>
      <c r="BH948" s="151"/>
      <c r="BI948" s="151"/>
    </row>
    <row r="949" spans="1:61" x14ac:dyDescent="0.25">
      <c r="A949" s="149"/>
      <c r="B949" s="149"/>
      <c r="C949" s="149"/>
      <c r="D949" s="149"/>
      <c r="E949" s="150"/>
      <c r="F949" s="150"/>
      <c r="G949" s="149"/>
      <c r="H949" s="149"/>
      <c r="I949" s="149"/>
      <c r="J949" s="150"/>
      <c r="K949" s="150"/>
      <c r="L949" s="149"/>
      <c r="M949" s="149"/>
      <c r="N949" s="149"/>
      <c r="O949" s="150"/>
      <c r="P949" s="150"/>
      <c r="Q949" s="149"/>
      <c r="R949" s="149"/>
      <c r="S949" s="149"/>
      <c r="T949" s="150"/>
      <c r="U949" s="150"/>
      <c r="V949" s="150"/>
      <c r="W949" s="150"/>
      <c r="X949" s="150"/>
      <c r="Y949" s="150"/>
      <c r="Z949" s="150"/>
      <c r="AA949" s="150"/>
      <c r="AB949" s="150"/>
      <c r="AC949" s="149"/>
      <c r="AD949" s="149"/>
      <c r="AE949" s="149"/>
      <c r="AF949" s="150"/>
      <c r="AG949" s="150"/>
      <c r="AH949" s="149"/>
      <c r="AI949" s="149"/>
      <c r="AJ949" s="149"/>
      <c r="AK949" s="150"/>
      <c r="AL949" s="150"/>
      <c r="AM949" s="149"/>
      <c r="AN949" s="149"/>
      <c r="AO949" s="149"/>
      <c r="AP949" s="150"/>
      <c r="AQ949" s="150"/>
      <c r="AR949" s="150"/>
      <c r="AS949" s="150"/>
      <c r="AT949" s="150"/>
      <c r="AU949" s="150"/>
      <c r="AV949" s="150"/>
      <c r="AW949" s="150"/>
      <c r="AX949" s="150"/>
      <c r="AY949" s="151"/>
      <c r="AZ949" s="151"/>
      <c r="BA949" s="151"/>
      <c r="BB949" s="151"/>
      <c r="BC949" s="151"/>
      <c r="BD949" s="151"/>
      <c r="BE949" s="151"/>
      <c r="BF949" s="151"/>
      <c r="BG949" s="151"/>
      <c r="BH949" s="151"/>
      <c r="BI949" s="151"/>
    </row>
    <row r="950" spans="1:61" x14ac:dyDescent="0.25">
      <c r="A950" s="149"/>
      <c r="B950" s="149"/>
      <c r="C950" s="149"/>
      <c r="D950" s="149"/>
      <c r="E950" s="150"/>
      <c r="F950" s="150"/>
      <c r="G950" s="149"/>
      <c r="H950" s="149"/>
      <c r="I950" s="149"/>
      <c r="J950" s="150"/>
      <c r="K950" s="150"/>
      <c r="L950" s="149"/>
      <c r="M950" s="149"/>
      <c r="N950" s="149"/>
      <c r="O950" s="150"/>
      <c r="P950" s="150"/>
      <c r="Q950" s="149"/>
      <c r="R950" s="149"/>
      <c r="S950" s="149"/>
      <c r="T950" s="150"/>
      <c r="U950" s="150"/>
      <c r="V950" s="150"/>
      <c r="W950" s="150"/>
      <c r="X950" s="150"/>
      <c r="Y950" s="150"/>
      <c r="Z950" s="150"/>
      <c r="AA950" s="150"/>
      <c r="AB950" s="150"/>
      <c r="AC950" s="149"/>
      <c r="AD950" s="149"/>
      <c r="AE950" s="149"/>
      <c r="AF950" s="150"/>
      <c r="AG950" s="150"/>
      <c r="AH950" s="149"/>
      <c r="AI950" s="149"/>
      <c r="AJ950" s="149"/>
      <c r="AK950" s="150"/>
      <c r="AL950" s="150"/>
      <c r="AM950" s="149"/>
      <c r="AN950" s="149"/>
      <c r="AO950" s="149"/>
      <c r="AP950" s="150"/>
      <c r="AQ950" s="150"/>
      <c r="AR950" s="150"/>
      <c r="AS950" s="150"/>
      <c r="AT950" s="150"/>
      <c r="AU950" s="150"/>
      <c r="AV950" s="150"/>
      <c r="AW950" s="150"/>
      <c r="AX950" s="150"/>
      <c r="AY950" s="151"/>
      <c r="AZ950" s="151"/>
      <c r="BA950" s="151"/>
      <c r="BB950" s="151"/>
      <c r="BC950" s="151"/>
      <c r="BD950" s="151"/>
      <c r="BE950" s="151"/>
      <c r="BF950" s="151"/>
      <c r="BG950" s="151"/>
      <c r="BH950" s="151"/>
      <c r="BI950" s="151"/>
    </row>
    <row r="951" spans="1:61" x14ac:dyDescent="0.25">
      <c r="A951" s="149"/>
      <c r="B951" s="149"/>
      <c r="C951" s="149"/>
      <c r="D951" s="149"/>
      <c r="E951" s="150"/>
      <c r="F951" s="150"/>
      <c r="G951" s="149"/>
      <c r="H951" s="149"/>
      <c r="I951" s="149"/>
      <c r="J951" s="150"/>
      <c r="K951" s="150"/>
      <c r="L951" s="149"/>
      <c r="M951" s="149"/>
      <c r="N951" s="149"/>
      <c r="O951" s="150"/>
      <c r="P951" s="150"/>
      <c r="Q951" s="149"/>
      <c r="R951" s="149"/>
      <c r="S951" s="149"/>
      <c r="T951" s="150"/>
      <c r="U951" s="150"/>
      <c r="V951" s="150"/>
      <c r="W951" s="150"/>
      <c r="X951" s="150"/>
      <c r="Y951" s="150"/>
      <c r="Z951" s="150"/>
      <c r="AA951" s="150"/>
      <c r="AB951" s="150"/>
      <c r="AC951" s="149"/>
      <c r="AD951" s="149"/>
      <c r="AE951" s="149"/>
      <c r="AF951" s="150"/>
      <c r="AG951" s="150"/>
      <c r="AH951" s="149"/>
      <c r="AI951" s="149"/>
      <c r="AJ951" s="149"/>
      <c r="AK951" s="150"/>
      <c r="AL951" s="150"/>
      <c r="AM951" s="149"/>
      <c r="AN951" s="149"/>
      <c r="AO951" s="149"/>
      <c r="AP951" s="150"/>
      <c r="AQ951" s="150"/>
      <c r="AR951" s="150"/>
      <c r="AS951" s="150"/>
      <c r="AT951" s="150"/>
      <c r="AU951" s="150"/>
      <c r="AV951" s="150"/>
      <c r="AW951" s="150"/>
      <c r="AX951" s="150"/>
      <c r="AY951" s="151"/>
      <c r="AZ951" s="151"/>
      <c r="BA951" s="151"/>
      <c r="BB951" s="151"/>
      <c r="BC951" s="151"/>
      <c r="BD951" s="151"/>
      <c r="BE951" s="151"/>
      <c r="BF951" s="151"/>
      <c r="BG951" s="151"/>
      <c r="BH951" s="151"/>
      <c r="BI951" s="151"/>
    </row>
    <row r="952" spans="1:61" x14ac:dyDescent="0.25">
      <c r="A952" s="149"/>
      <c r="B952" s="149"/>
      <c r="C952" s="149"/>
      <c r="D952" s="149"/>
      <c r="E952" s="150"/>
      <c r="F952" s="150"/>
      <c r="G952" s="149"/>
      <c r="H952" s="149"/>
      <c r="I952" s="149"/>
      <c r="J952" s="150"/>
      <c r="K952" s="150"/>
      <c r="L952" s="149"/>
      <c r="M952" s="149"/>
      <c r="N952" s="149"/>
      <c r="O952" s="150"/>
      <c r="P952" s="150"/>
      <c r="Q952" s="149"/>
      <c r="R952" s="149"/>
      <c r="S952" s="149"/>
      <c r="T952" s="150"/>
      <c r="U952" s="150"/>
      <c r="V952" s="150"/>
      <c r="W952" s="150"/>
      <c r="X952" s="150"/>
      <c r="Y952" s="150"/>
      <c r="Z952" s="150"/>
      <c r="AA952" s="150"/>
      <c r="AB952" s="150"/>
      <c r="AC952" s="149"/>
      <c r="AD952" s="149"/>
      <c r="AE952" s="149"/>
      <c r="AF952" s="150"/>
      <c r="AG952" s="150"/>
      <c r="AH952" s="149"/>
      <c r="AI952" s="149"/>
      <c r="AJ952" s="149"/>
      <c r="AK952" s="150"/>
      <c r="AL952" s="150"/>
      <c r="AM952" s="149"/>
      <c r="AN952" s="149"/>
      <c r="AO952" s="149"/>
      <c r="AP952" s="150"/>
      <c r="AQ952" s="150"/>
      <c r="AR952" s="150"/>
      <c r="AS952" s="150"/>
      <c r="AT952" s="150"/>
      <c r="AU952" s="150"/>
      <c r="AV952" s="150"/>
      <c r="AW952" s="150"/>
      <c r="AX952" s="150"/>
      <c r="AY952" s="151"/>
      <c r="AZ952" s="151"/>
      <c r="BA952" s="151"/>
      <c r="BB952" s="151"/>
      <c r="BC952" s="151"/>
      <c r="BD952" s="151"/>
      <c r="BE952" s="151"/>
      <c r="BF952" s="151"/>
      <c r="BG952" s="151"/>
      <c r="BH952" s="151"/>
      <c r="BI952" s="151"/>
    </row>
    <row r="953" spans="1:61" x14ac:dyDescent="0.25">
      <c r="A953" s="149"/>
      <c r="B953" s="149"/>
      <c r="C953" s="149"/>
      <c r="D953" s="149"/>
      <c r="E953" s="150"/>
      <c r="F953" s="150"/>
      <c r="G953" s="149"/>
      <c r="H953" s="149"/>
      <c r="I953" s="149"/>
      <c r="J953" s="150"/>
      <c r="K953" s="150"/>
      <c r="L953" s="149"/>
      <c r="M953" s="149"/>
      <c r="N953" s="149"/>
      <c r="O953" s="150"/>
      <c r="P953" s="150"/>
      <c r="Q953" s="149"/>
      <c r="R953" s="149"/>
      <c r="S953" s="149"/>
      <c r="T953" s="150"/>
      <c r="U953" s="150"/>
      <c r="V953" s="150"/>
      <c r="W953" s="150"/>
      <c r="X953" s="150"/>
      <c r="Y953" s="150"/>
      <c r="Z953" s="150"/>
      <c r="AA953" s="150"/>
      <c r="AB953" s="150"/>
      <c r="AC953" s="149"/>
      <c r="AD953" s="149"/>
      <c r="AE953" s="149"/>
      <c r="AF953" s="150"/>
      <c r="AG953" s="150"/>
      <c r="AH953" s="149"/>
      <c r="AI953" s="149"/>
      <c r="AJ953" s="149"/>
      <c r="AK953" s="150"/>
      <c r="AL953" s="150"/>
      <c r="AM953" s="149"/>
      <c r="AN953" s="149"/>
      <c r="AO953" s="149"/>
      <c r="AP953" s="150"/>
      <c r="AQ953" s="150"/>
      <c r="AR953" s="150"/>
      <c r="AS953" s="150"/>
      <c r="AT953" s="150"/>
      <c r="AU953" s="150"/>
      <c r="AV953" s="150"/>
      <c r="AW953" s="150"/>
      <c r="AX953" s="150"/>
      <c r="AY953" s="151"/>
      <c r="AZ953" s="151"/>
      <c r="BA953" s="151"/>
      <c r="BB953" s="151"/>
      <c r="BC953" s="151"/>
      <c r="BD953" s="151"/>
      <c r="BE953" s="151"/>
      <c r="BF953" s="151"/>
      <c r="BG953" s="151"/>
      <c r="BH953" s="151"/>
      <c r="BI953" s="151"/>
    </row>
    <row r="954" spans="1:61" x14ac:dyDescent="0.25">
      <c r="A954" s="149"/>
      <c r="B954" s="149"/>
      <c r="C954" s="149"/>
      <c r="D954" s="149"/>
      <c r="E954" s="150"/>
      <c r="F954" s="150"/>
      <c r="G954" s="149"/>
      <c r="H954" s="149"/>
      <c r="I954" s="149"/>
      <c r="J954" s="150"/>
      <c r="K954" s="150"/>
      <c r="L954" s="149"/>
      <c r="M954" s="149"/>
      <c r="N954" s="149"/>
      <c r="O954" s="150"/>
      <c r="P954" s="150"/>
      <c r="Q954" s="149"/>
      <c r="R954" s="149"/>
      <c r="S954" s="149"/>
      <c r="T954" s="150"/>
      <c r="U954" s="150"/>
      <c r="V954" s="150"/>
      <c r="W954" s="150"/>
      <c r="X954" s="150"/>
      <c r="Y954" s="150"/>
      <c r="Z954" s="150"/>
      <c r="AA954" s="150"/>
      <c r="AB954" s="150"/>
      <c r="AC954" s="149"/>
      <c r="AD954" s="149"/>
      <c r="AE954" s="149"/>
      <c r="AF954" s="150"/>
      <c r="AG954" s="150"/>
      <c r="AH954" s="149"/>
      <c r="AI954" s="149"/>
      <c r="AJ954" s="149"/>
      <c r="AK954" s="150"/>
      <c r="AL954" s="150"/>
      <c r="AM954" s="149"/>
      <c r="AN954" s="149"/>
      <c r="AO954" s="149"/>
      <c r="AP954" s="150"/>
      <c r="AQ954" s="150"/>
      <c r="AR954" s="150"/>
      <c r="AS954" s="150"/>
      <c r="AT954" s="150"/>
      <c r="AU954" s="150"/>
      <c r="AV954" s="150"/>
      <c r="AW954" s="150"/>
      <c r="AX954" s="150"/>
      <c r="AY954" s="151"/>
      <c r="AZ954" s="151"/>
      <c r="BA954" s="151"/>
      <c r="BB954" s="151"/>
      <c r="BC954" s="151"/>
      <c r="BD954" s="151"/>
      <c r="BE954" s="151"/>
      <c r="BF954" s="151"/>
      <c r="BG954" s="151"/>
      <c r="BH954" s="151"/>
      <c r="BI954" s="151"/>
    </row>
    <row r="955" spans="1:61" x14ac:dyDescent="0.25">
      <c r="A955" s="149"/>
      <c r="B955" s="149"/>
      <c r="C955" s="149"/>
      <c r="D955" s="149"/>
      <c r="E955" s="150"/>
      <c r="F955" s="150"/>
      <c r="G955" s="149"/>
      <c r="H955" s="149"/>
      <c r="I955" s="149"/>
      <c r="J955" s="150"/>
      <c r="K955" s="150"/>
      <c r="L955" s="149"/>
      <c r="M955" s="149"/>
      <c r="N955" s="149"/>
      <c r="O955" s="150"/>
      <c r="P955" s="150"/>
      <c r="Q955" s="149"/>
      <c r="R955" s="149"/>
      <c r="S955" s="149"/>
      <c r="T955" s="150"/>
      <c r="U955" s="150"/>
      <c r="V955" s="150"/>
      <c r="W955" s="150"/>
      <c r="X955" s="150"/>
      <c r="Y955" s="150"/>
      <c r="Z955" s="150"/>
      <c r="AA955" s="150"/>
      <c r="AB955" s="150"/>
      <c r="AC955" s="149"/>
      <c r="AD955" s="149"/>
      <c r="AE955" s="149"/>
      <c r="AF955" s="150"/>
      <c r="AG955" s="150"/>
      <c r="AH955" s="149"/>
      <c r="AI955" s="149"/>
      <c r="AJ955" s="149"/>
      <c r="AK955" s="150"/>
      <c r="AL955" s="150"/>
      <c r="AM955" s="149"/>
      <c r="AN955" s="149"/>
      <c r="AO955" s="149"/>
      <c r="AP955" s="150"/>
      <c r="AQ955" s="150"/>
      <c r="AR955" s="150"/>
      <c r="AS955" s="150"/>
      <c r="AT955" s="150"/>
      <c r="AU955" s="150"/>
      <c r="AV955" s="150"/>
      <c r="AW955" s="150"/>
      <c r="AX955" s="150"/>
      <c r="AY955" s="151"/>
      <c r="AZ955" s="151"/>
      <c r="BA955" s="151"/>
      <c r="BB955" s="151"/>
      <c r="BC955" s="151"/>
      <c r="BD955" s="151"/>
      <c r="BE955" s="151"/>
      <c r="BF955" s="151"/>
      <c r="BG955" s="151"/>
      <c r="BH955" s="151"/>
      <c r="BI955" s="151"/>
    </row>
    <row r="956" spans="1:61" x14ac:dyDescent="0.25">
      <c r="A956" s="149"/>
      <c r="B956" s="149"/>
      <c r="C956" s="149"/>
      <c r="D956" s="149"/>
      <c r="E956" s="150"/>
      <c r="F956" s="150"/>
      <c r="G956" s="149"/>
      <c r="H956" s="149"/>
      <c r="I956" s="149"/>
      <c r="J956" s="150"/>
      <c r="K956" s="150"/>
      <c r="L956" s="149"/>
      <c r="M956" s="149"/>
      <c r="N956" s="149"/>
      <c r="O956" s="150"/>
      <c r="P956" s="150"/>
      <c r="Q956" s="149"/>
      <c r="R956" s="149"/>
      <c r="S956" s="149"/>
      <c r="T956" s="150"/>
      <c r="U956" s="150"/>
      <c r="V956" s="150"/>
      <c r="W956" s="150"/>
      <c r="X956" s="150"/>
      <c r="Y956" s="150"/>
      <c r="Z956" s="150"/>
      <c r="AA956" s="150"/>
      <c r="AB956" s="150"/>
      <c r="AC956" s="149"/>
      <c r="AD956" s="149"/>
      <c r="AE956" s="149"/>
      <c r="AF956" s="150"/>
      <c r="AG956" s="150"/>
      <c r="AH956" s="149"/>
      <c r="AI956" s="149"/>
      <c r="AJ956" s="149"/>
      <c r="AK956" s="150"/>
      <c r="AL956" s="150"/>
      <c r="AM956" s="149"/>
      <c r="AN956" s="149"/>
      <c r="AO956" s="149"/>
      <c r="AP956" s="150"/>
      <c r="AQ956" s="150"/>
      <c r="AR956" s="150"/>
      <c r="AS956" s="150"/>
      <c r="AT956" s="150"/>
      <c r="AU956" s="150"/>
      <c r="AV956" s="150"/>
      <c r="AW956" s="150"/>
      <c r="AX956" s="150"/>
      <c r="AY956" s="151"/>
      <c r="AZ956" s="151"/>
      <c r="BA956" s="151"/>
      <c r="BB956" s="151"/>
      <c r="BC956" s="151"/>
      <c r="BD956" s="151"/>
      <c r="BE956" s="151"/>
      <c r="BF956" s="151"/>
      <c r="BG956" s="151"/>
      <c r="BH956" s="151"/>
      <c r="BI956" s="151"/>
    </row>
    <row r="957" spans="1:61" x14ac:dyDescent="0.25">
      <c r="A957" s="149"/>
      <c r="B957" s="149"/>
      <c r="C957" s="149"/>
      <c r="D957" s="149"/>
      <c r="E957" s="150"/>
      <c r="F957" s="150"/>
      <c r="G957" s="149"/>
      <c r="H957" s="149"/>
      <c r="I957" s="149"/>
      <c r="J957" s="150"/>
      <c r="K957" s="150"/>
      <c r="L957" s="149"/>
      <c r="M957" s="149"/>
      <c r="N957" s="149"/>
      <c r="O957" s="150"/>
      <c r="P957" s="150"/>
      <c r="Q957" s="149"/>
      <c r="R957" s="149"/>
      <c r="S957" s="149"/>
      <c r="T957" s="150"/>
      <c r="U957" s="150"/>
      <c r="V957" s="150"/>
      <c r="W957" s="150"/>
      <c r="X957" s="150"/>
      <c r="Y957" s="150"/>
      <c r="Z957" s="150"/>
      <c r="AA957" s="150"/>
      <c r="AB957" s="150"/>
      <c r="AC957" s="149"/>
      <c r="AD957" s="149"/>
      <c r="AE957" s="149"/>
      <c r="AF957" s="150"/>
      <c r="AG957" s="150"/>
      <c r="AH957" s="149"/>
      <c r="AI957" s="149"/>
      <c r="AJ957" s="149"/>
      <c r="AK957" s="150"/>
      <c r="AL957" s="150"/>
      <c r="AM957" s="149"/>
      <c r="AN957" s="149"/>
      <c r="AO957" s="149"/>
      <c r="AP957" s="150"/>
      <c r="AQ957" s="150"/>
      <c r="AR957" s="150"/>
      <c r="AS957" s="150"/>
      <c r="AT957" s="150"/>
      <c r="AU957" s="150"/>
      <c r="AV957" s="150"/>
      <c r="AW957" s="150"/>
      <c r="AX957" s="150"/>
      <c r="AY957" s="151"/>
      <c r="AZ957" s="151"/>
      <c r="BA957" s="151"/>
      <c r="BB957" s="151"/>
      <c r="BC957" s="151"/>
      <c r="BD957" s="151"/>
      <c r="BE957" s="151"/>
      <c r="BF957" s="151"/>
      <c r="BG957" s="151"/>
      <c r="BH957" s="151"/>
      <c r="BI957" s="151"/>
    </row>
    <row r="958" spans="1:61" x14ac:dyDescent="0.25">
      <c r="A958" s="149"/>
      <c r="B958" s="149"/>
      <c r="C958" s="149"/>
      <c r="D958" s="149"/>
      <c r="E958" s="150"/>
      <c r="F958" s="150"/>
      <c r="G958" s="149"/>
      <c r="H958" s="149"/>
      <c r="I958" s="149"/>
      <c r="J958" s="150"/>
      <c r="K958" s="150"/>
      <c r="L958" s="149"/>
      <c r="M958" s="149"/>
      <c r="N958" s="149"/>
      <c r="O958" s="150"/>
      <c r="P958" s="150"/>
      <c r="Q958" s="149"/>
      <c r="R958" s="149"/>
      <c r="S958" s="149"/>
      <c r="T958" s="150"/>
      <c r="U958" s="150"/>
      <c r="V958" s="150"/>
      <c r="W958" s="150"/>
      <c r="X958" s="150"/>
      <c r="Y958" s="150"/>
      <c r="Z958" s="150"/>
      <c r="AA958" s="150"/>
      <c r="AB958" s="150"/>
      <c r="AC958" s="149"/>
      <c r="AD958" s="149"/>
      <c r="AE958" s="149"/>
      <c r="AF958" s="150"/>
      <c r="AG958" s="150"/>
      <c r="AH958" s="149"/>
      <c r="AI958" s="149"/>
      <c r="AJ958" s="149"/>
      <c r="AK958" s="150"/>
      <c r="AL958" s="150"/>
      <c r="AM958" s="149"/>
      <c r="AN958" s="149"/>
      <c r="AO958" s="149"/>
      <c r="AP958" s="150"/>
      <c r="AQ958" s="150"/>
      <c r="AR958" s="150"/>
      <c r="AS958" s="150"/>
      <c r="AT958" s="150"/>
      <c r="AU958" s="150"/>
      <c r="AV958" s="150"/>
      <c r="AW958" s="150"/>
      <c r="AX958" s="150"/>
      <c r="AY958" s="151"/>
      <c r="AZ958" s="151"/>
      <c r="BA958" s="151"/>
      <c r="BB958" s="151"/>
      <c r="BC958" s="151"/>
      <c r="BD958" s="151"/>
      <c r="BE958" s="151"/>
      <c r="BF958" s="151"/>
      <c r="BG958" s="151"/>
      <c r="BH958" s="151"/>
      <c r="BI958" s="151"/>
    </row>
    <row r="959" spans="1:61" x14ac:dyDescent="0.25">
      <c r="A959" s="149"/>
      <c r="B959" s="149"/>
      <c r="C959" s="149"/>
      <c r="D959" s="149"/>
      <c r="E959" s="150"/>
      <c r="F959" s="150"/>
      <c r="G959" s="149"/>
      <c r="H959" s="149"/>
      <c r="I959" s="149"/>
      <c r="J959" s="150"/>
      <c r="K959" s="150"/>
      <c r="L959" s="149"/>
      <c r="M959" s="149"/>
      <c r="N959" s="149"/>
      <c r="O959" s="150"/>
      <c r="P959" s="150"/>
      <c r="Q959" s="149"/>
      <c r="R959" s="149"/>
      <c r="S959" s="149"/>
      <c r="T959" s="150"/>
      <c r="U959" s="150"/>
      <c r="V959" s="150"/>
      <c r="W959" s="150"/>
      <c r="X959" s="150"/>
      <c r="Y959" s="150"/>
      <c r="Z959" s="150"/>
      <c r="AA959" s="150"/>
      <c r="AB959" s="150"/>
      <c r="AC959" s="149"/>
      <c r="AD959" s="149"/>
      <c r="AE959" s="149"/>
      <c r="AF959" s="150"/>
      <c r="AG959" s="150"/>
      <c r="AH959" s="149"/>
      <c r="AI959" s="149"/>
      <c r="AJ959" s="149"/>
      <c r="AK959" s="150"/>
      <c r="AL959" s="150"/>
      <c r="AM959" s="149"/>
      <c r="AN959" s="149"/>
      <c r="AO959" s="149"/>
      <c r="AP959" s="150"/>
      <c r="AQ959" s="150"/>
      <c r="AR959" s="150"/>
      <c r="AS959" s="150"/>
      <c r="AT959" s="150"/>
      <c r="AU959" s="150"/>
      <c r="AV959" s="150"/>
      <c r="AW959" s="150"/>
      <c r="AX959" s="150"/>
      <c r="AY959" s="151"/>
      <c r="AZ959" s="151"/>
      <c r="BA959" s="151"/>
      <c r="BB959" s="151"/>
      <c r="BC959" s="151"/>
      <c r="BD959" s="151"/>
      <c r="BE959" s="151"/>
      <c r="BF959" s="151"/>
      <c r="BG959" s="151"/>
      <c r="BH959" s="151"/>
      <c r="BI959" s="151"/>
    </row>
    <row r="960" spans="1:61" x14ac:dyDescent="0.25">
      <c r="A960" s="149"/>
      <c r="B960" s="149"/>
      <c r="C960" s="149"/>
      <c r="D960" s="149"/>
      <c r="E960" s="150"/>
      <c r="F960" s="150"/>
      <c r="G960" s="149"/>
      <c r="H960" s="149"/>
      <c r="I960" s="149"/>
      <c r="J960" s="150"/>
      <c r="K960" s="150"/>
      <c r="L960" s="149"/>
      <c r="M960" s="149"/>
      <c r="N960" s="149"/>
      <c r="O960" s="150"/>
      <c r="P960" s="150"/>
      <c r="Q960" s="149"/>
      <c r="R960" s="149"/>
      <c r="S960" s="149"/>
      <c r="T960" s="150"/>
      <c r="U960" s="150"/>
      <c r="V960" s="150"/>
      <c r="W960" s="150"/>
      <c r="X960" s="150"/>
      <c r="Y960" s="150"/>
      <c r="Z960" s="150"/>
      <c r="AA960" s="150"/>
      <c r="AB960" s="150"/>
      <c r="AC960" s="149"/>
      <c r="AD960" s="149"/>
      <c r="AE960" s="149"/>
      <c r="AF960" s="150"/>
      <c r="AG960" s="150"/>
      <c r="AH960" s="149"/>
      <c r="AI960" s="149"/>
      <c r="AJ960" s="149"/>
      <c r="AK960" s="150"/>
      <c r="AL960" s="150"/>
      <c r="AM960" s="149"/>
      <c r="AN960" s="149"/>
      <c r="AO960" s="149"/>
      <c r="AP960" s="150"/>
      <c r="AQ960" s="150"/>
      <c r="AR960" s="150"/>
      <c r="AS960" s="150"/>
      <c r="AT960" s="150"/>
      <c r="AU960" s="150"/>
      <c r="AV960" s="150"/>
      <c r="AW960" s="150"/>
      <c r="AX960" s="150"/>
      <c r="AY960" s="151"/>
      <c r="AZ960" s="151"/>
      <c r="BA960" s="151"/>
      <c r="BB960" s="151"/>
      <c r="BC960" s="151"/>
      <c r="BD960" s="151"/>
      <c r="BE960" s="151"/>
      <c r="BF960" s="151"/>
      <c r="BG960" s="151"/>
      <c r="BH960" s="151"/>
      <c r="BI960" s="151"/>
    </row>
    <row r="961" spans="1:61" x14ac:dyDescent="0.25">
      <c r="A961" s="149"/>
      <c r="B961" s="149"/>
      <c r="C961" s="149"/>
      <c r="D961" s="149"/>
      <c r="E961" s="150"/>
      <c r="F961" s="150"/>
      <c r="G961" s="149"/>
      <c r="H961" s="149"/>
      <c r="I961" s="149"/>
      <c r="J961" s="150"/>
      <c r="K961" s="150"/>
      <c r="L961" s="149"/>
      <c r="M961" s="149"/>
      <c r="N961" s="149"/>
      <c r="O961" s="150"/>
      <c r="P961" s="150"/>
      <c r="Q961" s="149"/>
      <c r="R961" s="149"/>
      <c r="S961" s="149"/>
      <c r="T961" s="150"/>
      <c r="U961" s="150"/>
      <c r="V961" s="150"/>
      <c r="W961" s="150"/>
      <c r="X961" s="150"/>
      <c r="Y961" s="150"/>
      <c r="Z961" s="150"/>
      <c r="AA961" s="150"/>
      <c r="AB961" s="150"/>
      <c r="AC961" s="149"/>
      <c r="AD961" s="149"/>
      <c r="AE961" s="149"/>
      <c r="AF961" s="150"/>
      <c r="AG961" s="150"/>
      <c r="AH961" s="149"/>
      <c r="AI961" s="149"/>
      <c r="AJ961" s="149"/>
      <c r="AK961" s="150"/>
      <c r="AL961" s="150"/>
      <c r="AM961" s="149"/>
      <c r="AN961" s="149"/>
      <c r="AO961" s="149"/>
      <c r="AP961" s="150"/>
      <c r="AQ961" s="150"/>
      <c r="AR961" s="150"/>
      <c r="AS961" s="150"/>
      <c r="AT961" s="150"/>
      <c r="AU961" s="150"/>
      <c r="AV961" s="150"/>
      <c r="AW961" s="150"/>
      <c r="AX961" s="150"/>
      <c r="AY961" s="151"/>
      <c r="AZ961" s="151"/>
      <c r="BA961" s="151"/>
      <c r="BB961" s="151"/>
      <c r="BC961" s="151"/>
      <c r="BD961" s="151"/>
      <c r="BE961" s="151"/>
      <c r="BF961" s="151"/>
      <c r="BG961" s="151"/>
      <c r="BH961" s="151"/>
      <c r="BI961" s="151"/>
    </row>
    <row r="962" spans="1:61" x14ac:dyDescent="0.25">
      <c r="A962" s="149"/>
      <c r="B962" s="149"/>
      <c r="C962" s="149"/>
      <c r="D962" s="149"/>
      <c r="E962" s="150"/>
      <c r="F962" s="150"/>
      <c r="G962" s="149"/>
      <c r="H962" s="149"/>
      <c r="I962" s="149"/>
      <c r="J962" s="150"/>
      <c r="K962" s="150"/>
      <c r="L962" s="149"/>
      <c r="M962" s="149"/>
      <c r="N962" s="149"/>
      <c r="O962" s="150"/>
      <c r="P962" s="150"/>
      <c r="Q962" s="149"/>
      <c r="R962" s="149"/>
      <c r="S962" s="149"/>
      <c r="T962" s="150"/>
      <c r="U962" s="150"/>
      <c r="V962" s="150"/>
      <c r="W962" s="150"/>
      <c r="X962" s="150"/>
      <c r="Y962" s="150"/>
      <c r="Z962" s="150"/>
      <c r="AA962" s="150"/>
      <c r="AB962" s="150"/>
      <c r="AC962" s="149"/>
      <c r="AD962" s="149"/>
      <c r="AE962" s="149"/>
      <c r="AF962" s="150"/>
      <c r="AG962" s="150"/>
      <c r="AH962" s="149"/>
      <c r="AI962" s="149"/>
      <c r="AJ962" s="149"/>
      <c r="AK962" s="150"/>
      <c r="AL962" s="150"/>
      <c r="AM962" s="149"/>
      <c r="AN962" s="149"/>
      <c r="AO962" s="149"/>
      <c r="AP962" s="150"/>
      <c r="AQ962" s="150"/>
      <c r="AR962" s="150"/>
      <c r="AS962" s="150"/>
      <c r="AT962" s="150"/>
      <c r="AU962" s="150"/>
      <c r="AV962" s="150"/>
      <c r="AW962" s="150"/>
      <c r="AX962" s="150"/>
      <c r="AY962" s="151"/>
      <c r="AZ962" s="151"/>
      <c r="BA962" s="151"/>
      <c r="BB962" s="151"/>
      <c r="BC962" s="151"/>
      <c r="BD962" s="151"/>
      <c r="BE962" s="151"/>
      <c r="BF962" s="151"/>
      <c r="BG962" s="151"/>
      <c r="BH962" s="151"/>
      <c r="BI962" s="151"/>
    </row>
    <row r="963" spans="1:61" x14ac:dyDescent="0.25">
      <c r="A963" s="149"/>
      <c r="B963" s="149"/>
      <c r="C963" s="149"/>
      <c r="D963" s="149"/>
      <c r="E963" s="150"/>
      <c r="F963" s="150"/>
      <c r="G963" s="149"/>
      <c r="H963" s="149"/>
      <c r="I963" s="149"/>
      <c r="J963" s="150"/>
      <c r="K963" s="150"/>
      <c r="L963" s="149"/>
      <c r="M963" s="149"/>
      <c r="N963" s="149"/>
      <c r="O963" s="150"/>
      <c r="P963" s="150"/>
      <c r="Q963" s="149"/>
      <c r="R963" s="149"/>
      <c r="S963" s="149"/>
      <c r="T963" s="150"/>
      <c r="U963" s="150"/>
      <c r="V963" s="150"/>
      <c r="W963" s="150"/>
      <c r="X963" s="150"/>
      <c r="Y963" s="150"/>
      <c r="Z963" s="150"/>
      <c r="AA963" s="150"/>
      <c r="AB963" s="150"/>
      <c r="AC963" s="149"/>
      <c r="AD963" s="149"/>
      <c r="AE963" s="149"/>
      <c r="AF963" s="150"/>
      <c r="AG963" s="150"/>
      <c r="AH963" s="149"/>
      <c r="AI963" s="149"/>
      <c r="AJ963" s="149"/>
      <c r="AK963" s="150"/>
      <c r="AL963" s="150"/>
      <c r="AM963" s="149"/>
      <c r="AN963" s="149"/>
      <c r="AO963" s="149"/>
      <c r="AP963" s="150"/>
      <c r="AQ963" s="150"/>
      <c r="AR963" s="150"/>
      <c r="AS963" s="150"/>
      <c r="AT963" s="150"/>
      <c r="AU963" s="150"/>
      <c r="AV963" s="150"/>
      <c r="AW963" s="150"/>
      <c r="AX963" s="150"/>
      <c r="AY963" s="151"/>
      <c r="AZ963" s="151"/>
      <c r="BA963" s="151"/>
      <c r="BB963" s="151"/>
      <c r="BC963" s="151"/>
      <c r="BD963" s="151"/>
      <c r="BE963" s="151"/>
      <c r="BF963" s="151"/>
      <c r="BG963" s="151"/>
      <c r="BH963" s="151"/>
      <c r="BI963" s="151"/>
    </row>
    <row r="964" spans="1:61" x14ac:dyDescent="0.25">
      <c r="A964" s="149"/>
      <c r="B964" s="149"/>
      <c r="C964" s="149"/>
      <c r="D964" s="149"/>
      <c r="E964" s="150"/>
      <c r="F964" s="150"/>
      <c r="G964" s="149"/>
      <c r="H964" s="149"/>
      <c r="I964" s="149"/>
      <c r="J964" s="150"/>
      <c r="K964" s="150"/>
      <c r="L964" s="149"/>
      <c r="M964" s="149"/>
      <c r="N964" s="149"/>
      <c r="O964" s="150"/>
      <c r="P964" s="150"/>
      <c r="Q964" s="149"/>
      <c r="R964" s="149"/>
      <c r="S964" s="149"/>
      <c r="T964" s="150"/>
      <c r="U964" s="150"/>
      <c r="V964" s="150"/>
      <c r="W964" s="150"/>
      <c r="X964" s="150"/>
      <c r="Y964" s="150"/>
      <c r="Z964" s="150"/>
      <c r="AA964" s="150"/>
      <c r="AB964" s="150"/>
      <c r="AC964" s="149"/>
      <c r="AD964" s="149"/>
      <c r="AE964" s="149"/>
      <c r="AF964" s="150"/>
      <c r="AG964" s="150"/>
      <c r="AH964" s="149"/>
      <c r="AI964" s="149"/>
      <c r="AJ964" s="149"/>
      <c r="AK964" s="150"/>
      <c r="AL964" s="150"/>
      <c r="AM964" s="149"/>
      <c r="AN964" s="149"/>
      <c r="AO964" s="149"/>
      <c r="AP964" s="150"/>
      <c r="AQ964" s="150"/>
      <c r="AR964" s="150"/>
      <c r="AS964" s="150"/>
      <c r="AT964" s="150"/>
      <c r="AU964" s="150"/>
      <c r="AV964" s="150"/>
      <c r="AW964" s="150"/>
      <c r="AX964" s="150"/>
      <c r="AY964" s="151"/>
      <c r="AZ964" s="151"/>
      <c r="BA964" s="151"/>
      <c r="BB964" s="151"/>
      <c r="BC964" s="151"/>
      <c r="BD964" s="151"/>
      <c r="BE964" s="151"/>
      <c r="BF964" s="151"/>
      <c r="BG964" s="151"/>
      <c r="BH964" s="151"/>
      <c r="BI964" s="151"/>
    </row>
    <row r="965" spans="1:61" x14ac:dyDescent="0.25">
      <c r="A965" s="149"/>
      <c r="B965" s="149"/>
      <c r="C965" s="149"/>
      <c r="D965" s="149"/>
      <c r="E965" s="150"/>
      <c r="F965" s="150"/>
      <c r="G965" s="149"/>
      <c r="H965" s="149"/>
      <c r="I965" s="149"/>
      <c r="J965" s="150"/>
      <c r="K965" s="150"/>
      <c r="L965" s="149"/>
      <c r="M965" s="149"/>
      <c r="N965" s="149"/>
      <c r="O965" s="150"/>
      <c r="P965" s="150"/>
      <c r="Q965" s="149"/>
      <c r="R965" s="149"/>
      <c r="S965" s="149"/>
      <c r="T965" s="150"/>
      <c r="U965" s="150"/>
      <c r="V965" s="150"/>
      <c r="W965" s="150"/>
      <c r="X965" s="150"/>
      <c r="Y965" s="150"/>
      <c r="Z965" s="150"/>
      <c r="AA965" s="150"/>
      <c r="AB965" s="150"/>
      <c r="AC965" s="149"/>
      <c r="AD965" s="149"/>
      <c r="AE965" s="149"/>
      <c r="AF965" s="150"/>
      <c r="AG965" s="150"/>
      <c r="AH965" s="149"/>
      <c r="AI965" s="149"/>
      <c r="AJ965" s="149"/>
      <c r="AK965" s="150"/>
      <c r="AL965" s="150"/>
      <c r="AM965" s="149"/>
      <c r="AN965" s="149"/>
      <c r="AO965" s="149"/>
      <c r="AP965" s="150"/>
      <c r="AQ965" s="150"/>
      <c r="AR965" s="150"/>
      <c r="AS965" s="150"/>
      <c r="AT965" s="150"/>
      <c r="AU965" s="150"/>
      <c r="AV965" s="150"/>
      <c r="AW965" s="150"/>
      <c r="AX965" s="150"/>
      <c r="AY965" s="151"/>
      <c r="AZ965" s="151"/>
      <c r="BA965" s="151"/>
      <c r="BB965" s="151"/>
      <c r="BC965" s="151"/>
      <c r="BD965" s="151"/>
      <c r="BE965" s="151"/>
      <c r="BF965" s="151"/>
      <c r="BG965" s="151"/>
      <c r="BH965" s="151"/>
      <c r="BI965" s="151"/>
    </row>
    <row r="966" spans="1:61" x14ac:dyDescent="0.25">
      <c r="A966" s="149"/>
      <c r="B966" s="149"/>
      <c r="C966" s="149"/>
      <c r="D966" s="149"/>
      <c r="E966" s="150"/>
      <c r="F966" s="150"/>
      <c r="G966" s="149"/>
      <c r="H966" s="149"/>
      <c r="I966" s="149"/>
      <c r="J966" s="150"/>
      <c r="K966" s="150"/>
      <c r="L966" s="149"/>
      <c r="M966" s="149"/>
      <c r="N966" s="149"/>
      <c r="O966" s="150"/>
      <c r="P966" s="150"/>
      <c r="Q966" s="149"/>
      <c r="R966" s="149"/>
      <c r="S966" s="149"/>
      <c r="T966" s="150"/>
      <c r="U966" s="150"/>
      <c r="V966" s="150"/>
      <c r="W966" s="150"/>
      <c r="X966" s="150"/>
      <c r="Y966" s="150"/>
      <c r="Z966" s="150"/>
      <c r="AA966" s="150"/>
      <c r="AB966" s="150"/>
      <c r="AC966" s="149"/>
      <c r="AD966" s="149"/>
      <c r="AE966" s="149"/>
      <c r="AF966" s="150"/>
      <c r="AG966" s="150"/>
      <c r="AH966" s="149"/>
      <c r="AI966" s="149"/>
      <c r="AJ966" s="149"/>
      <c r="AK966" s="150"/>
      <c r="AL966" s="150"/>
      <c r="AM966" s="149"/>
      <c r="AN966" s="149"/>
      <c r="AO966" s="149"/>
      <c r="AP966" s="150"/>
      <c r="AQ966" s="150"/>
      <c r="AR966" s="150"/>
      <c r="AS966" s="150"/>
      <c r="AT966" s="150"/>
      <c r="AU966" s="150"/>
      <c r="AV966" s="150"/>
      <c r="AW966" s="150"/>
      <c r="AX966" s="150"/>
      <c r="AY966" s="151"/>
      <c r="AZ966" s="151"/>
      <c r="BA966" s="151"/>
      <c r="BB966" s="151"/>
      <c r="BC966" s="151"/>
      <c r="BD966" s="151"/>
      <c r="BE966" s="151"/>
      <c r="BF966" s="151"/>
      <c r="BG966" s="151"/>
      <c r="BH966" s="151"/>
      <c r="BI966" s="151"/>
    </row>
    <row r="967" spans="1:61" x14ac:dyDescent="0.25">
      <c r="A967" s="149"/>
      <c r="B967" s="149"/>
      <c r="C967" s="149"/>
      <c r="D967" s="149"/>
      <c r="E967" s="150"/>
      <c r="F967" s="150"/>
      <c r="G967" s="149"/>
      <c r="H967" s="149"/>
      <c r="I967" s="149"/>
      <c r="J967" s="150"/>
      <c r="K967" s="150"/>
      <c r="L967" s="149"/>
      <c r="M967" s="149"/>
      <c r="N967" s="149"/>
      <c r="O967" s="150"/>
      <c r="P967" s="150"/>
      <c r="Q967" s="149"/>
      <c r="R967" s="149"/>
      <c r="S967" s="149"/>
      <c r="T967" s="150"/>
      <c r="U967" s="150"/>
      <c r="V967" s="150"/>
      <c r="W967" s="150"/>
      <c r="X967" s="150"/>
      <c r="Y967" s="150"/>
      <c r="Z967" s="150"/>
      <c r="AA967" s="150"/>
      <c r="AB967" s="150"/>
      <c r="AC967" s="149"/>
      <c r="AD967" s="149"/>
      <c r="AE967" s="149"/>
      <c r="AF967" s="150"/>
      <c r="AG967" s="150"/>
      <c r="AH967" s="149"/>
      <c r="AI967" s="149"/>
      <c r="AJ967" s="149"/>
      <c r="AK967" s="150"/>
      <c r="AL967" s="150"/>
      <c r="AM967" s="149"/>
      <c r="AN967" s="149"/>
      <c r="AO967" s="149"/>
      <c r="AP967" s="150"/>
      <c r="AQ967" s="150"/>
      <c r="AR967" s="150"/>
      <c r="AS967" s="150"/>
      <c r="AT967" s="150"/>
      <c r="AU967" s="150"/>
      <c r="AV967" s="150"/>
      <c r="AW967" s="150"/>
      <c r="AX967" s="150"/>
      <c r="AY967" s="151"/>
      <c r="AZ967" s="151"/>
      <c r="BA967" s="151"/>
      <c r="BB967" s="151"/>
      <c r="BC967" s="151"/>
      <c r="BD967" s="151"/>
      <c r="BE967" s="151"/>
      <c r="BF967" s="151"/>
      <c r="BG967" s="151"/>
      <c r="BH967" s="151"/>
      <c r="BI967" s="151"/>
    </row>
    <row r="968" spans="1:61" x14ac:dyDescent="0.25">
      <c r="A968" s="149"/>
      <c r="B968" s="149"/>
      <c r="C968" s="149"/>
      <c r="D968" s="149"/>
      <c r="E968" s="150"/>
      <c r="F968" s="150"/>
      <c r="G968" s="149"/>
      <c r="H968" s="149"/>
      <c r="I968" s="149"/>
      <c r="J968" s="150"/>
      <c r="K968" s="150"/>
      <c r="L968" s="149"/>
      <c r="M968" s="149"/>
      <c r="N968" s="149"/>
      <c r="O968" s="150"/>
      <c r="P968" s="150"/>
      <c r="Q968" s="149"/>
      <c r="R968" s="149"/>
      <c r="S968" s="149"/>
      <c r="T968" s="150"/>
      <c r="U968" s="150"/>
      <c r="V968" s="150"/>
      <c r="W968" s="150"/>
      <c r="X968" s="150"/>
      <c r="Y968" s="150"/>
      <c r="Z968" s="150"/>
      <c r="AA968" s="150"/>
      <c r="AB968" s="150"/>
      <c r="AC968" s="149"/>
      <c r="AD968" s="149"/>
      <c r="AE968" s="149"/>
      <c r="AF968" s="150"/>
      <c r="AG968" s="150"/>
      <c r="AH968" s="149"/>
      <c r="AI968" s="149"/>
      <c r="AJ968" s="149"/>
      <c r="AK968" s="150"/>
      <c r="AL968" s="150"/>
      <c r="AM968" s="149"/>
      <c r="AN968" s="149"/>
      <c r="AO968" s="149"/>
      <c r="AP968" s="150"/>
      <c r="AQ968" s="150"/>
      <c r="AR968" s="150"/>
      <c r="AS968" s="150"/>
      <c r="AT968" s="150"/>
      <c r="AU968" s="150"/>
      <c r="AV968" s="150"/>
      <c r="AW968" s="150"/>
      <c r="AX968" s="150"/>
      <c r="AY968" s="151"/>
      <c r="AZ968" s="151"/>
      <c r="BA968" s="151"/>
      <c r="BB968" s="151"/>
      <c r="BC968" s="151"/>
      <c r="BD968" s="151"/>
      <c r="BE968" s="151"/>
      <c r="BF968" s="151"/>
      <c r="BG968" s="151"/>
      <c r="BH968" s="151"/>
      <c r="BI968" s="151"/>
    </row>
    <row r="969" spans="1:61" x14ac:dyDescent="0.25">
      <c r="A969" s="149"/>
      <c r="B969" s="149"/>
      <c r="C969" s="149"/>
      <c r="D969" s="149"/>
      <c r="E969" s="150"/>
      <c r="F969" s="150"/>
      <c r="G969" s="149"/>
      <c r="H969" s="149"/>
      <c r="I969" s="149"/>
      <c r="J969" s="150"/>
      <c r="K969" s="150"/>
      <c r="L969" s="149"/>
      <c r="M969" s="149"/>
      <c r="N969" s="149"/>
      <c r="O969" s="150"/>
      <c r="P969" s="150"/>
      <c r="Q969" s="149"/>
      <c r="R969" s="149"/>
      <c r="S969" s="149"/>
      <c r="T969" s="150"/>
      <c r="U969" s="150"/>
      <c r="V969" s="150"/>
      <c r="W969" s="150"/>
      <c r="X969" s="150"/>
      <c r="Y969" s="150"/>
      <c r="Z969" s="150"/>
      <c r="AA969" s="150"/>
      <c r="AB969" s="150"/>
      <c r="AC969" s="149"/>
      <c r="AD969" s="149"/>
      <c r="AE969" s="149"/>
      <c r="AF969" s="150"/>
      <c r="AG969" s="150"/>
      <c r="AH969" s="149"/>
      <c r="AI969" s="149"/>
      <c r="AJ969" s="149"/>
      <c r="AK969" s="150"/>
      <c r="AL969" s="150"/>
      <c r="AM969" s="149"/>
      <c r="AN969" s="149"/>
      <c r="AO969" s="149"/>
      <c r="AP969" s="150"/>
      <c r="AQ969" s="150"/>
      <c r="AR969" s="150"/>
      <c r="AS969" s="150"/>
      <c r="AT969" s="150"/>
      <c r="AU969" s="150"/>
      <c r="AV969" s="150"/>
      <c r="AW969" s="150"/>
      <c r="AX969" s="150"/>
      <c r="AY969" s="151"/>
      <c r="AZ969" s="151"/>
      <c r="BA969" s="151"/>
      <c r="BB969" s="151"/>
      <c r="BC969" s="151"/>
      <c r="BD969" s="151"/>
      <c r="BE969" s="151"/>
      <c r="BF969" s="151"/>
      <c r="BG969" s="151"/>
      <c r="BH969" s="151"/>
      <c r="BI969" s="151"/>
    </row>
    <row r="970" spans="1:61" x14ac:dyDescent="0.25">
      <c r="A970" s="149"/>
      <c r="B970" s="149"/>
      <c r="C970" s="149"/>
      <c r="D970" s="149"/>
      <c r="E970" s="150"/>
      <c r="F970" s="150"/>
      <c r="G970" s="149"/>
      <c r="H970" s="149"/>
      <c r="I970" s="149"/>
      <c r="J970" s="150"/>
      <c r="K970" s="150"/>
      <c r="L970" s="149"/>
      <c r="M970" s="149"/>
      <c r="N970" s="149"/>
      <c r="O970" s="150"/>
      <c r="P970" s="150"/>
      <c r="Q970" s="149"/>
      <c r="R970" s="149"/>
      <c r="S970" s="149"/>
      <c r="T970" s="150"/>
      <c r="U970" s="150"/>
      <c r="V970" s="150"/>
      <c r="W970" s="150"/>
      <c r="X970" s="150"/>
      <c r="Y970" s="150"/>
      <c r="Z970" s="150"/>
      <c r="AA970" s="150"/>
      <c r="AB970" s="150"/>
      <c r="AC970" s="149"/>
      <c r="AD970" s="149"/>
      <c r="AE970" s="149"/>
      <c r="AF970" s="150"/>
      <c r="AG970" s="150"/>
      <c r="AH970" s="149"/>
      <c r="AI970" s="149"/>
      <c r="AJ970" s="149"/>
      <c r="AK970" s="150"/>
      <c r="AL970" s="150"/>
      <c r="AM970" s="149"/>
      <c r="AN970" s="149"/>
      <c r="AO970" s="149"/>
      <c r="AP970" s="150"/>
      <c r="AQ970" s="150"/>
      <c r="AR970" s="150"/>
      <c r="AS970" s="150"/>
      <c r="AT970" s="150"/>
      <c r="AU970" s="150"/>
      <c r="AV970" s="150"/>
      <c r="AW970" s="150"/>
      <c r="AX970" s="150"/>
      <c r="AY970" s="151"/>
      <c r="AZ970" s="151"/>
      <c r="BA970" s="151"/>
      <c r="BB970" s="151"/>
      <c r="BC970" s="151"/>
      <c r="BD970" s="151"/>
      <c r="BE970" s="151"/>
      <c r="BF970" s="151"/>
      <c r="BG970" s="151"/>
      <c r="BH970" s="151"/>
      <c r="BI970" s="151"/>
    </row>
    <row r="971" spans="1:61" x14ac:dyDescent="0.25">
      <c r="A971" s="149"/>
      <c r="B971" s="149"/>
      <c r="C971" s="149"/>
      <c r="D971" s="149"/>
      <c r="E971" s="150"/>
      <c r="F971" s="150"/>
      <c r="G971" s="149"/>
      <c r="H971" s="149"/>
      <c r="I971" s="149"/>
      <c r="J971" s="150"/>
      <c r="K971" s="150"/>
      <c r="L971" s="149"/>
      <c r="M971" s="149"/>
      <c r="N971" s="149"/>
      <c r="O971" s="150"/>
      <c r="P971" s="150"/>
      <c r="Q971" s="149"/>
      <c r="R971" s="149"/>
      <c r="S971" s="149"/>
      <c r="T971" s="150"/>
      <c r="U971" s="150"/>
      <c r="V971" s="150"/>
      <c r="W971" s="150"/>
      <c r="X971" s="150"/>
      <c r="Y971" s="150"/>
      <c r="Z971" s="150"/>
      <c r="AA971" s="150"/>
      <c r="AB971" s="150"/>
      <c r="AC971" s="149"/>
      <c r="AD971" s="149"/>
      <c r="AE971" s="149"/>
      <c r="AF971" s="150"/>
      <c r="AG971" s="150"/>
      <c r="AH971" s="149"/>
      <c r="AI971" s="149"/>
      <c r="AJ971" s="149"/>
      <c r="AK971" s="150"/>
      <c r="AL971" s="150"/>
      <c r="AM971" s="149"/>
      <c r="AN971" s="149"/>
      <c r="AO971" s="149"/>
      <c r="AP971" s="150"/>
      <c r="AQ971" s="150"/>
      <c r="AR971" s="150"/>
      <c r="AS971" s="150"/>
      <c r="AT971" s="150"/>
      <c r="AU971" s="150"/>
      <c r="AV971" s="150"/>
      <c r="AW971" s="150"/>
      <c r="AX971" s="150"/>
      <c r="AY971" s="151"/>
      <c r="AZ971" s="151"/>
      <c r="BA971" s="151"/>
      <c r="BB971" s="151"/>
      <c r="BC971" s="151"/>
      <c r="BD971" s="151"/>
      <c r="BE971" s="151"/>
      <c r="BF971" s="151"/>
      <c r="BG971" s="151"/>
      <c r="BH971" s="151"/>
      <c r="BI971" s="151"/>
    </row>
    <row r="972" spans="1:61" x14ac:dyDescent="0.25">
      <c r="A972" s="149"/>
      <c r="B972" s="149"/>
      <c r="C972" s="149"/>
      <c r="D972" s="149"/>
      <c r="E972" s="150"/>
      <c r="F972" s="150"/>
      <c r="G972" s="149"/>
      <c r="H972" s="149"/>
      <c r="I972" s="149"/>
      <c r="J972" s="150"/>
      <c r="K972" s="150"/>
      <c r="L972" s="149"/>
      <c r="M972" s="149"/>
      <c r="N972" s="149"/>
      <c r="O972" s="150"/>
      <c r="P972" s="150"/>
      <c r="Q972" s="149"/>
      <c r="R972" s="149"/>
      <c r="S972" s="149"/>
      <c r="T972" s="150"/>
      <c r="U972" s="150"/>
      <c r="V972" s="150"/>
      <c r="W972" s="150"/>
      <c r="X972" s="150"/>
      <c r="Y972" s="150"/>
      <c r="Z972" s="150"/>
      <c r="AA972" s="150"/>
      <c r="AB972" s="150"/>
      <c r="AC972" s="149"/>
      <c r="AD972" s="149"/>
      <c r="AE972" s="149"/>
      <c r="AF972" s="150"/>
      <c r="AG972" s="150"/>
      <c r="AH972" s="149"/>
      <c r="AI972" s="149"/>
      <c r="AJ972" s="149"/>
      <c r="AK972" s="150"/>
      <c r="AL972" s="150"/>
      <c r="AM972" s="149"/>
      <c r="AN972" s="149"/>
      <c r="AO972" s="149"/>
      <c r="AP972" s="150"/>
      <c r="AQ972" s="150"/>
      <c r="AR972" s="150"/>
      <c r="AS972" s="150"/>
      <c r="AT972" s="150"/>
      <c r="AU972" s="150"/>
      <c r="AV972" s="150"/>
      <c r="AW972" s="150"/>
      <c r="AX972" s="150"/>
      <c r="AY972" s="151"/>
      <c r="AZ972" s="151"/>
      <c r="BA972" s="151"/>
      <c r="BB972" s="151"/>
      <c r="BC972" s="151"/>
      <c r="BD972" s="151"/>
      <c r="BE972" s="151"/>
      <c r="BF972" s="151"/>
      <c r="BG972" s="151"/>
      <c r="BH972" s="151"/>
      <c r="BI972" s="151"/>
    </row>
    <row r="973" spans="1:61" x14ac:dyDescent="0.25">
      <c r="A973" s="149"/>
      <c r="B973" s="149"/>
      <c r="C973" s="149"/>
      <c r="D973" s="149"/>
      <c r="E973" s="150"/>
      <c r="F973" s="150"/>
      <c r="G973" s="149"/>
      <c r="H973" s="149"/>
      <c r="I973" s="149"/>
      <c r="J973" s="150"/>
      <c r="K973" s="150"/>
      <c r="L973" s="149"/>
      <c r="M973" s="149"/>
      <c r="N973" s="149"/>
      <c r="O973" s="150"/>
      <c r="P973" s="150"/>
      <c r="Q973" s="149"/>
      <c r="R973" s="149"/>
      <c r="S973" s="149"/>
      <c r="T973" s="150"/>
      <c r="U973" s="150"/>
      <c r="V973" s="150"/>
      <c r="W973" s="150"/>
      <c r="X973" s="150"/>
      <c r="Y973" s="150"/>
      <c r="Z973" s="150"/>
      <c r="AA973" s="150"/>
      <c r="AB973" s="150"/>
      <c r="AC973" s="149"/>
      <c r="AD973" s="149"/>
      <c r="AE973" s="149"/>
      <c r="AF973" s="150"/>
      <c r="AG973" s="150"/>
      <c r="AH973" s="149"/>
      <c r="AI973" s="149"/>
      <c r="AJ973" s="149"/>
      <c r="AK973" s="150"/>
      <c r="AL973" s="150"/>
      <c r="AM973" s="149"/>
      <c r="AN973" s="149"/>
      <c r="AO973" s="149"/>
      <c r="AP973" s="150"/>
      <c r="AQ973" s="150"/>
      <c r="AR973" s="150"/>
      <c r="AS973" s="150"/>
      <c r="AT973" s="150"/>
      <c r="AU973" s="150"/>
      <c r="AV973" s="150"/>
      <c r="AW973" s="150"/>
      <c r="AX973" s="150"/>
      <c r="AY973" s="151"/>
      <c r="AZ973" s="151"/>
      <c r="BA973" s="151"/>
      <c r="BB973" s="151"/>
      <c r="BC973" s="151"/>
      <c r="BD973" s="151"/>
      <c r="BE973" s="151"/>
      <c r="BF973" s="151"/>
      <c r="BG973" s="151"/>
      <c r="BH973" s="151"/>
      <c r="BI973" s="151"/>
    </row>
    <row r="974" spans="1:61" x14ac:dyDescent="0.25">
      <c r="A974" s="149"/>
      <c r="B974" s="149"/>
      <c r="C974" s="149"/>
      <c r="D974" s="149"/>
      <c r="E974" s="150"/>
      <c r="F974" s="150"/>
      <c r="G974" s="149"/>
      <c r="H974" s="149"/>
      <c r="I974" s="149"/>
      <c r="J974" s="150"/>
      <c r="K974" s="150"/>
      <c r="L974" s="149"/>
      <c r="M974" s="149"/>
      <c r="N974" s="149"/>
      <c r="O974" s="150"/>
      <c r="P974" s="150"/>
      <c r="Q974" s="149"/>
      <c r="R974" s="149"/>
      <c r="S974" s="149"/>
      <c r="T974" s="150"/>
      <c r="U974" s="150"/>
      <c r="V974" s="150"/>
      <c r="W974" s="150"/>
      <c r="X974" s="150"/>
      <c r="Y974" s="150"/>
      <c r="Z974" s="150"/>
      <c r="AA974" s="150"/>
      <c r="AB974" s="150"/>
      <c r="AC974" s="149"/>
      <c r="AD974" s="149"/>
      <c r="AE974" s="149"/>
      <c r="AF974" s="150"/>
      <c r="AG974" s="150"/>
      <c r="AH974" s="149"/>
      <c r="AI974" s="149"/>
      <c r="AJ974" s="149"/>
      <c r="AK974" s="150"/>
      <c r="AL974" s="150"/>
      <c r="AM974" s="149"/>
      <c r="AN974" s="149"/>
      <c r="AO974" s="149"/>
      <c r="AP974" s="150"/>
      <c r="AQ974" s="150"/>
      <c r="AR974" s="150"/>
      <c r="AS974" s="150"/>
      <c r="AT974" s="150"/>
      <c r="AU974" s="150"/>
      <c r="AV974" s="150"/>
      <c r="AW974" s="150"/>
      <c r="AX974" s="150"/>
      <c r="AY974" s="151"/>
      <c r="AZ974" s="151"/>
      <c r="BA974" s="151"/>
      <c r="BB974" s="151"/>
      <c r="BC974" s="151"/>
      <c r="BD974" s="151"/>
      <c r="BE974" s="151"/>
      <c r="BF974" s="151"/>
      <c r="BG974" s="151"/>
      <c r="BH974" s="151"/>
      <c r="BI974" s="151"/>
    </row>
    <row r="975" spans="1:61" x14ac:dyDescent="0.25">
      <c r="A975" s="149"/>
      <c r="B975" s="149"/>
      <c r="C975" s="149"/>
      <c r="D975" s="149"/>
      <c r="E975" s="150"/>
      <c r="F975" s="150"/>
      <c r="G975" s="149"/>
      <c r="H975" s="149"/>
      <c r="I975" s="149"/>
      <c r="J975" s="150"/>
      <c r="K975" s="150"/>
      <c r="L975" s="149"/>
      <c r="M975" s="149"/>
      <c r="N975" s="149"/>
      <c r="O975" s="150"/>
      <c r="P975" s="150"/>
      <c r="Q975" s="149"/>
      <c r="R975" s="149"/>
      <c r="S975" s="149"/>
      <c r="T975" s="150"/>
      <c r="U975" s="150"/>
      <c r="V975" s="150"/>
      <c r="W975" s="150"/>
      <c r="X975" s="150"/>
      <c r="Y975" s="150"/>
      <c r="Z975" s="150"/>
      <c r="AA975" s="150"/>
      <c r="AB975" s="150"/>
      <c r="AC975" s="149"/>
      <c r="AD975" s="149"/>
      <c r="AE975" s="149"/>
      <c r="AF975" s="150"/>
      <c r="AG975" s="150"/>
      <c r="AH975" s="149"/>
      <c r="AI975" s="149"/>
      <c r="AJ975" s="149"/>
      <c r="AK975" s="150"/>
      <c r="AL975" s="150"/>
      <c r="AM975" s="149"/>
      <c r="AN975" s="149"/>
      <c r="AO975" s="149"/>
      <c r="AP975" s="150"/>
      <c r="AQ975" s="150"/>
      <c r="AR975" s="150"/>
      <c r="AS975" s="150"/>
      <c r="AT975" s="150"/>
      <c r="AU975" s="150"/>
      <c r="AV975" s="150"/>
      <c r="AW975" s="150"/>
      <c r="AX975" s="150"/>
      <c r="AY975" s="151"/>
      <c r="AZ975" s="151"/>
      <c r="BA975" s="151"/>
      <c r="BB975" s="151"/>
      <c r="BC975" s="151"/>
      <c r="BD975" s="151"/>
      <c r="BE975" s="151"/>
      <c r="BF975" s="151"/>
      <c r="BG975" s="151"/>
      <c r="BH975" s="151"/>
      <c r="BI975" s="151"/>
    </row>
    <row r="976" spans="1:61" x14ac:dyDescent="0.25">
      <c r="A976" s="149"/>
      <c r="B976" s="149"/>
      <c r="C976" s="149"/>
      <c r="D976" s="149"/>
      <c r="E976" s="150"/>
      <c r="F976" s="150"/>
      <c r="G976" s="149"/>
      <c r="H976" s="149"/>
      <c r="I976" s="149"/>
      <c r="J976" s="150"/>
      <c r="K976" s="150"/>
      <c r="L976" s="149"/>
      <c r="M976" s="149"/>
      <c r="N976" s="149"/>
      <c r="O976" s="150"/>
      <c r="P976" s="150"/>
      <c r="Q976" s="149"/>
      <c r="R976" s="149"/>
      <c r="S976" s="149"/>
      <c r="T976" s="150"/>
      <c r="U976" s="150"/>
      <c r="V976" s="150"/>
      <c r="W976" s="150"/>
      <c r="X976" s="150"/>
      <c r="Y976" s="150"/>
      <c r="Z976" s="150"/>
      <c r="AA976" s="150"/>
      <c r="AB976" s="150"/>
      <c r="AC976" s="149"/>
      <c r="AD976" s="149"/>
      <c r="AE976" s="149"/>
      <c r="AF976" s="150"/>
      <c r="AG976" s="150"/>
      <c r="AH976" s="149"/>
      <c r="AI976" s="149"/>
      <c r="AJ976" s="149"/>
      <c r="AK976" s="150"/>
      <c r="AL976" s="150"/>
      <c r="AM976" s="149"/>
      <c r="AN976" s="149"/>
      <c r="AO976" s="149"/>
      <c r="AP976" s="150"/>
      <c r="AQ976" s="150"/>
      <c r="AR976" s="150"/>
      <c r="AS976" s="150"/>
      <c r="AT976" s="150"/>
      <c r="AU976" s="150"/>
      <c r="AV976" s="150"/>
      <c r="AW976" s="150"/>
      <c r="AX976" s="150"/>
      <c r="AY976" s="151"/>
      <c r="AZ976" s="151"/>
      <c r="BA976" s="151"/>
      <c r="BB976" s="151"/>
      <c r="BC976" s="151"/>
      <c r="BD976" s="151"/>
      <c r="BE976" s="151"/>
      <c r="BF976" s="151"/>
      <c r="BG976" s="151"/>
      <c r="BH976" s="151"/>
      <c r="BI976" s="151"/>
    </row>
    <row r="977" spans="1:61" x14ac:dyDescent="0.25">
      <c r="A977" s="149"/>
      <c r="B977" s="149"/>
      <c r="C977" s="149"/>
      <c r="D977" s="149"/>
      <c r="E977" s="150"/>
      <c r="F977" s="150"/>
      <c r="G977" s="149"/>
      <c r="H977" s="149"/>
      <c r="I977" s="149"/>
      <c r="J977" s="150"/>
      <c r="K977" s="150"/>
      <c r="L977" s="149"/>
      <c r="M977" s="149"/>
      <c r="N977" s="149"/>
      <c r="O977" s="150"/>
      <c r="P977" s="150"/>
      <c r="Q977" s="149"/>
      <c r="R977" s="149"/>
      <c r="S977" s="149"/>
      <c r="T977" s="150"/>
      <c r="U977" s="150"/>
      <c r="V977" s="150"/>
      <c r="W977" s="150"/>
      <c r="X977" s="150"/>
      <c r="Y977" s="150"/>
      <c r="Z977" s="150"/>
      <c r="AA977" s="150"/>
      <c r="AB977" s="150"/>
      <c r="AC977" s="149"/>
      <c r="AD977" s="149"/>
      <c r="AE977" s="149"/>
      <c r="AF977" s="150"/>
      <c r="AG977" s="150"/>
      <c r="AH977" s="149"/>
      <c r="AI977" s="149"/>
      <c r="AJ977" s="149"/>
      <c r="AK977" s="150"/>
      <c r="AL977" s="150"/>
      <c r="AM977" s="149"/>
      <c r="AN977" s="149"/>
      <c r="AO977" s="149"/>
      <c r="AP977" s="150"/>
      <c r="AQ977" s="150"/>
      <c r="AR977" s="150"/>
      <c r="AS977" s="150"/>
      <c r="AT977" s="150"/>
      <c r="AU977" s="150"/>
      <c r="AV977" s="150"/>
      <c r="AW977" s="150"/>
      <c r="AX977" s="150"/>
      <c r="AY977" s="151"/>
      <c r="AZ977" s="151"/>
      <c r="BA977" s="151"/>
      <c r="BB977" s="151"/>
      <c r="BC977" s="151"/>
      <c r="BD977" s="151"/>
      <c r="BE977" s="151"/>
      <c r="BF977" s="151"/>
      <c r="BG977" s="151"/>
      <c r="BH977" s="151"/>
      <c r="BI977" s="151"/>
    </row>
    <row r="978" spans="1:61" x14ac:dyDescent="0.25">
      <c r="A978" s="149"/>
      <c r="B978" s="149"/>
      <c r="C978" s="149"/>
      <c r="D978" s="149"/>
      <c r="E978" s="150"/>
      <c r="F978" s="150"/>
      <c r="G978" s="149"/>
      <c r="H978" s="149"/>
      <c r="I978" s="149"/>
      <c r="J978" s="150"/>
      <c r="K978" s="150"/>
      <c r="L978" s="149"/>
      <c r="M978" s="149"/>
      <c r="N978" s="149"/>
      <c r="O978" s="150"/>
      <c r="P978" s="150"/>
      <c r="Q978" s="149"/>
      <c r="R978" s="149"/>
      <c r="S978" s="149"/>
      <c r="T978" s="150"/>
      <c r="U978" s="150"/>
      <c r="V978" s="150"/>
      <c r="W978" s="150"/>
      <c r="X978" s="150"/>
      <c r="Y978" s="150"/>
      <c r="Z978" s="150"/>
      <c r="AA978" s="150"/>
      <c r="AB978" s="150"/>
      <c r="AC978" s="149"/>
      <c r="AD978" s="149"/>
      <c r="AE978" s="149"/>
      <c r="AF978" s="150"/>
      <c r="AG978" s="150"/>
      <c r="AH978" s="149"/>
      <c r="AI978" s="149"/>
      <c r="AJ978" s="149"/>
      <c r="AK978" s="150"/>
      <c r="AL978" s="150"/>
      <c r="AM978" s="149"/>
      <c r="AN978" s="149"/>
      <c r="AO978" s="149"/>
      <c r="AP978" s="150"/>
      <c r="AQ978" s="150"/>
      <c r="AR978" s="150"/>
      <c r="AS978" s="150"/>
      <c r="AT978" s="150"/>
      <c r="AU978" s="150"/>
      <c r="AV978" s="150"/>
      <c r="AW978" s="150"/>
      <c r="AX978" s="150"/>
      <c r="AY978" s="151"/>
      <c r="AZ978" s="151"/>
      <c r="BA978" s="151"/>
      <c r="BB978" s="151"/>
      <c r="BC978" s="151"/>
      <c r="BD978" s="151"/>
      <c r="BE978" s="151"/>
      <c r="BF978" s="151"/>
      <c r="BG978" s="151"/>
      <c r="BH978" s="151"/>
      <c r="BI978" s="151"/>
    </row>
    <row r="979" spans="1:61" x14ac:dyDescent="0.25">
      <c r="A979" s="149"/>
      <c r="B979" s="149"/>
      <c r="C979" s="149"/>
      <c r="D979" s="149"/>
      <c r="E979" s="150"/>
      <c r="F979" s="150"/>
      <c r="G979" s="149"/>
      <c r="H979" s="149"/>
      <c r="I979" s="149"/>
      <c r="J979" s="150"/>
      <c r="K979" s="150"/>
      <c r="L979" s="149"/>
      <c r="M979" s="149"/>
      <c r="N979" s="149"/>
      <c r="O979" s="150"/>
      <c r="P979" s="150"/>
      <c r="Q979" s="149"/>
      <c r="R979" s="149"/>
      <c r="S979" s="149"/>
      <c r="T979" s="150"/>
      <c r="U979" s="150"/>
      <c r="V979" s="150"/>
      <c r="W979" s="150"/>
      <c r="X979" s="150"/>
      <c r="Y979" s="150"/>
      <c r="Z979" s="150"/>
      <c r="AA979" s="150"/>
      <c r="AB979" s="150"/>
      <c r="AC979" s="149"/>
      <c r="AD979" s="149"/>
      <c r="AE979" s="149"/>
      <c r="AF979" s="150"/>
      <c r="AG979" s="150"/>
      <c r="AH979" s="149"/>
      <c r="AI979" s="149"/>
      <c r="AJ979" s="149"/>
      <c r="AK979" s="150"/>
      <c r="AL979" s="150"/>
      <c r="AM979" s="149"/>
      <c r="AN979" s="149"/>
      <c r="AO979" s="149"/>
      <c r="AP979" s="150"/>
      <c r="AQ979" s="150"/>
      <c r="AR979" s="150"/>
      <c r="AS979" s="150"/>
      <c r="AT979" s="150"/>
      <c r="AU979" s="150"/>
      <c r="AV979" s="150"/>
      <c r="AW979" s="150"/>
      <c r="AX979" s="150"/>
      <c r="AY979" s="151"/>
      <c r="AZ979" s="151"/>
      <c r="BA979" s="151"/>
      <c r="BB979" s="151"/>
      <c r="BC979" s="151"/>
      <c r="BD979" s="151"/>
      <c r="BE979" s="151"/>
      <c r="BF979" s="151"/>
      <c r="BG979" s="151"/>
      <c r="BH979" s="151"/>
      <c r="BI979" s="151"/>
    </row>
    <row r="980" spans="1:61" x14ac:dyDescent="0.25">
      <c r="A980" s="149"/>
      <c r="B980" s="149"/>
      <c r="C980" s="149"/>
      <c r="D980" s="149"/>
      <c r="E980" s="150"/>
      <c r="F980" s="150"/>
      <c r="G980" s="149"/>
      <c r="H980" s="149"/>
      <c r="I980" s="149"/>
      <c r="J980" s="150"/>
      <c r="K980" s="150"/>
      <c r="L980" s="149"/>
      <c r="M980" s="149"/>
      <c r="N980" s="149"/>
      <c r="O980" s="150"/>
      <c r="P980" s="150"/>
      <c r="Q980" s="149"/>
      <c r="R980" s="149"/>
      <c r="S980" s="149"/>
      <c r="T980" s="150"/>
      <c r="U980" s="150"/>
      <c r="V980" s="150"/>
      <c r="W980" s="150"/>
      <c r="X980" s="150"/>
      <c r="Y980" s="150"/>
      <c r="Z980" s="150"/>
      <c r="AA980" s="150"/>
      <c r="AB980" s="150"/>
      <c r="AC980" s="149"/>
      <c r="AD980" s="149"/>
      <c r="AE980" s="149"/>
      <c r="AF980" s="150"/>
      <c r="AG980" s="150"/>
      <c r="AH980" s="149"/>
      <c r="AI980" s="149"/>
      <c r="AJ980" s="149"/>
      <c r="AK980" s="150"/>
      <c r="AL980" s="150"/>
      <c r="AM980" s="149"/>
      <c r="AN980" s="149"/>
      <c r="AO980" s="149"/>
      <c r="AP980" s="150"/>
      <c r="AQ980" s="150"/>
      <c r="AR980" s="150"/>
      <c r="AS980" s="150"/>
      <c r="AT980" s="150"/>
      <c r="AU980" s="150"/>
      <c r="AV980" s="150"/>
      <c r="AW980" s="150"/>
      <c r="AX980" s="150"/>
      <c r="AY980" s="151"/>
      <c r="AZ980" s="151"/>
      <c r="BA980" s="151"/>
      <c r="BB980" s="151"/>
      <c r="BC980" s="151"/>
      <c r="BD980" s="151"/>
      <c r="BE980" s="151"/>
      <c r="BF980" s="151"/>
      <c r="BG980" s="151"/>
      <c r="BH980" s="151"/>
      <c r="BI980" s="151"/>
    </row>
    <row r="981" spans="1:61" x14ac:dyDescent="0.25">
      <c r="A981" s="149"/>
      <c r="B981" s="149"/>
      <c r="C981" s="149"/>
      <c r="D981" s="149"/>
      <c r="E981" s="150"/>
      <c r="F981" s="150"/>
      <c r="G981" s="149"/>
      <c r="H981" s="149"/>
      <c r="I981" s="149"/>
      <c r="J981" s="150"/>
      <c r="K981" s="150"/>
      <c r="L981" s="149"/>
      <c r="M981" s="149"/>
      <c r="N981" s="149"/>
      <c r="O981" s="150"/>
      <c r="P981" s="150"/>
      <c r="Q981" s="149"/>
      <c r="R981" s="149"/>
      <c r="S981" s="149"/>
      <c r="T981" s="150"/>
      <c r="U981" s="150"/>
      <c r="V981" s="150"/>
      <c r="W981" s="150"/>
      <c r="X981" s="150"/>
      <c r="Y981" s="150"/>
      <c r="Z981" s="150"/>
      <c r="AA981" s="150"/>
      <c r="AB981" s="150"/>
      <c r="AC981" s="149"/>
      <c r="AD981" s="149"/>
      <c r="AE981" s="149"/>
      <c r="AF981" s="150"/>
      <c r="AG981" s="150"/>
      <c r="AH981" s="149"/>
      <c r="AI981" s="149"/>
      <c r="AJ981" s="149"/>
      <c r="AK981" s="150"/>
      <c r="AL981" s="150"/>
      <c r="AM981" s="149"/>
      <c r="AN981" s="149"/>
      <c r="AO981" s="149"/>
      <c r="AP981" s="150"/>
      <c r="AQ981" s="150"/>
      <c r="AR981" s="150"/>
      <c r="AS981" s="150"/>
      <c r="AT981" s="150"/>
      <c r="AU981" s="150"/>
      <c r="AV981" s="150"/>
      <c r="AW981" s="150"/>
      <c r="AX981" s="150"/>
      <c r="AY981" s="151"/>
      <c r="AZ981" s="151"/>
      <c r="BA981" s="151"/>
      <c r="BB981" s="151"/>
      <c r="BC981" s="151"/>
      <c r="BD981" s="151"/>
      <c r="BE981" s="151"/>
      <c r="BF981" s="151"/>
      <c r="BG981" s="151"/>
      <c r="BH981" s="151"/>
      <c r="BI981" s="151"/>
    </row>
    <row r="982" spans="1:61" x14ac:dyDescent="0.25">
      <c r="A982" s="149"/>
      <c r="B982" s="149"/>
      <c r="C982" s="149"/>
      <c r="D982" s="149"/>
      <c r="E982" s="150"/>
      <c r="F982" s="150"/>
      <c r="G982" s="149"/>
      <c r="H982" s="149"/>
      <c r="I982" s="149"/>
      <c r="J982" s="150"/>
      <c r="K982" s="150"/>
      <c r="L982" s="149"/>
      <c r="M982" s="149"/>
      <c r="N982" s="149"/>
      <c r="O982" s="150"/>
      <c r="P982" s="150"/>
      <c r="Q982" s="149"/>
      <c r="R982" s="149"/>
      <c r="S982" s="149"/>
      <c r="T982" s="150"/>
      <c r="U982" s="150"/>
      <c r="V982" s="150"/>
      <c r="W982" s="150"/>
      <c r="X982" s="150"/>
      <c r="Y982" s="150"/>
      <c r="Z982" s="150"/>
      <c r="AA982" s="150"/>
      <c r="AB982" s="150"/>
      <c r="AC982" s="149"/>
      <c r="AD982" s="149"/>
      <c r="AE982" s="149"/>
      <c r="AF982" s="150"/>
      <c r="AG982" s="150"/>
      <c r="AH982" s="149"/>
      <c r="AI982" s="149"/>
      <c r="AJ982" s="149"/>
      <c r="AK982" s="150"/>
      <c r="AL982" s="150"/>
      <c r="AM982" s="149"/>
      <c r="AN982" s="149"/>
      <c r="AO982" s="149"/>
      <c r="AP982" s="150"/>
      <c r="AQ982" s="150"/>
      <c r="AR982" s="150"/>
      <c r="AS982" s="150"/>
      <c r="AT982" s="150"/>
      <c r="AU982" s="150"/>
      <c r="AV982" s="150"/>
      <c r="AW982" s="150"/>
      <c r="AX982" s="150"/>
      <c r="AY982" s="151"/>
      <c r="AZ982" s="151"/>
      <c r="BA982" s="151"/>
      <c r="BB982" s="151"/>
      <c r="BC982" s="151"/>
      <c r="BD982" s="151"/>
      <c r="BE982" s="151"/>
      <c r="BF982" s="151"/>
      <c r="BG982" s="151"/>
      <c r="BH982" s="151"/>
      <c r="BI982" s="151"/>
    </row>
    <row r="983" spans="1:61" x14ac:dyDescent="0.25">
      <c r="A983" s="149"/>
      <c r="B983" s="149"/>
      <c r="C983" s="149"/>
      <c r="D983" s="149"/>
      <c r="E983" s="150"/>
      <c r="F983" s="150"/>
      <c r="G983" s="149"/>
      <c r="H983" s="149"/>
      <c r="I983" s="149"/>
      <c r="J983" s="150"/>
      <c r="K983" s="150"/>
      <c r="L983" s="149"/>
      <c r="M983" s="149"/>
      <c r="N983" s="149"/>
      <c r="O983" s="150"/>
      <c r="P983" s="150"/>
      <c r="Q983" s="149"/>
      <c r="R983" s="149"/>
      <c r="S983" s="149"/>
      <c r="T983" s="150"/>
      <c r="U983" s="150"/>
      <c r="V983" s="150"/>
      <c r="W983" s="150"/>
      <c r="X983" s="150"/>
      <c r="Y983" s="150"/>
      <c r="Z983" s="150"/>
      <c r="AA983" s="150"/>
      <c r="AB983" s="150"/>
      <c r="AC983" s="149"/>
      <c r="AD983" s="149"/>
      <c r="AE983" s="149"/>
      <c r="AF983" s="150"/>
      <c r="AG983" s="150"/>
      <c r="AH983" s="149"/>
      <c r="AI983" s="149"/>
      <c r="AJ983" s="149"/>
      <c r="AK983" s="150"/>
      <c r="AL983" s="150"/>
      <c r="AM983" s="149"/>
      <c r="AN983" s="149"/>
      <c r="AO983" s="149"/>
      <c r="AP983" s="150"/>
      <c r="AQ983" s="150"/>
      <c r="AR983" s="150"/>
      <c r="AS983" s="150"/>
      <c r="AT983" s="150"/>
      <c r="AU983" s="150"/>
      <c r="AV983" s="150"/>
      <c r="AW983" s="150"/>
      <c r="AX983" s="150"/>
      <c r="AY983" s="151"/>
      <c r="AZ983" s="151"/>
      <c r="BA983" s="151"/>
      <c r="BB983" s="151"/>
      <c r="BC983" s="151"/>
      <c r="BD983" s="151"/>
      <c r="BE983" s="151"/>
      <c r="BF983" s="151"/>
      <c r="BG983" s="151"/>
      <c r="BH983" s="151"/>
      <c r="BI983" s="151"/>
    </row>
    <row r="984" spans="1:61" x14ac:dyDescent="0.25">
      <c r="A984" s="149"/>
      <c r="B984" s="149"/>
      <c r="C984" s="149"/>
      <c r="D984" s="149"/>
      <c r="E984" s="150"/>
      <c r="F984" s="150"/>
      <c r="G984" s="149"/>
      <c r="H984" s="149"/>
      <c r="I984" s="149"/>
      <c r="J984" s="150"/>
      <c r="K984" s="150"/>
      <c r="L984" s="149"/>
      <c r="M984" s="149"/>
      <c r="N984" s="149"/>
      <c r="O984" s="150"/>
      <c r="P984" s="150"/>
      <c r="Q984" s="149"/>
      <c r="R984" s="149"/>
      <c r="S984" s="149"/>
      <c r="T984" s="150"/>
      <c r="U984" s="150"/>
      <c r="V984" s="150"/>
      <c r="W984" s="150"/>
      <c r="X984" s="150"/>
      <c r="Y984" s="150"/>
      <c r="Z984" s="150"/>
      <c r="AA984" s="150"/>
      <c r="AB984" s="150"/>
      <c r="AC984" s="149"/>
      <c r="AD984" s="149"/>
      <c r="AE984" s="149"/>
      <c r="AF984" s="150"/>
      <c r="AG984" s="150"/>
      <c r="AH984" s="149"/>
      <c r="AI984" s="149"/>
      <c r="AJ984" s="149"/>
      <c r="AK984" s="150"/>
      <c r="AL984" s="150"/>
      <c r="AM984" s="149"/>
      <c r="AN984" s="149"/>
      <c r="AO984" s="149"/>
      <c r="AP984" s="150"/>
      <c r="AQ984" s="150"/>
      <c r="AR984" s="150"/>
      <c r="AS984" s="150"/>
      <c r="AT984" s="150"/>
      <c r="AU984" s="150"/>
      <c r="AV984" s="150"/>
      <c r="AW984" s="150"/>
      <c r="AX984" s="150"/>
      <c r="AY984" s="151"/>
      <c r="AZ984" s="151"/>
      <c r="BA984" s="151"/>
      <c r="BB984" s="151"/>
      <c r="BC984" s="151"/>
      <c r="BD984" s="151"/>
      <c r="BE984" s="151"/>
      <c r="BF984" s="151"/>
      <c r="BG984" s="151"/>
      <c r="BH984" s="151"/>
      <c r="BI984" s="151"/>
    </row>
    <row r="985" spans="1:61" x14ac:dyDescent="0.25">
      <c r="A985" s="149"/>
      <c r="B985" s="149"/>
      <c r="C985" s="149"/>
      <c r="D985" s="149"/>
      <c r="E985" s="150"/>
      <c r="F985" s="150"/>
      <c r="G985" s="149"/>
      <c r="H985" s="149"/>
      <c r="I985" s="149"/>
      <c r="J985" s="150"/>
      <c r="K985" s="150"/>
      <c r="L985" s="149"/>
      <c r="M985" s="149"/>
      <c r="N985" s="149"/>
      <c r="O985" s="150"/>
      <c r="P985" s="150"/>
      <c r="Q985" s="149"/>
      <c r="R985" s="149"/>
      <c r="S985" s="149"/>
      <c r="T985" s="150"/>
      <c r="U985" s="150"/>
      <c r="V985" s="150"/>
      <c r="W985" s="150"/>
      <c r="X985" s="150"/>
      <c r="Y985" s="150"/>
      <c r="Z985" s="150"/>
      <c r="AA985" s="150"/>
      <c r="AB985" s="150"/>
      <c r="AC985" s="149"/>
      <c r="AD985" s="149"/>
      <c r="AE985" s="149"/>
      <c r="AF985" s="150"/>
      <c r="AG985" s="150"/>
      <c r="AH985" s="149"/>
      <c r="AI985" s="149"/>
      <c r="AJ985" s="149"/>
      <c r="AK985" s="150"/>
      <c r="AL985" s="150"/>
      <c r="AM985" s="149"/>
      <c r="AN985" s="149"/>
      <c r="AO985" s="149"/>
      <c r="AP985" s="150"/>
      <c r="AQ985" s="150"/>
      <c r="AR985" s="150"/>
      <c r="AS985" s="150"/>
      <c r="AT985" s="150"/>
      <c r="AU985" s="150"/>
      <c r="AV985" s="150"/>
      <c r="AW985" s="150"/>
      <c r="AX985" s="150"/>
      <c r="AY985" s="151"/>
      <c r="AZ985" s="151"/>
      <c r="BA985" s="151"/>
      <c r="BB985" s="151"/>
      <c r="BC985" s="151"/>
      <c r="BD985" s="151"/>
      <c r="BE985" s="151"/>
      <c r="BF985" s="151"/>
      <c r="BG985" s="151"/>
      <c r="BH985" s="151"/>
      <c r="BI985" s="151"/>
    </row>
    <row r="986" spans="1:61" x14ac:dyDescent="0.25">
      <c r="A986" s="149"/>
      <c r="B986" s="149"/>
      <c r="C986" s="149"/>
      <c r="D986" s="149"/>
      <c r="E986" s="150"/>
      <c r="F986" s="150"/>
      <c r="G986" s="149"/>
      <c r="H986" s="149"/>
      <c r="I986" s="149"/>
      <c r="J986" s="150"/>
      <c r="K986" s="150"/>
      <c r="L986" s="149"/>
      <c r="M986" s="149"/>
      <c r="N986" s="149"/>
      <c r="O986" s="150"/>
      <c r="P986" s="150"/>
      <c r="Q986" s="149"/>
      <c r="R986" s="149"/>
      <c r="S986" s="149"/>
      <c r="T986" s="150"/>
      <c r="U986" s="150"/>
      <c r="V986" s="150"/>
      <c r="W986" s="150"/>
      <c r="X986" s="150"/>
      <c r="Y986" s="150"/>
      <c r="Z986" s="150"/>
      <c r="AA986" s="150"/>
      <c r="AB986" s="150"/>
      <c r="AC986" s="149"/>
      <c r="AD986" s="149"/>
      <c r="AE986" s="149"/>
      <c r="AF986" s="150"/>
      <c r="AG986" s="150"/>
      <c r="AH986" s="149"/>
      <c r="AI986" s="149"/>
      <c r="AJ986" s="149"/>
      <c r="AK986" s="150"/>
      <c r="AL986" s="150"/>
      <c r="AM986" s="149"/>
      <c r="AN986" s="149"/>
      <c r="AO986" s="149"/>
      <c r="AP986" s="150"/>
      <c r="AQ986" s="150"/>
      <c r="AR986" s="150"/>
      <c r="AS986" s="150"/>
      <c r="AT986" s="150"/>
      <c r="AU986" s="150"/>
      <c r="AV986" s="150"/>
      <c r="AW986" s="150"/>
      <c r="AX986" s="150"/>
      <c r="AY986" s="151"/>
      <c r="AZ986" s="151"/>
      <c r="BA986" s="151"/>
      <c r="BB986" s="151"/>
      <c r="BC986" s="151"/>
      <c r="BD986" s="151"/>
      <c r="BE986" s="151"/>
      <c r="BF986" s="151"/>
      <c r="BG986" s="151"/>
      <c r="BH986" s="151"/>
      <c r="BI986" s="151"/>
    </row>
  </sheetData>
  <mergeCells count="20">
    <mergeCell ref="V2:W2"/>
    <mergeCell ref="X2:AB2"/>
    <mergeCell ref="AC2:AG2"/>
    <mergeCell ref="AH2:AL2"/>
    <mergeCell ref="BE2:BE3"/>
    <mergeCell ref="BF2:BG2"/>
    <mergeCell ref="A1:A3"/>
    <mergeCell ref="B1:AB1"/>
    <mergeCell ref="AC1:BC1"/>
    <mergeCell ref="BF1:BI1"/>
    <mergeCell ref="B2:F2"/>
    <mergeCell ref="G2:K2"/>
    <mergeCell ref="L2:P2"/>
    <mergeCell ref="BH2:BI2"/>
    <mergeCell ref="AM2:AQ2"/>
    <mergeCell ref="AR2:AV2"/>
    <mergeCell ref="AW2:AX2"/>
    <mergeCell ref="AY2:BC2"/>
    <mergeCell ref="BD2:BD3"/>
    <mergeCell ref="Q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K909"/>
  <sheetViews>
    <sheetView topLeftCell="A25" workbookViewId="0"/>
  </sheetViews>
  <sheetFormatPr defaultColWidth="14.44140625" defaultRowHeight="15.75" customHeight="1" x14ac:dyDescent="0.25"/>
  <cols>
    <col min="1" max="1" width="4" customWidth="1"/>
    <col min="2" max="2" width="20.5546875" customWidth="1"/>
    <col min="3" max="3" width="19.33203125" customWidth="1"/>
    <col min="4" max="4" width="15.33203125" customWidth="1"/>
    <col min="6" max="15" width="21.109375" customWidth="1"/>
    <col min="17" max="17" width="22.5546875" customWidth="1"/>
    <col min="18" max="18" width="23.5546875" customWidth="1"/>
    <col min="20" max="20" width="17.5546875" customWidth="1"/>
    <col min="21" max="21" width="17.44140625" customWidth="1"/>
    <col min="22" max="22" width="18.44140625" customWidth="1"/>
    <col min="23" max="23" width="18.33203125" customWidth="1"/>
    <col min="24" max="24" width="22.109375" customWidth="1"/>
    <col min="25" max="26" width="18.33203125" customWidth="1"/>
    <col min="28" max="28" width="16.44140625" customWidth="1"/>
    <col min="29" max="29" width="18.5546875" customWidth="1"/>
    <col min="32" max="32" width="19" customWidth="1"/>
    <col min="35" max="35" width="18.88671875" customWidth="1"/>
    <col min="38" max="38" width="18.5546875" customWidth="1"/>
    <col min="41" max="41" width="20.109375" customWidth="1"/>
    <col min="44" max="44" width="19.109375" customWidth="1"/>
    <col min="47" max="47" width="19" customWidth="1"/>
    <col min="50" max="50" width="17.33203125" customWidth="1"/>
    <col min="53" max="53" width="17" customWidth="1"/>
    <col min="56" max="56" width="17.5546875" customWidth="1"/>
    <col min="59" max="59" width="20.88671875" customWidth="1"/>
    <col min="62" max="62" width="20.44140625" customWidth="1"/>
  </cols>
  <sheetData>
    <row r="1" spans="1:63" ht="28.8" x14ac:dyDescent="0.3">
      <c r="A1" s="152" t="s">
        <v>63</v>
      </c>
      <c r="B1" s="152" t="s">
        <v>409</v>
      </c>
      <c r="C1" s="152" t="s">
        <v>410</v>
      </c>
      <c r="D1" s="152" t="s">
        <v>411</v>
      </c>
      <c r="E1" s="153" t="s">
        <v>412</v>
      </c>
      <c r="F1" s="201" t="s">
        <v>413</v>
      </c>
      <c r="G1" s="196"/>
      <c r="H1" s="192"/>
      <c r="I1" s="201" t="s">
        <v>414</v>
      </c>
      <c r="J1" s="196"/>
      <c r="K1" s="192"/>
      <c r="L1" s="201" t="s">
        <v>415</v>
      </c>
      <c r="M1" s="196"/>
      <c r="N1" s="192"/>
      <c r="O1" s="201" t="s">
        <v>416</v>
      </c>
      <c r="P1" s="196"/>
      <c r="Q1" s="192"/>
      <c r="R1" s="201" t="s">
        <v>417</v>
      </c>
      <c r="S1" s="196"/>
      <c r="T1" s="192"/>
      <c r="U1" s="201" t="s">
        <v>418</v>
      </c>
      <c r="V1" s="196"/>
      <c r="W1" s="192"/>
      <c r="X1" s="201" t="s">
        <v>419</v>
      </c>
      <c r="Y1" s="196"/>
      <c r="Z1" s="192"/>
      <c r="AA1" s="201" t="s">
        <v>420</v>
      </c>
      <c r="AB1" s="196"/>
      <c r="AC1" s="192"/>
      <c r="AD1" s="201" t="s">
        <v>421</v>
      </c>
      <c r="AE1" s="196"/>
      <c r="AF1" s="192"/>
      <c r="AG1" s="201" t="s">
        <v>422</v>
      </c>
      <c r="AH1" s="196"/>
      <c r="AI1" s="192"/>
      <c r="AJ1" s="201" t="s">
        <v>423</v>
      </c>
      <c r="AK1" s="196"/>
      <c r="AL1" s="192"/>
      <c r="AM1" s="201" t="s">
        <v>424</v>
      </c>
      <c r="AN1" s="196"/>
      <c r="AO1" s="192"/>
      <c r="AP1" s="201" t="s">
        <v>425</v>
      </c>
      <c r="AQ1" s="196"/>
      <c r="AR1" s="192"/>
      <c r="AS1" s="201" t="s">
        <v>426</v>
      </c>
      <c r="AT1" s="196"/>
      <c r="AU1" s="192"/>
      <c r="AV1" s="201" t="s">
        <v>427</v>
      </c>
      <c r="AW1" s="196"/>
      <c r="AX1" s="192"/>
      <c r="AY1" s="201" t="s">
        <v>428</v>
      </c>
      <c r="AZ1" s="196"/>
      <c r="BA1" s="192"/>
      <c r="BB1" s="201" t="s">
        <v>429</v>
      </c>
      <c r="BC1" s="196"/>
      <c r="BD1" s="192"/>
      <c r="BE1" s="201" t="s">
        <v>430</v>
      </c>
      <c r="BF1" s="196"/>
      <c r="BG1" s="192"/>
      <c r="BH1" s="201" t="s">
        <v>431</v>
      </c>
      <c r="BI1" s="196"/>
      <c r="BJ1" s="192"/>
      <c r="BK1" s="154"/>
    </row>
    <row r="2" spans="1:63" ht="50.25" customHeight="1" x14ac:dyDescent="0.3">
      <c r="A2" s="152" t="s">
        <v>63</v>
      </c>
      <c r="B2" s="152" t="s">
        <v>409</v>
      </c>
      <c r="C2" s="152" t="s">
        <v>410</v>
      </c>
      <c r="D2" s="152" t="s">
        <v>411</v>
      </c>
      <c r="E2" s="153" t="s">
        <v>412</v>
      </c>
      <c r="F2" s="155" t="s">
        <v>432</v>
      </c>
      <c r="G2" s="155" t="s">
        <v>433</v>
      </c>
      <c r="H2" s="155" t="s">
        <v>434</v>
      </c>
      <c r="I2" s="155" t="s">
        <v>432</v>
      </c>
      <c r="J2" s="155" t="s">
        <v>433</v>
      </c>
      <c r="K2" s="155" t="s">
        <v>434</v>
      </c>
      <c r="L2" s="155" t="s">
        <v>432</v>
      </c>
      <c r="M2" s="155" t="s">
        <v>433</v>
      </c>
      <c r="N2" s="155" t="s">
        <v>434</v>
      </c>
      <c r="O2" s="155" t="s">
        <v>432</v>
      </c>
      <c r="P2" s="155" t="s">
        <v>433</v>
      </c>
      <c r="Q2" s="155" t="s">
        <v>434</v>
      </c>
      <c r="R2" s="155" t="s">
        <v>432</v>
      </c>
      <c r="S2" s="155" t="s">
        <v>433</v>
      </c>
      <c r="T2" s="155" t="s">
        <v>434</v>
      </c>
      <c r="U2" s="155" t="s">
        <v>432</v>
      </c>
      <c r="V2" s="155" t="s">
        <v>433</v>
      </c>
      <c r="W2" s="155" t="s">
        <v>434</v>
      </c>
      <c r="X2" s="155" t="s">
        <v>432</v>
      </c>
      <c r="Y2" s="156" t="s">
        <v>433</v>
      </c>
      <c r="Z2" s="156" t="s">
        <v>434</v>
      </c>
      <c r="AA2" s="155" t="s">
        <v>432</v>
      </c>
      <c r="AB2" s="156" t="s">
        <v>433</v>
      </c>
      <c r="AC2" s="156" t="s">
        <v>434</v>
      </c>
      <c r="AD2" s="155" t="s">
        <v>432</v>
      </c>
      <c r="AE2" s="156" t="s">
        <v>433</v>
      </c>
      <c r="AF2" s="156" t="s">
        <v>434</v>
      </c>
      <c r="AG2" s="155" t="s">
        <v>432</v>
      </c>
      <c r="AH2" s="156" t="s">
        <v>433</v>
      </c>
      <c r="AI2" s="156" t="s">
        <v>434</v>
      </c>
      <c r="AJ2" s="155" t="s">
        <v>432</v>
      </c>
      <c r="AK2" s="156" t="s">
        <v>433</v>
      </c>
      <c r="AL2" s="156" t="s">
        <v>434</v>
      </c>
      <c r="AM2" s="155" t="s">
        <v>432</v>
      </c>
      <c r="AN2" s="156" t="s">
        <v>433</v>
      </c>
      <c r="AO2" s="156" t="s">
        <v>434</v>
      </c>
      <c r="AP2" s="155" t="s">
        <v>432</v>
      </c>
      <c r="AQ2" s="156" t="s">
        <v>433</v>
      </c>
      <c r="AR2" s="156" t="s">
        <v>434</v>
      </c>
      <c r="AS2" s="155" t="s">
        <v>432</v>
      </c>
      <c r="AT2" s="156" t="s">
        <v>433</v>
      </c>
      <c r="AU2" s="156" t="s">
        <v>434</v>
      </c>
      <c r="AV2" s="155" t="s">
        <v>432</v>
      </c>
      <c r="AW2" s="156" t="s">
        <v>433</v>
      </c>
      <c r="AX2" s="156" t="s">
        <v>434</v>
      </c>
      <c r="AY2" s="155" t="s">
        <v>432</v>
      </c>
      <c r="AZ2" s="156" t="s">
        <v>433</v>
      </c>
      <c r="BA2" s="156" t="s">
        <v>434</v>
      </c>
      <c r="BB2" s="155" t="s">
        <v>432</v>
      </c>
      <c r="BC2" s="156" t="s">
        <v>433</v>
      </c>
      <c r="BD2" s="156" t="s">
        <v>434</v>
      </c>
      <c r="BE2" s="155" t="s">
        <v>432</v>
      </c>
      <c r="BF2" s="156" t="s">
        <v>433</v>
      </c>
      <c r="BG2" s="156" t="s">
        <v>434</v>
      </c>
      <c r="BH2" s="155" t="s">
        <v>432</v>
      </c>
      <c r="BI2" s="156" t="s">
        <v>433</v>
      </c>
      <c r="BJ2" s="156" t="s">
        <v>434</v>
      </c>
      <c r="BK2" s="68"/>
    </row>
    <row r="3" spans="1:63" ht="15.6" x14ac:dyDescent="0.3">
      <c r="A3" s="157">
        <v>1</v>
      </c>
      <c r="B3" s="158" t="s">
        <v>435</v>
      </c>
      <c r="C3" s="157" t="s">
        <v>436</v>
      </c>
      <c r="D3" s="157">
        <v>393257</v>
      </c>
      <c r="E3" s="157">
        <v>5333</v>
      </c>
      <c r="F3" s="159">
        <v>74966</v>
      </c>
      <c r="G3" s="160" t="s">
        <v>437</v>
      </c>
      <c r="H3" s="159">
        <v>37590</v>
      </c>
      <c r="I3" s="159">
        <v>897</v>
      </c>
      <c r="J3" s="160" t="str">
        <f t="shared" ref="J3:J46" si="0">IF(I3&gt;=E3,"Tercapai","Tidak Tercapai")</f>
        <v>Tidak Tercapai</v>
      </c>
      <c r="K3" s="159">
        <v>0</v>
      </c>
      <c r="L3" s="159">
        <v>0</v>
      </c>
      <c r="M3" s="160" t="str">
        <f t="shared" ref="M3:M46" si="1">IF(L3&gt;=E3,"Tercapai","Tidak Tercapai")</f>
        <v>Tidak Tercapai</v>
      </c>
      <c r="N3" s="159">
        <v>0</v>
      </c>
      <c r="O3" s="157">
        <v>2258</v>
      </c>
      <c r="P3" s="160" t="str">
        <f t="shared" ref="P3:P46" si="2">IF(O3&gt;=E3,"Tercapai","Tidak Tercapai")</f>
        <v>Tidak Tercapai</v>
      </c>
      <c r="Q3" s="161">
        <v>36</v>
      </c>
      <c r="R3" s="157">
        <v>1958</v>
      </c>
      <c r="S3" s="162" t="str">
        <f t="shared" ref="S3:S46" si="3">IF(R3&gt;=E3,"Tercapai","Tidak Tercapai")</f>
        <v>Tidak Tercapai</v>
      </c>
      <c r="T3" s="161">
        <v>37</v>
      </c>
      <c r="U3" s="163">
        <v>2296</v>
      </c>
      <c r="V3" s="162" t="str">
        <f t="shared" ref="V3:V46" si="4">IF(U3&gt;=R3,"Tercapai","Tidak Tercapai")</f>
        <v>Tercapai</v>
      </c>
      <c r="W3" s="164">
        <v>32</v>
      </c>
      <c r="X3" s="164">
        <v>2331</v>
      </c>
      <c r="Y3" s="165" t="str">
        <f t="shared" ref="Y3:Y46" si="5">IF(X3&gt;=E3,"Tercapai","Tidak Tercapai")</f>
        <v>Tidak Tercapai</v>
      </c>
      <c r="Z3" s="166">
        <v>9</v>
      </c>
      <c r="AA3" s="167">
        <v>2961</v>
      </c>
      <c r="AB3" s="168" t="str">
        <f t="shared" ref="AB3:AB46" si="6">IF(AA3&gt;=E3,"Tercapai","Tidak Tercapai")</f>
        <v>Tidak Tercapai</v>
      </c>
      <c r="AC3" s="167">
        <v>52</v>
      </c>
      <c r="AD3" s="167">
        <v>351</v>
      </c>
      <c r="AE3" s="168" t="str">
        <f t="shared" ref="AE3:AE46" si="7">IF(AD3&gt;=E3,"Tercapai","Tidak Tercapai")</f>
        <v>Tidak Tercapai</v>
      </c>
      <c r="AF3" s="167">
        <v>0</v>
      </c>
      <c r="AG3" s="167">
        <v>137</v>
      </c>
      <c r="AH3" s="168" t="str">
        <f t="shared" ref="AH3:AH46" si="8">IF(AG3&gt;=E3,"Tercapai","Tidak Tercapai")</f>
        <v>Tidak Tercapai</v>
      </c>
      <c r="AI3" s="167">
        <v>1</v>
      </c>
      <c r="AJ3" s="167">
        <v>4002</v>
      </c>
      <c r="AK3" s="168" t="str">
        <f t="shared" ref="AK3:AK46" si="9">IF(AJ3&gt;=E3,"Tercapai","Tidak Tercapai")</f>
        <v>Tidak Tercapai</v>
      </c>
      <c r="AL3" s="167">
        <v>15</v>
      </c>
      <c r="AM3" s="167">
        <v>1011</v>
      </c>
      <c r="AN3" s="168" t="str">
        <f t="shared" ref="AN3:AN46" si="10">IF(AM3&gt;=E3,"Tercapai","Tidak Tercapai")</f>
        <v>Tidak Tercapai</v>
      </c>
      <c r="AO3" s="167">
        <v>74</v>
      </c>
      <c r="AP3" s="167">
        <v>3461</v>
      </c>
      <c r="AQ3" s="168" t="str">
        <f t="shared" ref="AQ3:AQ46" si="11">IF(AP3&gt;=E3,"Tercapai","Tidak Tercapai")</f>
        <v>Tidak Tercapai</v>
      </c>
      <c r="AR3" s="167">
        <v>28</v>
      </c>
      <c r="AS3" s="167">
        <v>2517</v>
      </c>
      <c r="AT3" s="168" t="str">
        <f t="shared" ref="AT3:AT46" si="12">IF(AS3&gt;=E3,"Tercapai","Tidak Tercapai")</f>
        <v>Tidak Tercapai</v>
      </c>
      <c r="AU3" s="167">
        <v>19</v>
      </c>
      <c r="AV3" s="159">
        <v>3113</v>
      </c>
      <c r="AW3" s="168" t="str">
        <f t="shared" ref="AW3:AW46" si="13">IF(AV3&gt;=E3,"Tercapai","Tidak Tercapai")</f>
        <v>Tidak Tercapai</v>
      </c>
      <c r="AX3" s="167">
        <v>53</v>
      </c>
      <c r="AY3" s="167">
        <v>565</v>
      </c>
      <c r="AZ3" s="168" t="str">
        <f t="shared" ref="AZ3:AZ46" si="14">IF(AY3&gt;=E3,"Tercapai","Tidak Tercapai")</f>
        <v>Tidak Tercapai</v>
      </c>
      <c r="BA3" s="167">
        <v>1</v>
      </c>
      <c r="BB3" s="169">
        <v>1439</v>
      </c>
      <c r="BC3" s="168" t="str">
        <f t="shared" ref="BC3:BC46" si="15">IF(BB3&gt;=E3,"Tercapai","Tidak Tercapai")</f>
        <v>Tidak Tercapai</v>
      </c>
      <c r="BD3" s="167">
        <v>0</v>
      </c>
      <c r="BE3" s="68"/>
      <c r="BF3" s="68"/>
      <c r="BG3" s="68"/>
      <c r="BH3" s="68"/>
      <c r="BI3" s="68"/>
      <c r="BJ3" s="68"/>
      <c r="BK3" s="68"/>
    </row>
    <row r="4" spans="1:63" ht="15.6" x14ac:dyDescent="0.3">
      <c r="A4" s="157">
        <v>2</v>
      </c>
      <c r="B4" s="158" t="s">
        <v>438</v>
      </c>
      <c r="C4" s="157" t="s">
        <v>439</v>
      </c>
      <c r="D4" s="157">
        <v>400577</v>
      </c>
      <c r="E4" s="157">
        <v>5041</v>
      </c>
      <c r="F4" s="159">
        <v>85668</v>
      </c>
      <c r="G4" s="160" t="s">
        <v>437</v>
      </c>
      <c r="H4" s="159">
        <v>47581</v>
      </c>
      <c r="I4" s="159">
        <v>429</v>
      </c>
      <c r="J4" s="160" t="str">
        <f t="shared" si="0"/>
        <v>Tidak Tercapai</v>
      </c>
      <c r="K4" s="159">
        <v>1</v>
      </c>
      <c r="L4" s="159">
        <v>0</v>
      </c>
      <c r="M4" s="160" t="str">
        <f t="shared" si="1"/>
        <v>Tidak Tercapai</v>
      </c>
      <c r="N4" s="159">
        <v>0</v>
      </c>
      <c r="O4" s="157">
        <v>3144</v>
      </c>
      <c r="P4" s="160" t="str">
        <f t="shared" si="2"/>
        <v>Tidak Tercapai</v>
      </c>
      <c r="Q4" s="161">
        <v>0</v>
      </c>
      <c r="R4" s="157">
        <v>3480</v>
      </c>
      <c r="S4" s="162" t="str">
        <f t="shared" si="3"/>
        <v>Tidak Tercapai</v>
      </c>
      <c r="T4" s="161">
        <v>21</v>
      </c>
      <c r="U4" s="163">
        <v>3275</v>
      </c>
      <c r="V4" s="162" t="str">
        <f t="shared" si="4"/>
        <v>Tidak Tercapai</v>
      </c>
      <c r="W4" s="164">
        <v>2</v>
      </c>
      <c r="X4" s="164">
        <v>3965</v>
      </c>
      <c r="Y4" s="165" t="str">
        <f t="shared" si="5"/>
        <v>Tidak Tercapai</v>
      </c>
      <c r="Z4" s="166">
        <v>15</v>
      </c>
      <c r="AA4" s="167">
        <v>3884</v>
      </c>
      <c r="AB4" s="168" t="str">
        <f t="shared" si="6"/>
        <v>Tidak Tercapai</v>
      </c>
      <c r="AC4" s="167">
        <v>0</v>
      </c>
      <c r="AD4" s="167">
        <v>2405</v>
      </c>
      <c r="AE4" s="168" t="str">
        <f t="shared" si="7"/>
        <v>Tidak Tercapai</v>
      </c>
      <c r="AF4" s="167">
        <v>0</v>
      </c>
      <c r="AG4" s="167">
        <v>2318</v>
      </c>
      <c r="AH4" s="168" t="str">
        <f t="shared" si="8"/>
        <v>Tidak Tercapai</v>
      </c>
      <c r="AI4" s="167">
        <v>0</v>
      </c>
      <c r="AJ4" s="167">
        <v>3075</v>
      </c>
      <c r="AK4" s="168" t="str">
        <f t="shared" si="9"/>
        <v>Tidak Tercapai</v>
      </c>
      <c r="AL4" s="167">
        <v>0</v>
      </c>
      <c r="AM4" s="167">
        <v>1814</v>
      </c>
      <c r="AN4" s="168" t="str">
        <f t="shared" si="10"/>
        <v>Tidak Tercapai</v>
      </c>
      <c r="AO4" s="167">
        <v>24</v>
      </c>
      <c r="AP4" s="167">
        <v>5686</v>
      </c>
      <c r="AQ4" s="168" t="str">
        <f t="shared" si="11"/>
        <v>Tercapai</v>
      </c>
      <c r="AR4" s="167">
        <v>9</v>
      </c>
      <c r="AS4" s="167">
        <v>3770</v>
      </c>
      <c r="AT4" s="168" t="str">
        <f t="shared" si="12"/>
        <v>Tidak Tercapai</v>
      </c>
      <c r="AU4" s="167">
        <v>19</v>
      </c>
      <c r="AV4" s="159">
        <v>3055</v>
      </c>
      <c r="AW4" s="168" t="str">
        <f t="shared" si="13"/>
        <v>Tidak Tercapai</v>
      </c>
      <c r="AX4" s="167">
        <v>9</v>
      </c>
      <c r="AY4" s="167">
        <v>2051</v>
      </c>
      <c r="AZ4" s="168" t="str">
        <f t="shared" si="14"/>
        <v>Tidak Tercapai</v>
      </c>
      <c r="BA4" s="167">
        <v>4</v>
      </c>
      <c r="BB4" s="170">
        <v>786</v>
      </c>
      <c r="BC4" s="168" t="str">
        <f t="shared" si="15"/>
        <v>Tidak Tercapai</v>
      </c>
      <c r="BD4" s="167">
        <v>2</v>
      </c>
      <c r="BE4" s="68"/>
      <c r="BF4" s="68"/>
      <c r="BG4" s="68"/>
      <c r="BH4" s="68"/>
      <c r="BI4" s="68"/>
      <c r="BJ4" s="68"/>
      <c r="BK4" s="68"/>
    </row>
    <row r="5" spans="1:63" ht="15.6" x14ac:dyDescent="0.3">
      <c r="A5" s="157">
        <v>3</v>
      </c>
      <c r="B5" s="158" t="s">
        <v>440</v>
      </c>
      <c r="C5" s="157" t="s">
        <v>439</v>
      </c>
      <c r="D5" s="157">
        <v>310580</v>
      </c>
      <c r="E5" s="157">
        <v>4295</v>
      </c>
      <c r="F5" s="171">
        <v>42991</v>
      </c>
      <c r="G5" s="160" t="s">
        <v>437</v>
      </c>
      <c r="H5" s="171">
        <v>23222</v>
      </c>
      <c r="I5" s="171">
        <v>162</v>
      </c>
      <c r="J5" s="160" t="str">
        <f t="shared" si="0"/>
        <v>Tidak Tercapai</v>
      </c>
      <c r="K5" s="171">
        <v>24</v>
      </c>
      <c r="L5" s="171">
        <v>0</v>
      </c>
      <c r="M5" s="160" t="str">
        <f t="shared" si="1"/>
        <v>Tidak Tercapai</v>
      </c>
      <c r="N5" s="171">
        <v>0</v>
      </c>
      <c r="O5" s="157">
        <v>1680</v>
      </c>
      <c r="P5" s="160" t="str">
        <f t="shared" si="2"/>
        <v>Tidak Tercapai</v>
      </c>
      <c r="Q5" s="161">
        <v>26</v>
      </c>
      <c r="R5" s="157">
        <v>2107</v>
      </c>
      <c r="S5" s="162" t="str">
        <f t="shared" si="3"/>
        <v>Tidak Tercapai</v>
      </c>
      <c r="T5" s="161">
        <v>8</v>
      </c>
      <c r="U5" s="163">
        <v>2347</v>
      </c>
      <c r="V5" s="162" t="str">
        <f t="shared" si="4"/>
        <v>Tercapai</v>
      </c>
      <c r="W5" s="164">
        <v>21</v>
      </c>
      <c r="X5" s="172">
        <v>2880</v>
      </c>
      <c r="Y5" s="165" t="str">
        <f t="shared" si="5"/>
        <v>Tidak Tercapai</v>
      </c>
      <c r="Z5" s="166">
        <v>23</v>
      </c>
      <c r="AA5" s="167">
        <v>3405</v>
      </c>
      <c r="AB5" s="168" t="str">
        <f t="shared" si="6"/>
        <v>Tidak Tercapai</v>
      </c>
      <c r="AC5" s="167">
        <v>39</v>
      </c>
      <c r="AD5" s="173">
        <v>1192</v>
      </c>
      <c r="AE5" s="168" t="str">
        <f t="shared" si="7"/>
        <v>Tidak Tercapai</v>
      </c>
      <c r="AF5" s="167">
        <v>0</v>
      </c>
      <c r="AG5" s="167">
        <v>801</v>
      </c>
      <c r="AH5" s="168" t="str">
        <f t="shared" si="8"/>
        <v>Tidak Tercapai</v>
      </c>
      <c r="AI5" s="167">
        <v>0</v>
      </c>
      <c r="AJ5" s="173">
        <v>3112</v>
      </c>
      <c r="AK5" s="168" t="str">
        <f t="shared" si="9"/>
        <v>Tidak Tercapai</v>
      </c>
      <c r="AL5" s="173">
        <v>4</v>
      </c>
      <c r="AM5" s="173">
        <v>2946</v>
      </c>
      <c r="AN5" s="168" t="str">
        <f t="shared" si="10"/>
        <v>Tidak Tercapai</v>
      </c>
      <c r="AO5" s="173">
        <v>3</v>
      </c>
      <c r="AP5" s="167">
        <v>3616</v>
      </c>
      <c r="AQ5" s="168" t="str">
        <f t="shared" si="11"/>
        <v>Tidak Tercapai</v>
      </c>
      <c r="AR5" s="167">
        <v>4</v>
      </c>
      <c r="AS5" s="167">
        <v>3972</v>
      </c>
      <c r="AT5" s="168" t="str">
        <f t="shared" si="12"/>
        <v>Tidak Tercapai</v>
      </c>
      <c r="AU5" s="167">
        <v>26</v>
      </c>
      <c r="AV5" s="159">
        <v>4526</v>
      </c>
      <c r="AW5" s="168" t="str">
        <f t="shared" si="13"/>
        <v>Tercapai</v>
      </c>
      <c r="AX5" s="167">
        <v>14</v>
      </c>
      <c r="AY5" s="167">
        <v>1331</v>
      </c>
      <c r="AZ5" s="168" t="str">
        <f t="shared" si="14"/>
        <v>Tidak Tercapai</v>
      </c>
      <c r="BA5" s="167">
        <v>9</v>
      </c>
      <c r="BB5" s="170">
        <v>1590</v>
      </c>
      <c r="BC5" s="168" t="str">
        <f t="shared" si="15"/>
        <v>Tidak Tercapai</v>
      </c>
      <c r="BD5" s="167">
        <v>1</v>
      </c>
      <c r="BE5" s="68"/>
      <c r="BF5" s="68"/>
      <c r="BG5" s="68"/>
      <c r="BH5" s="68"/>
      <c r="BI5" s="68"/>
      <c r="BJ5" s="68"/>
      <c r="BK5" s="68"/>
    </row>
    <row r="6" spans="1:63" ht="15.6" x14ac:dyDescent="0.3">
      <c r="A6" s="157">
        <v>4</v>
      </c>
      <c r="B6" s="158" t="s">
        <v>441</v>
      </c>
      <c r="C6" s="157" t="s">
        <v>442</v>
      </c>
      <c r="D6" s="157">
        <v>297146</v>
      </c>
      <c r="E6" s="157">
        <v>4073</v>
      </c>
      <c r="F6" s="159">
        <v>41494</v>
      </c>
      <c r="G6" s="160" t="s">
        <v>437</v>
      </c>
      <c r="H6" s="159">
        <v>22305</v>
      </c>
      <c r="I6" s="159">
        <v>17</v>
      </c>
      <c r="J6" s="160" t="str">
        <f t="shared" si="0"/>
        <v>Tidak Tercapai</v>
      </c>
      <c r="K6" s="159">
        <v>1</v>
      </c>
      <c r="L6" s="159">
        <v>0</v>
      </c>
      <c r="M6" s="160" t="str">
        <f t="shared" si="1"/>
        <v>Tidak Tercapai</v>
      </c>
      <c r="N6" s="159">
        <v>0</v>
      </c>
      <c r="O6" s="157">
        <v>2239</v>
      </c>
      <c r="P6" s="160" t="str">
        <f t="shared" si="2"/>
        <v>Tidak Tercapai</v>
      </c>
      <c r="Q6" s="161">
        <v>26</v>
      </c>
      <c r="R6" s="157">
        <v>3023</v>
      </c>
      <c r="S6" s="162" t="str">
        <f t="shared" si="3"/>
        <v>Tidak Tercapai</v>
      </c>
      <c r="T6" s="161">
        <v>4</v>
      </c>
      <c r="U6" s="163">
        <v>2995</v>
      </c>
      <c r="V6" s="162" t="str">
        <f t="shared" si="4"/>
        <v>Tidak Tercapai</v>
      </c>
      <c r="W6" s="164">
        <v>8</v>
      </c>
      <c r="X6" s="164">
        <v>2335</v>
      </c>
      <c r="Y6" s="165" t="str">
        <f t="shared" si="5"/>
        <v>Tidak Tercapai</v>
      </c>
      <c r="Z6" s="166">
        <v>3</v>
      </c>
      <c r="AA6" s="167">
        <v>3876</v>
      </c>
      <c r="AB6" s="168" t="str">
        <f t="shared" si="6"/>
        <v>Tidak Tercapai</v>
      </c>
      <c r="AC6" s="167">
        <v>23</v>
      </c>
      <c r="AD6" s="167">
        <v>402</v>
      </c>
      <c r="AE6" s="168" t="str">
        <f t="shared" si="7"/>
        <v>Tidak Tercapai</v>
      </c>
      <c r="AF6" s="167">
        <v>1</v>
      </c>
      <c r="AG6" s="167">
        <v>528</v>
      </c>
      <c r="AH6" s="168" t="str">
        <f t="shared" si="8"/>
        <v>Tidak Tercapai</v>
      </c>
      <c r="AI6" s="167">
        <v>0</v>
      </c>
      <c r="AJ6" s="167">
        <v>2464</v>
      </c>
      <c r="AK6" s="168" t="str">
        <f t="shared" si="9"/>
        <v>Tidak Tercapai</v>
      </c>
      <c r="AL6" s="167">
        <v>1</v>
      </c>
      <c r="AM6" s="167">
        <v>851</v>
      </c>
      <c r="AN6" s="168" t="str">
        <f t="shared" si="10"/>
        <v>Tidak Tercapai</v>
      </c>
      <c r="AO6" s="167">
        <v>20</v>
      </c>
      <c r="AP6" s="167">
        <v>5691</v>
      </c>
      <c r="AQ6" s="168" t="str">
        <f t="shared" si="11"/>
        <v>Tercapai</v>
      </c>
      <c r="AR6" s="167">
        <v>2</v>
      </c>
      <c r="AS6" s="167">
        <v>3020</v>
      </c>
      <c r="AT6" s="168" t="str">
        <f t="shared" si="12"/>
        <v>Tidak Tercapai</v>
      </c>
      <c r="AU6" s="167">
        <v>15</v>
      </c>
      <c r="AV6" s="159">
        <v>3520</v>
      </c>
      <c r="AW6" s="168" t="str">
        <f t="shared" si="13"/>
        <v>Tidak Tercapai</v>
      </c>
      <c r="AX6" s="167">
        <v>43</v>
      </c>
      <c r="AY6" s="167">
        <v>1159</v>
      </c>
      <c r="AZ6" s="168" t="str">
        <f t="shared" si="14"/>
        <v>Tidak Tercapai</v>
      </c>
      <c r="BA6" s="167">
        <v>5</v>
      </c>
      <c r="BB6" s="170">
        <v>710</v>
      </c>
      <c r="BC6" s="168" t="str">
        <f t="shared" si="15"/>
        <v>Tidak Tercapai</v>
      </c>
      <c r="BD6" s="167">
        <v>0</v>
      </c>
      <c r="BE6" s="68"/>
      <c r="BF6" s="68"/>
      <c r="BG6" s="68"/>
      <c r="BH6" s="68"/>
      <c r="BI6" s="68"/>
      <c r="BJ6" s="68"/>
      <c r="BK6" s="68"/>
    </row>
    <row r="7" spans="1:63" ht="15.6" x14ac:dyDescent="0.3">
      <c r="A7" s="157">
        <v>5</v>
      </c>
      <c r="B7" s="158" t="s">
        <v>443</v>
      </c>
      <c r="C7" s="157" t="s">
        <v>436</v>
      </c>
      <c r="D7" s="157">
        <v>316352</v>
      </c>
      <c r="E7" s="157">
        <v>4006</v>
      </c>
      <c r="F7" s="171">
        <v>41413</v>
      </c>
      <c r="G7" s="160" t="s">
        <v>437</v>
      </c>
      <c r="H7" s="171">
        <v>28993</v>
      </c>
      <c r="I7" s="171">
        <v>7</v>
      </c>
      <c r="J7" s="160" t="str">
        <f t="shared" si="0"/>
        <v>Tidak Tercapai</v>
      </c>
      <c r="K7" s="171">
        <v>4</v>
      </c>
      <c r="L7" s="171">
        <v>0</v>
      </c>
      <c r="M7" s="160" t="str">
        <f t="shared" si="1"/>
        <v>Tidak Tercapai</v>
      </c>
      <c r="N7" s="171">
        <v>1</v>
      </c>
      <c r="O7" s="157">
        <v>1688</v>
      </c>
      <c r="P7" s="160" t="str">
        <f t="shared" si="2"/>
        <v>Tidak Tercapai</v>
      </c>
      <c r="Q7" s="161">
        <v>49</v>
      </c>
      <c r="R7" s="157">
        <v>1662</v>
      </c>
      <c r="S7" s="162" t="str">
        <f t="shared" si="3"/>
        <v>Tidak Tercapai</v>
      </c>
      <c r="T7" s="161">
        <v>42</v>
      </c>
      <c r="U7" s="163">
        <v>1518</v>
      </c>
      <c r="V7" s="162" t="str">
        <f t="shared" si="4"/>
        <v>Tidak Tercapai</v>
      </c>
      <c r="W7" s="164">
        <v>46</v>
      </c>
      <c r="X7" s="172">
        <v>1650</v>
      </c>
      <c r="Y7" s="165" t="str">
        <f t="shared" si="5"/>
        <v>Tidak Tercapai</v>
      </c>
      <c r="Z7" s="166">
        <v>38</v>
      </c>
      <c r="AA7" s="167">
        <v>1927</v>
      </c>
      <c r="AB7" s="168" t="str">
        <f t="shared" si="6"/>
        <v>Tidak Tercapai</v>
      </c>
      <c r="AC7" s="167">
        <v>92</v>
      </c>
      <c r="AD7" s="173">
        <v>1049</v>
      </c>
      <c r="AE7" s="168" t="str">
        <f t="shared" si="7"/>
        <v>Tidak Tercapai</v>
      </c>
      <c r="AF7" s="167">
        <v>2</v>
      </c>
      <c r="AG7" s="167">
        <v>363</v>
      </c>
      <c r="AH7" s="168" t="str">
        <f t="shared" si="8"/>
        <v>Tidak Tercapai</v>
      </c>
      <c r="AI7" s="167">
        <v>0</v>
      </c>
      <c r="AJ7" s="173">
        <v>2311</v>
      </c>
      <c r="AK7" s="168" t="str">
        <f t="shared" si="9"/>
        <v>Tidak Tercapai</v>
      </c>
      <c r="AL7" s="173">
        <v>67</v>
      </c>
      <c r="AM7" s="173">
        <v>934</v>
      </c>
      <c r="AN7" s="168" t="str">
        <f t="shared" si="10"/>
        <v>Tidak Tercapai</v>
      </c>
      <c r="AO7" s="173">
        <v>34</v>
      </c>
      <c r="AP7" s="167">
        <v>4618</v>
      </c>
      <c r="AQ7" s="168" t="str">
        <f t="shared" si="11"/>
        <v>Tercapai</v>
      </c>
      <c r="AR7" s="167">
        <v>20</v>
      </c>
      <c r="AS7" s="167">
        <v>3169</v>
      </c>
      <c r="AT7" s="168" t="str">
        <f t="shared" si="12"/>
        <v>Tidak Tercapai</v>
      </c>
      <c r="AU7" s="167">
        <v>582</v>
      </c>
      <c r="AV7" s="159">
        <v>2310</v>
      </c>
      <c r="AW7" s="168" t="str">
        <f t="shared" si="13"/>
        <v>Tidak Tercapai</v>
      </c>
      <c r="AX7" s="167">
        <v>49</v>
      </c>
      <c r="AY7" s="167">
        <v>1091</v>
      </c>
      <c r="AZ7" s="168" t="str">
        <f t="shared" si="14"/>
        <v>Tidak Tercapai</v>
      </c>
      <c r="BA7" s="167">
        <v>11</v>
      </c>
      <c r="BB7" s="170">
        <v>1</v>
      </c>
      <c r="BC7" s="168" t="str">
        <f t="shared" si="15"/>
        <v>Tidak Tercapai</v>
      </c>
      <c r="BD7" s="167">
        <v>0</v>
      </c>
      <c r="BE7" s="68"/>
      <c r="BF7" s="68"/>
      <c r="BG7" s="68"/>
      <c r="BH7" s="68"/>
      <c r="BI7" s="68"/>
      <c r="BJ7" s="68"/>
      <c r="BK7" s="68"/>
    </row>
    <row r="8" spans="1:63" ht="15.6" x14ac:dyDescent="0.3">
      <c r="A8" s="157">
        <v>6</v>
      </c>
      <c r="B8" s="158" t="s">
        <v>444</v>
      </c>
      <c r="C8" s="157" t="s">
        <v>442</v>
      </c>
      <c r="D8" s="157">
        <v>298459</v>
      </c>
      <c r="E8" s="157">
        <v>3728</v>
      </c>
      <c r="F8" s="171">
        <v>81521</v>
      </c>
      <c r="G8" s="160" t="s">
        <v>437</v>
      </c>
      <c r="H8" s="171">
        <v>51856</v>
      </c>
      <c r="I8" s="171">
        <v>1031</v>
      </c>
      <c r="J8" s="160" t="str">
        <f t="shared" si="0"/>
        <v>Tidak Tercapai</v>
      </c>
      <c r="K8" s="171">
        <v>32</v>
      </c>
      <c r="L8" s="171">
        <v>59</v>
      </c>
      <c r="M8" s="160" t="str">
        <f t="shared" si="1"/>
        <v>Tidak Tercapai</v>
      </c>
      <c r="N8" s="171">
        <v>0</v>
      </c>
      <c r="O8" s="157">
        <v>4074</v>
      </c>
      <c r="P8" s="160" t="str">
        <f t="shared" si="2"/>
        <v>Tercapai</v>
      </c>
      <c r="Q8" s="161">
        <v>133</v>
      </c>
      <c r="R8" s="157">
        <v>3138</v>
      </c>
      <c r="S8" s="162" t="str">
        <f t="shared" si="3"/>
        <v>Tidak Tercapai</v>
      </c>
      <c r="T8" s="161">
        <v>51</v>
      </c>
      <c r="U8" s="163">
        <v>3270</v>
      </c>
      <c r="V8" s="162" t="str">
        <f t="shared" si="4"/>
        <v>Tercapai</v>
      </c>
      <c r="W8" s="164">
        <v>30</v>
      </c>
      <c r="X8" s="172">
        <v>5302</v>
      </c>
      <c r="Y8" s="165" t="str">
        <f t="shared" si="5"/>
        <v>Tercapai</v>
      </c>
      <c r="Z8" s="166">
        <v>50</v>
      </c>
      <c r="AA8" s="167">
        <v>5123</v>
      </c>
      <c r="AB8" s="168" t="str">
        <f t="shared" si="6"/>
        <v>Tercapai</v>
      </c>
      <c r="AC8" s="167">
        <v>72</v>
      </c>
      <c r="AD8" s="173">
        <v>1919</v>
      </c>
      <c r="AE8" s="168" t="str">
        <f t="shared" si="7"/>
        <v>Tidak Tercapai</v>
      </c>
      <c r="AF8" s="167">
        <v>2</v>
      </c>
      <c r="AG8" s="167">
        <v>22</v>
      </c>
      <c r="AH8" s="168" t="str">
        <f t="shared" si="8"/>
        <v>Tidak Tercapai</v>
      </c>
      <c r="AI8" s="167">
        <v>4</v>
      </c>
      <c r="AJ8" s="173">
        <v>5031</v>
      </c>
      <c r="AK8" s="168" t="str">
        <f t="shared" si="9"/>
        <v>Tercapai</v>
      </c>
      <c r="AL8" s="173">
        <v>108</v>
      </c>
      <c r="AM8" s="173">
        <v>3245</v>
      </c>
      <c r="AN8" s="168" t="str">
        <f t="shared" si="10"/>
        <v>Tidak Tercapai</v>
      </c>
      <c r="AO8" s="173">
        <v>43</v>
      </c>
      <c r="AP8" s="167">
        <v>7475</v>
      </c>
      <c r="AQ8" s="168" t="str">
        <f t="shared" si="11"/>
        <v>Tercapai</v>
      </c>
      <c r="AR8" s="167">
        <v>64</v>
      </c>
      <c r="AS8" s="167">
        <v>4713</v>
      </c>
      <c r="AT8" s="168" t="str">
        <f t="shared" si="12"/>
        <v>Tercapai</v>
      </c>
      <c r="AU8" s="167">
        <v>22</v>
      </c>
      <c r="AV8" s="159">
        <v>5283</v>
      </c>
      <c r="AW8" s="168" t="str">
        <f t="shared" si="13"/>
        <v>Tercapai</v>
      </c>
      <c r="AX8" s="167">
        <v>54</v>
      </c>
      <c r="AY8" s="167">
        <v>1511</v>
      </c>
      <c r="AZ8" s="168" t="str">
        <f t="shared" si="14"/>
        <v>Tidak Tercapai</v>
      </c>
      <c r="BA8" s="167">
        <v>32</v>
      </c>
      <c r="BB8" s="170">
        <v>0</v>
      </c>
      <c r="BC8" s="168" t="str">
        <f t="shared" si="15"/>
        <v>Tidak Tercapai</v>
      </c>
      <c r="BD8" s="167">
        <v>12</v>
      </c>
      <c r="BE8" s="68"/>
      <c r="BF8" s="68"/>
      <c r="BG8" s="68"/>
      <c r="BH8" s="68"/>
      <c r="BI8" s="68"/>
      <c r="BJ8" s="68"/>
      <c r="BK8" s="68"/>
    </row>
    <row r="9" spans="1:63" ht="15.6" x14ac:dyDescent="0.3">
      <c r="A9" s="157">
        <v>7</v>
      </c>
      <c r="B9" s="158" t="s">
        <v>445</v>
      </c>
      <c r="C9" s="157" t="s">
        <v>446</v>
      </c>
      <c r="D9" s="157">
        <v>251984</v>
      </c>
      <c r="E9" s="157">
        <v>3291</v>
      </c>
      <c r="F9" s="171">
        <v>33493</v>
      </c>
      <c r="G9" s="160" t="s">
        <v>437</v>
      </c>
      <c r="H9" s="171">
        <v>21193</v>
      </c>
      <c r="I9" s="171">
        <v>39</v>
      </c>
      <c r="J9" s="160" t="str">
        <f t="shared" si="0"/>
        <v>Tidak Tercapai</v>
      </c>
      <c r="K9" s="171">
        <v>2</v>
      </c>
      <c r="L9" s="171">
        <v>0</v>
      </c>
      <c r="M9" s="160" t="str">
        <f t="shared" si="1"/>
        <v>Tidak Tercapai</v>
      </c>
      <c r="N9" s="171">
        <v>1</v>
      </c>
      <c r="O9" s="157">
        <v>1415</v>
      </c>
      <c r="P9" s="160" t="str">
        <f t="shared" si="2"/>
        <v>Tidak Tercapai</v>
      </c>
      <c r="Q9" s="161">
        <v>31</v>
      </c>
      <c r="R9" s="157">
        <v>1703</v>
      </c>
      <c r="S9" s="162" t="str">
        <f t="shared" si="3"/>
        <v>Tidak Tercapai</v>
      </c>
      <c r="T9" s="161">
        <v>11</v>
      </c>
      <c r="U9" s="163">
        <v>1888</v>
      </c>
      <c r="V9" s="162" t="str">
        <f t="shared" si="4"/>
        <v>Tercapai</v>
      </c>
      <c r="W9" s="164">
        <v>11</v>
      </c>
      <c r="X9" s="172">
        <v>1565</v>
      </c>
      <c r="Y9" s="165" t="str">
        <f t="shared" si="5"/>
        <v>Tidak Tercapai</v>
      </c>
      <c r="Z9" s="166">
        <v>5</v>
      </c>
      <c r="AA9" s="167">
        <v>2339</v>
      </c>
      <c r="AB9" s="168" t="str">
        <f t="shared" si="6"/>
        <v>Tidak Tercapai</v>
      </c>
      <c r="AC9" s="167">
        <v>44</v>
      </c>
      <c r="AD9" s="173">
        <v>100</v>
      </c>
      <c r="AE9" s="168" t="str">
        <f t="shared" si="7"/>
        <v>Tidak Tercapai</v>
      </c>
      <c r="AF9" s="167">
        <v>8</v>
      </c>
      <c r="AG9" s="167">
        <v>25</v>
      </c>
      <c r="AH9" s="168" t="str">
        <f t="shared" si="8"/>
        <v>Tidak Tercapai</v>
      </c>
      <c r="AI9" s="167">
        <v>1</v>
      </c>
      <c r="AJ9" s="173">
        <v>2436</v>
      </c>
      <c r="AK9" s="168" t="str">
        <f t="shared" si="9"/>
        <v>Tidak Tercapai</v>
      </c>
      <c r="AL9" s="173">
        <v>22</v>
      </c>
      <c r="AM9" s="173">
        <v>1516</v>
      </c>
      <c r="AN9" s="168" t="str">
        <f t="shared" si="10"/>
        <v>Tidak Tercapai</v>
      </c>
      <c r="AO9" s="173">
        <v>32</v>
      </c>
      <c r="AP9" s="167">
        <v>4073</v>
      </c>
      <c r="AQ9" s="168" t="str">
        <f t="shared" si="11"/>
        <v>Tercapai</v>
      </c>
      <c r="AR9" s="167">
        <v>26</v>
      </c>
      <c r="AS9" s="167">
        <v>3082</v>
      </c>
      <c r="AT9" s="168" t="str">
        <f t="shared" si="12"/>
        <v>Tidak Tercapai</v>
      </c>
      <c r="AU9" s="167">
        <v>105</v>
      </c>
      <c r="AV9" s="159">
        <v>2824</v>
      </c>
      <c r="AW9" s="168" t="str">
        <f t="shared" si="13"/>
        <v>Tidak Tercapai</v>
      </c>
      <c r="AX9" s="167">
        <v>46</v>
      </c>
      <c r="AY9" s="167">
        <v>481</v>
      </c>
      <c r="AZ9" s="168" t="str">
        <f t="shared" si="14"/>
        <v>Tidak Tercapai</v>
      </c>
      <c r="BA9" s="167">
        <v>12</v>
      </c>
      <c r="BB9" s="170">
        <v>0</v>
      </c>
      <c r="BC9" s="168" t="str">
        <f t="shared" si="15"/>
        <v>Tidak Tercapai</v>
      </c>
      <c r="BD9" s="167">
        <v>0</v>
      </c>
      <c r="BE9" s="68"/>
      <c r="BF9" s="68"/>
      <c r="BG9" s="68"/>
      <c r="BH9" s="68"/>
      <c r="BI9" s="68"/>
      <c r="BJ9" s="68"/>
      <c r="BK9" s="68"/>
    </row>
    <row r="10" spans="1:63" ht="15.6" x14ac:dyDescent="0.3">
      <c r="A10" s="157">
        <v>8</v>
      </c>
      <c r="B10" s="158" t="s">
        <v>447</v>
      </c>
      <c r="C10" s="157" t="s">
        <v>439</v>
      </c>
      <c r="D10" s="157">
        <v>257954</v>
      </c>
      <c r="E10" s="157">
        <v>3285</v>
      </c>
      <c r="F10" s="171">
        <v>53785</v>
      </c>
      <c r="G10" s="160" t="s">
        <v>437</v>
      </c>
      <c r="H10" s="171">
        <v>38086</v>
      </c>
      <c r="I10" s="171">
        <v>366</v>
      </c>
      <c r="J10" s="160" t="str">
        <f t="shared" si="0"/>
        <v>Tidak Tercapai</v>
      </c>
      <c r="K10" s="171">
        <v>0</v>
      </c>
      <c r="L10" s="171">
        <v>0</v>
      </c>
      <c r="M10" s="160" t="str">
        <f t="shared" si="1"/>
        <v>Tidak Tercapai</v>
      </c>
      <c r="N10" s="171">
        <v>0</v>
      </c>
      <c r="O10" s="157">
        <v>2900</v>
      </c>
      <c r="P10" s="160" t="str">
        <f t="shared" si="2"/>
        <v>Tidak Tercapai</v>
      </c>
      <c r="Q10" s="161">
        <v>22</v>
      </c>
      <c r="R10" s="157">
        <v>3436</v>
      </c>
      <c r="S10" s="162" t="str">
        <f t="shared" si="3"/>
        <v>Tercapai</v>
      </c>
      <c r="T10" s="161">
        <v>60</v>
      </c>
      <c r="U10" s="163">
        <v>3346</v>
      </c>
      <c r="V10" s="162" t="str">
        <f t="shared" si="4"/>
        <v>Tidak Tercapai</v>
      </c>
      <c r="W10" s="164">
        <v>36</v>
      </c>
      <c r="X10" s="172">
        <v>3312</v>
      </c>
      <c r="Y10" s="165" t="str">
        <f t="shared" si="5"/>
        <v>Tercapai</v>
      </c>
      <c r="Z10" s="166">
        <v>32</v>
      </c>
      <c r="AA10" s="167">
        <v>3949</v>
      </c>
      <c r="AB10" s="168" t="str">
        <f t="shared" si="6"/>
        <v>Tercapai</v>
      </c>
      <c r="AC10" s="167">
        <v>22</v>
      </c>
      <c r="AD10" s="173">
        <v>564</v>
      </c>
      <c r="AE10" s="168" t="str">
        <f t="shared" si="7"/>
        <v>Tidak Tercapai</v>
      </c>
      <c r="AF10" s="167">
        <v>1</v>
      </c>
      <c r="AG10" s="167">
        <v>0</v>
      </c>
      <c r="AH10" s="168" t="str">
        <f t="shared" si="8"/>
        <v>Tidak Tercapai</v>
      </c>
      <c r="AI10" s="167">
        <v>1</v>
      </c>
      <c r="AJ10" s="173">
        <v>3341</v>
      </c>
      <c r="AK10" s="168" t="str">
        <f t="shared" si="9"/>
        <v>Tercapai</v>
      </c>
      <c r="AL10" s="173">
        <v>62</v>
      </c>
      <c r="AM10" s="173">
        <v>1937</v>
      </c>
      <c r="AN10" s="168" t="str">
        <f t="shared" si="10"/>
        <v>Tidak Tercapai</v>
      </c>
      <c r="AO10" s="173">
        <v>59</v>
      </c>
      <c r="AP10" s="167">
        <v>4794</v>
      </c>
      <c r="AQ10" s="168" t="str">
        <f t="shared" si="11"/>
        <v>Tercapai</v>
      </c>
      <c r="AR10" s="167">
        <v>21</v>
      </c>
      <c r="AS10" s="167">
        <v>4170</v>
      </c>
      <c r="AT10" s="168" t="str">
        <f t="shared" si="12"/>
        <v>Tercapai</v>
      </c>
      <c r="AU10" s="167">
        <v>86</v>
      </c>
      <c r="AV10" s="159">
        <v>4598</v>
      </c>
      <c r="AW10" s="168" t="str">
        <f t="shared" si="13"/>
        <v>Tercapai</v>
      </c>
      <c r="AX10" s="167">
        <v>29</v>
      </c>
      <c r="AY10" s="167">
        <v>1054</v>
      </c>
      <c r="AZ10" s="168" t="str">
        <f t="shared" si="14"/>
        <v>Tidak Tercapai</v>
      </c>
      <c r="BA10" s="167">
        <v>1</v>
      </c>
      <c r="BB10" s="170">
        <v>0</v>
      </c>
      <c r="BC10" s="168" t="str">
        <f t="shared" si="15"/>
        <v>Tidak Tercapai</v>
      </c>
      <c r="BD10" s="167">
        <v>0</v>
      </c>
      <c r="BE10" s="68"/>
      <c r="BF10" s="68"/>
      <c r="BG10" s="68"/>
      <c r="BH10" s="68"/>
      <c r="BI10" s="68"/>
      <c r="BJ10" s="68"/>
      <c r="BK10" s="68"/>
    </row>
    <row r="11" spans="1:63" ht="15.6" x14ac:dyDescent="0.3">
      <c r="A11" s="157">
        <v>9</v>
      </c>
      <c r="B11" s="158" t="s">
        <v>448</v>
      </c>
      <c r="C11" s="157" t="s">
        <v>442</v>
      </c>
      <c r="D11" s="157">
        <v>239255</v>
      </c>
      <c r="E11" s="157">
        <v>3253</v>
      </c>
      <c r="F11" s="171">
        <v>40095</v>
      </c>
      <c r="G11" s="160" t="s">
        <v>437</v>
      </c>
      <c r="H11" s="171">
        <v>23217</v>
      </c>
      <c r="I11" s="171">
        <v>188</v>
      </c>
      <c r="J11" s="160" t="str">
        <f t="shared" si="0"/>
        <v>Tidak Tercapai</v>
      </c>
      <c r="K11" s="171">
        <v>5</v>
      </c>
      <c r="L11" s="171">
        <v>0</v>
      </c>
      <c r="M11" s="160" t="str">
        <f t="shared" si="1"/>
        <v>Tidak Tercapai</v>
      </c>
      <c r="N11" s="171">
        <v>0</v>
      </c>
      <c r="O11" s="157">
        <v>1201</v>
      </c>
      <c r="P11" s="160" t="str">
        <f t="shared" si="2"/>
        <v>Tidak Tercapai</v>
      </c>
      <c r="Q11" s="161">
        <v>8</v>
      </c>
      <c r="R11" s="157">
        <v>1485</v>
      </c>
      <c r="S11" s="162" t="str">
        <f t="shared" si="3"/>
        <v>Tidak Tercapai</v>
      </c>
      <c r="T11" s="161">
        <v>26</v>
      </c>
      <c r="U11" s="163">
        <v>2589</v>
      </c>
      <c r="V11" s="162" t="str">
        <f t="shared" si="4"/>
        <v>Tercapai</v>
      </c>
      <c r="W11" s="164">
        <v>2</v>
      </c>
      <c r="X11" s="172">
        <v>1432</v>
      </c>
      <c r="Y11" s="165" t="str">
        <f t="shared" si="5"/>
        <v>Tidak Tercapai</v>
      </c>
      <c r="Z11" s="166">
        <v>11</v>
      </c>
      <c r="AA11" s="167">
        <v>1661</v>
      </c>
      <c r="AB11" s="168" t="str">
        <f t="shared" si="6"/>
        <v>Tidak Tercapai</v>
      </c>
      <c r="AC11" s="167">
        <v>7</v>
      </c>
      <c r="AD11" s="173">
        <v>909</v>
      </c>
      <c r="AE11" s="168" t="str">
        <f t="shared" si="7"/>
        <v>Tidak Tercapai</v>
      </c>
      <c r="AF11" s="167">
        <v>13</v>
      </c>
      <c r="AG11" s="167">
        <v>2</v>
      </c>
      <c r="AH11" s="168" t="str">
        <f t="shared" si="8"/>
        <v>Tidak Tercapai</v>
      </c>
      <c r="AI11" s="167">
        <v>0</v>
      </c>
      <c r="AJ11" s="173">
        <v>2514</v>
      </c>
      <c r="AK11" s="168" t="str">
        <f t="shared" si="9"/>
        <v>Tidak Tercapai</v>
      </c>
      <c r="AL11" s="173">
        <v>12</v>
      </c>
      <c r="AM11" s="173">
        <v>1111</v>
      </c>
      <c r="AN11" s="168" t="str">
        <f t="shared" si="10"/>
        <v>Tidak Tercapai</v>
      </c>
      <c r="AO11" s="173">
        <v>25</v>
      </c>
      <c r="AP11" s="167">
        <v>3307</v>
      </c>
      <c r="AQ11" s="168" t="str">
        <f t="shared" si="11"/>
        <v>Tercapai</v>
      </c>
      <c r="AR11" s="167">
        <v>10</v>
      </c>
      <c r="AS11" s="167">
        <v>1549</v>
      </c>
      <c r="AT11" s="168" t="str">
        <f t="shared" si="12"/>
        <v>Tidak Tercapai</v>
      </c>
      <c r="AU11" s="167">
        <v>42</v>
      </c>
      <c r="AV11" s="159">
        <v>2722</v>
      </c>
      <c r="AW11" s="168" t="str">
        <f t="shared" si="13"/>
        <v>Tidak Tercapai</v>
      </c>
      <c r="AX11" s="167">
        <v>56</v>
      </c>
      <c r="AY11" s="167">
        <v>2586</v>
      </c>
      <c r="AZ11" s="168" t="str">
        <f t="shared" si="14"/>
        <v>Tidak Tercapai</v>
      </c>
      <c r="BA11" s="167">
        <v>17</v>
      </c>
      <c r="BB11" s="170">
        <v>146</v>
      </c>
      <c r="BC11" s="168" t="str">
        <f t="shared" si="15"/>
        <v>Tidak Tercapai</v>
      </c>
      <c r="BD11" s="167">
        <v>0</v>
      </c>
      <c r="BE11" s="68"/>
      <c r="BF11" s="68"/>
      <c r="BG11" s="68"/>
      <c r="BH11" s="68"/>
      <c r="BI11" s="68"/>
      <c r="BJ11" s="68"/>
      <c r="BK11" s="68"/>
    </row>
    <row r="12" spans="1:63" ht="15.6" x14ac:dyDescent="0.3">
      <c r="A12" s="157">
        <v>10</v>
      </c>
      <c r="B12" s="158" t="s">
        <v>449</v>
      </c>
      <c r="C12" s="157" t="s">
        <v>446</v>
      </c>
      <c r="D12" s="157">
        <v>236795</v>
      </c>
      <c r="E12" s="157">
        <v>3018</v>
      </c>
      <c r="F12" s="171">
        <v>50278</v>
      </c>
      <c r="G12" s="160" t="s">
        <v>437</v>
      </c>
      <c r="H12" s="171">
        <v>39551</v>
      </c>
      <c r="I12" s="171">
        <v>150</v>
      </c>
      <c r="J12" s="160" t="str">
        <f t="shared" si="0"/>
        <v>Tidak Tercapai</v>
      </c>
      <c r="K12" s="171">
        <v>0</v>
      </c>
      <c r="L12" s="171">
        <v>1</v>
      </c>
      <c r="M12" s="160" t="str">
        <f t="shared" si="1"/>
        <v>Tidak Tercapai</v>
      </c>
      <c r="N12" s="171">
        <v>2</v>
      </c>
      <c r="O12" s="157">
        <v>1004</v>
      </c>
      <c r="P12" s="160" t="str">
        <f t="shared" si="2"/>
        <v>Tidak Tercapai</v>
      </c>
      <c r="Q12" s="161">
        <v>24</v>
      </c>
      <c r="R12" s="157">
        <v>1243</v>
      </c>
      <c r="S12" s="162" t="str">
        <f t="shared" si="3"/>
        <v>Tidak Tercapai</v>
      </c>
      <c r="T12" s="161">
        <v>54</v>
      </c>
      <c r="U12" s="163">
        <v>1602</v>
      </c>
      <c r="V12" s="162" t="str">
        <f t="shared" si="4"/>
        <v>Tercapai</v>
      </c>
      <c r="W12" s="164">
        <v>44</v>
      </c>
      <c r="X12" s="172">
        <v>1454</v>
      </c>
      <c r="Y12" s="165" t="str">
        <f t="shared" si="5"/>
        <v>Tidak Tercapai</v>
      </c>
      <c r="Z12" s="166">
        <v>55</v>
      </c>
      <c r="AA12" s="167">
        <v>2013</v>
      </c>
      <c r="AB12" s="168" t="str">
        <f t="shared" si="6"/>
        <v>Tidak Tercapai</v>
      </c>
      <c r="AC12" s="167">
        <v>110</v>
      </c>
      <c r="AD12" s="173">
        <v>306</v>
      </c>
      <c r="AE12" s="168" t="str">
        <f t="shared" si="7"/>
        <v>Tidak Tercapai</v>
      </c>
      <c r="AF12" s="167">
        <v>2</v>
      </c>
      <c r="AG12" s="167">
        <v>204</v>
      </c>
      <c r="AH12" s="168" t="str">
        <f t="shared" si="8"/>
        <v>Tidak Tercapai</v>
      </c>
      <c r="AI12" s="167">
        <v>0</v>
      </c>
      <c r="AJ12" s="173">
        <v>1800</v>
      </c>
      <c r="AK12" s="168" t="str">
        <f t="shared" si="9"/>
        <v>Tidak Tercapai</v>
      </c>
      <c r="AL12" s="173">
        <v>40</v>
      </c>
      <c r="AM12" s="173">
        <v>2263</v>
      </c>
      <c r="AN12" s="168" t="str">
        <f t="shared" si="10"/>
        <v>Tidak Tercapai</v>
      </c>
      <c r="AO12" s="173">
        <v>145</v>
      </c>
      <c r="AP12" s="167">
        <v>1810</v>
      </c>
      <c r="AQ12" s="168" t="str">
        <f t="shared" si="11"/>
        <v>Tidak Tercapai</v>
      </c>
      <c r="AR12" s="167">
        <v>33</v>
      </c>
      <c r="AS12" s="167">
        <v>1992</v>
      </c>
      <c r="AT12" s="168" t="str">
        <f t="shared" si="12"/>
        <v>Tidak Tercapai</v>
      </c>
      <c r="AU12" s="167">
        <v>18</v>
      </c>
      <c r="AV12" s="159">
        <v>2037</v>
      </c>
      <c r="AW12" s="168" t="str">
        <f t="shared" si="13"/>
        <v>Tidak Tercapai</v>
      </c>
      <c r="AX12" s="167">
        <v>27</v>
      </c>
      <c r="AY12" s="167">
        <v>1201</v>
      </c>
      <c r="AZ12" s="168" t="str">
        <f t="shared" si="14"/>
        <v>Tidak Tercapai</v>
      </c>
      <c r="BA12" s="167">
        <v>1</v>
      </c>
      <c r="BB12" s="170">
        <v>869</v>
      </c>
      <c r="BC12" s="168" t="str">
        <f t="shared" si="15"/>
        <v>Tidak Tercapai</v>
      </c>
      <c r="BD12" s="167">
        <v>2</v>
      </c>
      <c r="BE12" s="68"/>
      <c r="BF12" s="68"/>
      <c r="BG12" s="68"/>
      <c r="BH12" s="68"/>
      <c r="BI12" s="68"/>
      <c r="BJ12" s="68"/>
      <c r="BK12" s="68"/>
    </row>
    <row r="13" spans="1:63" ht="15.6" x14ac:dyDescent="0.3">
      <c r="A13" s="157">
        <v>11</v>
      </c>
      <c r="B13" s="158" t="s">
        <v>450</v>
      </c>
      <c r="C13" s="157" t="s">
        <v>436</v>
      </c>
      <c r="D13" s="157">
        <v>235252</v>
      </c>
      <c r="E13" s="157">
        <v>3010</v>
      </c>
      <c r="F13" s="171">
        <v>63222</v>
      </c>
      <c r="G13" s="160" t="s">
        <v>437</v>
      </c>
      <c r="H13" s="171">
        <v>37131</v>
      </c>
      <c r="I13" s="171">
        <v>1053</v>
      </c>
      <c r="J13" s="160" t="str">
        <f t="shared" si="0"/>
        <v>Tidak Tercapai</v>
      </c>
      <c r="K13" s="171">
        <v>66</v>
      </c>
      <c r="L13" s="171">
        <v>2</v>
      </c>
      <c r="M13" s="160" t="str">
        <f t="shared" si="1"/>
        <v>Tidak Tercapai</v>
      </c>
      <c r="N13" s="171">
        <v>0</v>
      </c>
      <c r="O13" s="157">
        <v>3105</v>
      </c>
      <c r="P13" s="160" t="str">
        <f t="shared" si="2"/>
        <v>Tercapai</v>
      </c>
      <c r="Q13" s="161">
        <v>49</v>
      </c>
      <c r="R13" s="157">
        <v>2698</v>
      </c>
      <c r="S13" s="162" t="str">
        <f t="shared" si="3"/>
        <v>Tidak Tercapai</v>
      </c>
      <c r="T13" s="161">
        <v>16</v>
      </c>
      <c r="U13" s="163">
        <v>3304</v>
      </c>
      <c r="V13" s="162" t="str">
        <f t="shared" si="4"/>
        <v>Tercapai</v>
      </c>
      <c r="W13" s="164">
        <v>44</v>
      </c>
      <c r="X13" s="172">
        <v>2073</v>
      </c>
      <c r="Y13" s="165" t="str">
        <f t="shared" si="5"/>
        <v>Tidak Tercapai</v>
      </c>
      <c r="Z13" s="166">
        <v>21</v>
      </c>
      <c r="AA13" s="167">
        <v>1946</v>
      </c>
      <c r="AB13" s="168" t="str">
        <f t="shared" si="6"/>
        <v>Tidak Tercapai</v>
      </c>
      <c r="AC13" s="167">
        <v>33</v>
      </c>
      <c r="AD13" s="173">
        <v>1259</v>
      </c>
      <c r="AE13" s="168" t="str">
        <f t="shared" si="7"/>
        <v>Tidak Tercapai</v>
      </c>
      <c r="AF13" s="167">
        <v>24</v>
      </c>
      <c r="AG13" s="167">
        <v>330</v>
      </c>
      <c r="AH13" s="168" t="str">
        <f t="shared" si="8"/>
        <v>Tidak Tercapai</v>
      </c>
      <c r="AI13" s="167">
        <v>0</v>
      </c>
      <c r="AJ13" s="173">
        <v>2107</v>
      </c>
      <c r="AK13" s="168" t="str">
        <f t="shared" si="9"/>
        <v>Tidak Tercapai</v>
      </c>
      <c r="AL13" s="173">
        <v>25</v>
      </c>
      <c r="AM13" s="173">
        <v>1070</v>
      </c>
      <c r="AN13" s="168" t="str">
        <f t="shared" si="10"/>
        <v>Tidak Tercapai</v>
      </c>
      <c r="AO13" s="173">
        <v>55</v>
      </c>
      <c r="AP13" s="167">
        <v>3034</v>
      </c>
      <c r="AQ13" s="168" t="str">
        <f t="shared" si="11"/>
        <v>Tercapai</v>
      </c>
      <c r="AR13" s="167">
        <v>16</v>
      </c>
      <c r="AS13" s="167">
        <v>2292</v>
      </c>
      <c r="AT13" s="168" t="str">
        <f t="shared" si="12"/>
        <v>Tidak Tercapai</v>
      </c>
      <c r="AU13" s="167">
        <v>37</v>
      </c>
      <c r="AV13" s="159">
        <v>2143</v>
      </c>
      <c r="AW13" s="168" t="str">
        <f t="shared" si="13"/>
        <v>Tidak Tercapai</v>
      </c>
      <c r="AX13" s="167">
        <v>45</v>
      </c>
      <c r="AY13" s="167">
        <v>1374</v>
      </c>
      <c r="AZ13" s="168" t="str">
        <f t="shared" si="14"/>
        <v>Tidak Tercapai</v>
      </c>
      <c r="BA13" s="167">
        <v>7</v>
      </c>
      <c r="BB13" s="170">
        <v>27</v>
      </c>
      <c r="BC13" s="168" t="str">
        <f t="shared" si="15"/>
        <v>Tidak Tercapai</v>
      </c>
      <c r="BD13" s="167">
        <v>1</v>
      </c>
      <c r="BE13" s="68"/>
      <c r="BF13" s="68"/>
      <c r="BG13" s="68"/>
      <c r="BH13" s="68"/>
      <c r="BI13" s="68"/>
      <c r="BJ13" s="68"/>
      <c r="BK13" s="68"/>
    </row>
    <row r="14" spans="1:63" ht="15.6" x14ac:dyDescent="0.3">
      <c r="A14" s="157">
        <v>12</v>
      </c>
      <c r="B14" s="158" t="s">
        <v>451</v>
      </c>
      <c r="C14" s="157" t="s">
        <v>436</v>
      </c>
      <c r="D14" s="157">
        <v>222733</v>
      </c>
      <c r="E14" s="157">
        <v>2939</v>
      </c>
      <c r="F14" s="171">
        <v>52251</v>
      </c>
      <c r="G14" s="160" t="s">
        <v>437</v>
      </c>
      <c r="H14" s="171">
        <v>36077</v>
      </c>
      <c r="I14" s="171">
        <v>271</v>
      </c>
      <c r="J14" s="160" t="str">
        <f t="shared" si="0"/>
        <v>Tidak Tercapai</v>
      </c>
      <c r="K14" s="171">
        <v>0</v>
      </c>
      <c r="L14" s="171">
        <v>0</v>
      </c>
      <c r="M14" s="160" t="str">
        <f t="shared" si="1"/>
        <v>Tidak Tercapai</v>
      </c>
      <c r="N14" s="171">
        <v>0</v>
      </c>
      <c r="O14" s="157">
        <v>1175</v>
      </c>
      <c r="P14" s="160" t="str">
        <f t="shared" si="2"/>
        <v>Tidak Tercapai</v>
      </c>
      <c r="Q14" s="161">
        <v>115</v>
      </c>
      <c r="R14" s="157">
        <v>876</v>
      </c>
      <c r="S14" s="162" t="str">
        <f t="shared" si="3"/>
        <v>Tidak Tercapai</v>
      </c>
      <c r="T14" s="161">
        <v>88</v>
      </c>
      <c r="U14" s="163">
        <v>1091</v>
      </c>
      <c r="V14" s="162" t="str">
        <f t="shared" si="4"/>
        <v>Tercapai</v>
      </c>
      <c r="W14" s="164">
        <v>136</v>
      </c>
      <c r="X14" s="172">
        <v>1106</v>
      </c>
      <c r="Y14" s="165" t="str">
        <f t="shared" si="5"/>
        <v>Tidak Tercapai</v>
      </c>
      <c r="Z14" s="166">
        <v>188</v>
      </c>
      <c r="AA14" s="167">
        <v>1157</v>
      </c>
      <c r="AB14" s="168" t="str">
        <f t="shared" si="6"/>
        <v>Tidak Tercapai</v>
      </c>
      <c r="AC14" s="167">
        <v>253</v>
      </c>
      <c r="AD14" s="173">
        <v>138</v>
      </c>
      <c r="AE14" s="168" t="str">
        <f t="shared" si="7"/>
        <v>Tidak Tercapai</v>
      </c>
      <c r="AF14" s="167">
        <v>0</v>
      </c>
      <c r="AG14" s="167">
        <v>33</v>
      </c>
      <c r="AH14" s="168" t="str">
        <f t="shared" si="8"/>
        <v>Tidak Tercapai</v>
      </c>
      <c r="AI14" s="167">
        <v>0</v>
      </c>
      <c r="AJ14" s="173">
        <v>2333</v>
      </c>
      <c r="AK14" s="168" t="str">
        <f t="shared" si="9"/>
        <v>Tidak Tercapai</v>
      </c>
      <c r="AL14" s="173">
        <v>222</v>
      </c>
      <c r="AM14" s="173">
        <v>737</v>
      </c>
      <c r="AN14" s="168" t="str">
        <f t="shared" si="10"/>
        <v>Tidak Tercapai</v>
      </c>
      <c r="AO14" s="173">
        <v>215</v>
      </c>
      <c r="AP14" s="167">
        <v>2557</v>
      </c>
      <c r="AQ14" s="168" t="str">
        <f t="shared" si="11"/>
        <v>Tidak Tercapai</v>
      </c>
      <c r="AR14" s="167">
        <v>53</v>
      </c>
      <c r="AS14" s="167">
        <v>1676</v>
      </c>
      <c r="AT14" s="168" t="str">
        <f t="shared" si="12"/>
        <v>Tidak Tercapai</v>
      </c>
      <c r="AU14" s="167">
        <v>46</v>
      </c>
      <c r="AV14" s="159">
        <v>2030</v>
      </c>
      <c r="AW14" s="168" t="str">
        <f t="shared" si="13"/>
        <v>Tidak Tercapai</v>
      </c>
      <c r="AX14" s="167">
        <v>124</v>
      </c>
      <c r="AY14" s="167">
        <v>898</v>
      </c>
      <c r="AZ14" s="168" t="str">
        <f t="shared" si="14"/>
        <v>Tidak Tercapai</v>
      </c>
      <c r="BA14" s="167">
        <v>8</v>
      </c>
      <c r="BB14" s="170">
        <v>892</v>
      </c>
      <c r="BC14" s="168" t="str">
        <f t="shared" si="15"/>
        <v>Tidak Tercapai</v>
      </c>
      <c r="BD14" s="167">
        <v>1</v>
      </c>
      <c r="BE14" s="68"/>
      <c r="BF14" s="68"/>
      <c r="BG14" s="68"/>
      <c r="BH14" s="68"/>
      <c r="BI14" s="68"/>
      <c r="BJ14" s="68"/>
      <c r="BK14" s="68"/>
    </row>
    <row r="15" spans="1:63" ht="15.6" x14ac:dyDescent="0.3">
      <c r="A15" s="157">
        <v>13</v>
      </c>
      <c r="B15" s="158" t="s">
        <v>452</v>
      </c>
      <c r="C15" s="157" t="s">
        <v>446</v>
      </c>
      <c r="D15" s="157">
        <v>235775</v>
      </c>
      <c r="E15" s="157">
        <v>2937</v>
      </c>
      <c r="F15" s="171">
        <v>43323</v>
      </c>
      <c r="G15" s="160" t="s">
        <v>437</v>
      </c>
      <c r="H15" s="171">
        <v>27425</v>
      </c>
      <c r="I15" s="171">
        <v>107</v>
      </c>
      <c r="J15" s="160" t="str">
        <f t="shared" si="0"/>
        <v>Tidak Tercapai</v>
      </c>
      <c r="K15" s="171">
        <v>25</v>
      </c>
      <c r="L15" s="171">
        <v>5</v>
      </c>
      <c r="M15" s="160" t="str">
        <f t="shared" si="1"/>
        <v>Tidak Tercapai</v>
      </c>
      <c r="N15" s="171">
        <v>5</v>
      </c>
      <c r="O15" s="157">
        <v>1308</v>
      </c>
      <c r="P15" s="160" t="str">
        <f t="shared" si="2"/>
        <v>Tidak Tercapai</v>
      </c>
      <c r="Q15" s="161">
        <v>49</v>
      </c>
      <c r="R15" s="157">
        <v>1397</v>
      </c>
      <c r="S15" s="162" t="str">
        <f t="shared" si="3"/>
        <v>Tidak Tercapai</v>
      </c>
      <c r="T15" s="161">
        <v>48</v>
      </c>
      <c r="U15" s="163">
        <v>1594</v>
      </c>
      <c r="V15" s="162" t="str">
        <f t="shared" si="4"/>
        <v>Tercapai</v>
      </c>
      <c r="W15" s="164">
        <v>42</v>
      </c>
      <c r="X15" s="172">
        <v>1617</v>
      </c>
      <c r="Y15" s="165" t="str">
        <f t="shared" si="5"/>
        <v>Tidak Tercapai</v>
      </c>
      <c r="Z15" s="166">
        <v>42</v>
      </c>
      <c r="AA15" s="167">
        <v>2174</v>
      </c>
      <c r="AB15" s="168" t="str">
        <f t="shared" si="6"/>
        <v>Tidak Tercapai</v>
      </c>
      <c r="AC15" s="167">
        <v>68</v>
      </c>
      <c r="AD15" s="173">
        <v>173</v>
      </c>
      <c r="AE15" s="168" t="str">
        <f t="shared" si="7"/>
        <v>Tidak Tercapai</v>
      </c>
      <c r="AF15" s="167">
        <v>33</v>
      </c>
      <c r="AG15" s="167">
        <v>2</v>
      </c>
      <c r="AH15" s="168" t="str">
        <f t="shared" si="8"/>
        <v>Tidak Tercapai</v>
      </c>
      <c r="AI15" s="167">
        <v>0</v>
      </c>
      <c r="AJ15" s="173">
        <v>2105</v>
      </c>
      <c r="AK15" s="168" t="str">
        <f t="shared" si="9"/>
        <v>Tidak Tercapai</v>
      </c>
      <c r="AL15" s="173">
        <v>61</v>
      </c>
      <c r="AM15" s="173">
        <v>2942</v>
      </c>
      <c r="AN15" s="168" t="str">
        <f t="shared" si="10"/>
        <v>Tercapai</v>
      </c>
      <c r="AO15" s="173">
        <v>63</v>
      </c>
      <c r="AP15" s="167">
        <v>3633</v>
      </c>
      <c r="AQ15" s="168" t="str">
        <f t="shared" si="11"/>
        <v>Tercapai</v>
      </c>
      <c r="AR15" s="167">
        <v>37</v>
      </c>
      <c r="AS15" s="167">
        <v>3811</v>
      </c>
      <c r="AT15" s="168" t="str">
        <f t="shared" si="12"/>
        <v>Tercapai</v>
      </c>
      <c r="AU15" s="167">
        <v>242</v>
      </c>
      <c r="AV15" s="159">
        <v>3020</v>
      </c>
      <c r="AW15" s="168" t="str">
        <f t="shared" si="13"/>
        <v>Tercapai</v>
      </c>
      <c r="AX15" s="167">
        <v>66</v>
      </c>
      <c r="AY15" s="167">
        <v>606</v>
      </c>
      <c r="AZ15" s="168" t="str">
        <f t="shared" si="14"/>
        <v>Tidak Tercapai</v>
      </c>
      <c r="BA15" s="167">
        <v>8</v>
      </c>
      <c r="BB15" s="170">
        <v>151</v>
      </c>
      <c r="BC15" s="168" t="str">
        <f t="shared" si="15"/>
        <v>Tidak Tercapai</v>
      </c>
      <c r="BD15" s="167">
        <v>7</v>
      </c>
      <c r="BE15" s="68"/>
      <c r="BF15" s="68"/>
      <c r="BG15" s="68"/>
      <c r="BH15" s="68"/>
      <c r="BI15" s="68"/>
      <c r="BJ15" s="68"/>
      <c r="BK15" s="68"/>
    </row>
    <row r="16" spans="1:63" ht="15.6" x14ac:dyDescent="0.3">
      <c r="A16" s="157">
        <v>14</v>
      </c>
      <c r="B16" s="174" t="s">
        <v>453</v>
      </c>
      <c r="C16" s="157" t="s">
        <v>442</v>
      </c>
      <c r="D16" s="157">
        <v>231336</v>
      </c>
      <c r="E16" s="157">
        <v>2860</v>
      </c>
      <c r="F16" s="171">
        <v>90895</v>
      </c>
      <c r="G16" s="160" t="s">
        <v>437</v>
      </c>
      <c r="H16" s="171">
        <v>46467</v>
      </c>
      <c r="I16" s="171">
        <v>994</v>
      </c>
      <c r="J16" s="160" t="str">
        <f t="shared" si="0"/>
        <v>Tidak Tercapai</v>
      </c>
      <c r="K16" s="171">
        <v>1</v>
      </c>
      <c r="L16" s="171">
        <v>0</v>
      </c>
      <c r="M16" s="160" t="str">
        <f t="shared" si="1"/>
        <v>Tidak Tercapai</v>
      </c>
      <c r="N16" s="171">
        <v>0</v>
      </c>
      <c r="O16" s="157">
        <v>3287</v>
      </c>
      <c r="P16" s="160" t="str">
        <f t="shared" si="2"/>
        <v>Tercapai</v>
      </c>
      <c r="Q16" s="161">
        <v>3</v>
      </c>
      <c r="R16" s="157">
        <v>2102</v>
      </c>
      <c r="S16" s="162" t="str">
        <f t="shared" si="3"/>
        <v>Tidak Tercapai</v>
      </c>
      <c r="T16" s="161">
        <v>246</v>
      </c>
      <c r="U16" s="163">
        <v>2463</v>
      </c>
      <c r="V16" s="162" t="str">
        <f t="shared" si="4"/>
        <v>Tercapai</v>
      </c>
      <c r="W16" s="164">
        <v>13</v>
      </c>
      <c r="X16" s="172">
        <v>3189</v>
      </c>
      <c r="Y16" s="165" t="str">
        <f t="shared" si="5"/>
        <v>Tercapai</v>
      </c>
      <c r="Z16" s="166">
        <v>13</v>
      </c>
      <c r="AA16" s="167">
        <v>4701</v>
      </c>
      <c r="AB16" s="168" t="str">
        <f t="shared" si="6"/>
        <v>Tercapai</v>
      </c>
      <c r="AC16" s="167">
        <v>8</v>
      </c>
      <c r="AD16" s="173">
        <v>2632</v>
      </c>
      <c r="AE16" s="168" t="str">
        <f t="shared" si="7"/>
        <v>Tidak Tercapai</v>
      </c>
      <c r="AF16" s="167">
        <v>1</v>
      </c>
      <c r="AG16" s="167">
        <v>793</v>
      </c>
      <c r="AH16" s="168" t="str">
        <f t="shared" si="8"/>
        <v>Tidak Tercapai</v>
      </c>
      <c r="AI16" s="167">
        <v>1</v>
      </c>
      <c r="AJ16" s="173">
        <v>4264</v>
      </c>
      <c r="AK16" s="168" t="str">
        <f t="shared" si="9"/>
        <v>Tercapai</v>
      </c>
      <c r="AL16" s="173">
        <v>1</v>
      </c>
      <c r="AM16" s="173">
        <v>2994</v>
      </c>
      <c r="AN16" s="168" t="str">
        <f t="shared" si="10"/>
        <v>Tercapai</v>
      </c>
      <c r="AO16" s="173">
        <v>23</v>
      </c>
      <c r="AP16" s="167">
        <v>6260</v>
      </c>
      <c r="AQ16" s="168" t="str">
        <f t="shared" si="11"/>
        <v>Tercapai</v>
      </c>
      <c r="AR16" s="167">
        <v>32</v>
      </c>
      <c r="AS16" s="167">
        <v>5834</v>
      </c>
      <c r="AT16" s="168" t="str">
        <f t="shared" si="12"/>
        <v>Tercapai</v>
      </c>
      <c r="AU16" s="167">
        <v>11</v>
      </c>
      <c r="AV16" s="159">
        <v>6244</v>
      </c>
      <c r="AW16" s="168" t="str">
        <f t="shared" si="13"/>
        <v>Tercapai</v>
      </c>
      <c r="AX16" s="167">
        <v>7</v>
      </c>
      <c r="AY16" s="167">
        <v>3643</v>
      </c>
      <c r="AZ16" s="168" t="str">
        <f t="shared" si="14"/>
        <v>Tercapai</v>
      </c>
      <c r="BA16" s="167">
        <v>10</v>
      </c>
      <c r="BB16" s="170">
        <v>348</v>
      </c>
      <c r="BC16" s="168" t="str">
        <f t="shared" si="15"/>
        <v>Tidak Tercapai</v>
      </c>
      <c r="BD16" s="167">
        <v>1</v>
      </c>
      <c r="BE16" s="68"/>
      <c r="BF16" s="68"/>
      <c r="BG16" s="68"/>
      <c r="BH16" s="68"/>
      <c r="BI16" s="68"/>
      <c r="BJ16" s="68"/>
      <c r="BK16" s="68"/>
    </row>
    <row r="17" spans="1:63" ht="15.6" x14ac:dyDescent="0.3">
      <c r="A17" s="157">
        <v>15</v>
      </c>
      <c r="B17" s="158" t="s">
        <v>454</v>
      </c>
      <c r="C17" s="157" t="s">
        <v>436</v>
      </c>
      <c r="D17" s="157">
        <v>221198</v>
      </c>
      <c r="E17" s="157">
        <v>2800</v>
      </c>
      <c r="F17" s="171">
        <v>32047</v>
      </c>
      <c r="G17" s="160" t="s">
        <v>437</v>
      </c>
      <c r="H17" s="171">
        <v>20888</v>
      </c>
      <c r="I17" s="171">
        <v>59</v>
      </c>
      <c r="J17" s="160" t="str">
        <f t="shared" si="0"/>
        <v>Tidak Tercapai</v>
      </c>
      <c r="K17" s="171">
        <v>29</v>
      </c>
      <c r="L17" s="171">
        <v>0</v>
      </c>
      <c r="M17" s="160" t="str">
        <f t="shared" si="1"/>
        <v>Tidak Tercapai</v>
      </c>
      <c r="N17" s="171">
        <v>0</v>
      </c>
      <c r="O17" s="157">
        <v>608</v>
      </c>
      <c r="P17" s="160" t="str">
        <f t="shared" si="2"/>
        <v>Tidak Tercapai</v>
      </c>
      <c r="Q17" s="161">
        <v>8</v>
      </c>
      <c r="R17" s="157">
        <v>609</v>
      </c>
      <c r="S17" s="162" t="str">
        <f t="shared" si="3"/>
        <v>Tidak Tercapai</v>
      </c>
      <c r="T17" s="161">
        <v>3</v>
      </c>
      <c r="U17" s="163">
        <v>1192</v>
      </c>
      <c r="V17" s="162" t="str">
        <f t="shared" si="4"/>
        <v>Tercapai</v>
      </c>
      <c r="W17" s="164">
        <v>20</v>
      </c>
      <c r="X17" s="172">
        <v>945</v>
      </c>
      <c r="Y17" s="165" t="str">
        <f t="shared" si="5"/>
        <v>Tidak Tercapai</v>
      </c>
      <c r="Z17" s="166">
        <v>15</v>
      </c>
      <c r="AA17" s="167">
        <v>1618</v>
      </c>
      <c r="AB17" s="168" t="str">
        <f t="shared" si="6"/>
        <v>Tidak Tercapai</v>
      </c>
      <c r="AC17" s="167">
        <v>24</v>
      </c>
      <c r="AD17" s="173">
        <v>698</v>
      </c>
      <c r="AE17" s="168" t="str">
        <f t="shared" si="7"/>
        <v>Tidak Tercapai</v>
      </c>
      <c r="AF17" s="167">
        <v>4</v>
      </c>
      <c r="AG17" s="167">
        <v>473</v>
      </c>
      <c r="AH17" s="168" t="str">
        <f t="shared" si="8"/>
        <v>Tidak Tercapai</v>
      </c>
      <c r="AI17" s="167">
        <v>4</v>
      </c>
      <c r="AJ17" s="173">
        <v>1583</v>
      </c>
      <c r="AK17" s="168" t="str">
        <f t="shared" si="9"/>
        <v>Tidak Tercapai</v>
      </c>
      <c r="AL17" s="173">
        <v>20</v>
      </c>
      <c r="AM17" s="173">
        <v>665</v>
      </c>
      <c r="AN17" s="168" t="str">
        <f t="shared" si="10"/>
        <v>Tidak Tercapai</v>
      </c>
      <c r="AO17" s="173">
        <v>45</v>
      </c>
      <c r="AP17" s="167">
        <v>2680</v>
      </c>
      <c r="AQ17" s="168" t="str">
        <f t="shared" si="11"/>
        <v>Tidak Tercapai</v>
      </c>
      <c r="AR17" s="167">
        <v>11</v>
      </c>
      <c r="AS17" s="167">
        <v>1760</v>
      </c>
      <c r="AT17" s="168" t="str">
        <f t="shared" si="12"/>
        <v>Tidak Tercapai</v>
      </c>
      <c r="AU17" s="167">
        <v>50</v>
      </c>
      <c r="AV17" s="159">
        <v>2143</v>
      </c>
      <c r="AW17" s="168" t="str">
        <f t="shared" si="13"/>
        <v>Tidak Tercapai</v>
      </c>
      <c r="AX17" s="167">
        <v>12</v>
      </c>
      <c r="AY17" s="167">
        <v>761</v>
      </c>
      <c r="AZ17" s="168" t="str">
        <f t="shared" si="14"/>
        <v>Tidak Tercapai</v>
      </c>
      <c r="BA17" s="167">
        <v>5</v>
      </c>
      <c r="BB17" s="170">
        <v>928</v>
      </c>
      <c r="BC17" s="168" t="str">
        <f t="shared" si="15"/>
        <v>Tidak Tercapai</v>
      </c>
      <c r="BD17" s="167">
        <v>7</v>
      </c>
      <c r="BE17" s="68"/>
      <c r="BF17" s="68"/>
      <c r="BG17" s="68"/>
      <c r="BH17" s="68"/>
      <c r="BI17" s="68"/>
      <c r="BJ17" s="68"/>
      <c r="BK17" s="68"/>
    </row>
    <row r="18" spans="1:63" ht="15.6" x14ac:dyDescent="0.3">
      <c r="A18" s="157">
        <v>16</v>
      </c>
      <c r="B18" s="158" t="s">
        <v>455</v>
      </c>
      <c r="C18" s="157" t="s">
        <v>436</v>
      </c>
      <c r="D18" s="157">
        <v>225123</v>
      </c>
      <c r="E18" s="157">
        <v>2779</v>
      </c>
      <c r="F18" s="171">
        <v>48208</v>
      </c>
      <c r="G18" s="160" t="s">
        <v>437</v>
      </c>
      <c r="H18" s="171">
        <v>30966</v>
      </c>
      <c r="I18" s="171">
        <v>0</v>
      </c>
      <c r="J18" s="160" t="str">
        <f t="shared" si="0"/>
        <v>Tidak Tercapai</v>
      </c>
      <c r="K18" s="171">
        <v>1</v>
      </c>
      <c r="L18" s="171">
        <v>0</v>
      </c>
      <c r="M18" s="160" t="str">
        <f t="shared" si="1"/>
        <v>Tidak Tercapai</v>
      </c>
      <c r="N18" s="171">
        <v>0</v>
      </c>
      <c r="O18" s="157">
        <v>736</v>
      </c>
      <c r="P18" s="160" t="str">
        <f t="shared" si="2"/>
        <v>Tidak Tercapai</v>
      </c>
      <c r="Q18" s="161">
        <v>27</v>
      </c>
      <c r="R18" s="157">
        <v>1206</v>
      </c>
      <c r="S18" s="162" t="str">
        <f t="shared" si="3"/>
        <v>Tidak Tercapai</v>
      </c>
      <c r="T18" s="161">
        <v>29</v>
      </c>
      <c r="U18" s="163">
        <v>1257</v>
      </c>
      <c r="V18" s="162" t="str">
        <f t="shared" si="4"/>
        <v>Tercapai</v>
      </c>
      <c r="W18" s="164">
        <v>28</v>
      </c>
      <c r="X18" s="172">
        <v>1214</v>
      </c>
      <c r="Y18" s="165" t="str">
        <f t="shared" si="5"/>
        <v>Tidak Tercapai</v>
      </c>
      <c r="Z18" s="166">
        <v>31</v>
      </c>
      <c r="AA18" s="167">
        <v>1355</v>
      </c>
      <c r="AB18" s="168" t="str">
        <f t="shared" si="6"/>
        <v>Tidak Tercapai</v>
      </c>
      <c r="AC18" s="167">
        <v>47</v>
      </c>
      <c r="AD18" s="173">
        <v>1079</v>
      </c>
      <c r="AE18" s="168" t="str">
        <f t="shared" si="7"/>
        <v>Tidak Tercapai</v>
      </c>
      <c r="AF18" s="167">
        <v>1</v>
      </c>
      <c r="AG18" s="167">
        <v>55</v>
      </c>
      <c r="AH18" s="168" t="str">
        <f t="shared" si="8"/>
        <v>Tidak Tercapai</v>
      </c>
      <c r="AI18" s="167">
        <v>0</v>
      </c>
      <c r="AJ18" s="173">
        <v>2216</v>
      </c>
      <c r="AK18" s="168" t="str">
        <f t="shared" si="9"/>
        <v>Tidak Tercapai</v>
      </c>
      <c r="AL18" s="173">
        <v>70</v>
      </c>
      <c r="AM18" s="173">
        <v>1264</v>
      </c>
      <c r="AN18" s="168" t="str">
        <f t="shared" si="10"/>
        <v>Tidak Tercapai</v>
      </c>
      <c r="AO18" s="173">
        <v>75</v>
      </c>
      <c r="AP18" s="167">
        <v>4571</v>
      </c>
      <c r="AQ18" s="168" t="str">
        <f t="shared" si="11"/>
        <v>Tercapai</v>
      </c>
      <c r="AR18" s="167">
        <v>11</v>
      </c>
      <c r="AS18" s="167">
        <v>3279</v>
      </c>
      <c r="AT18" s="168" t="str">
        <f t="shared" si="12"/>
        <v>Tercapai</v>
      </c>
      <c r="AU18" s="167">
        <v>126</v>
      </c>
      <c r="AV18" s="159">
        <v>3251</v>
      </c>
      <c r="AW18" s="168" t="str">
        <f t="shared" si="13"/>
        <v>Tercapai</v>
      </c>
      <c r="AX18" s="167">
        <v>84</v>
      </c>
      <c r="AY18" s="167">
        <v>436</v>
      </c>
      <c r="AZ18" s="168" t="str">
        <f t="shared" si="14"/>
        <v>Tidak Tercapai</v>
      </c>
      <c r="BA18" s="167">
        <v>2</v>
      </c>
      <c r="BB18" s="170">
        <v>0</v>
      </c>
      <c r="BC18" s="168" t="str">
        <f t="shared" si="15"/>
        <v>Tidak Tercapai</v>
      </c>
      <c r="BD18" s="167">
        <v>0</v>
      </c>
      <c r="BE18" s="68"/>
      <c r="BF18" s="68"/>
      <c r="BG18" s="68"/>
      <c r="BH18" s="68"/>
      <c r="BI18" s="68"/>
      <c r="BJ18" s="68"/>
      <c r="BK18" s="68"/>
    </row>
    <row r="19" spans="1:63" ht="15.6" x14ac:dyDescent="0.3">
      <c r="A19" s="157">
        <v>17</v>
      </c>
      <c r="B19" s="158" t="s">
        <v>456</v>
      </c>
      <c r="C19" s="157" t="s">
        <v>439</v>
      </c>
      <c r="D19" s="157">
        <v>214043</v>
      </c>
      <c r="E19" s="157">
        <v>2686</v>
      </c>
      <c r="F19" s="171">
        <v>51430</v>
      </c>
      <c r="G19" s="160" t="s">
        <v>437</v>
      </c>
      <c r="H19" s="171">
        <v>33548</v>
      </c>
      <c r="I19" s="171">
        <v>276</v>
      </c>
      <c r="J19" s="160" t="str">
        <f t="shared" si="0"/>
        <v>Tidak Tercapai</v>
      </c>
      <c r="K19" s="171">
        <v>0</v>
      </c>
      <c r="L19" s="171">
        <v>7</v>
      </c>
      <c r="M19" s="160" t="str">
        <f t="shared" si="1"/>
        <v>Tidak Tercapai</v>
      </c>
      <c r="N19" s="171">
        <v>3</v>
      </c>
      <c r="O19" s="157">
        <v>2198</v>
      </c>
      <c r="P19" s="160" t="str">
        <f t="shared" si="2"/>
        <v>Tidak Tercapai</v>
      </c>
      <c r="Q19" s="161">
        <v>27</v>
      </c>
      <c r="R19" s="157">
        <v>2327</v>
      </c>
      <c r="S19" s="162" t="str">
        <f t="shared" si="3"/>
        <v>Tidak Tercapai</v>
      </c>
      <c r="T19" s="161">
        <v>8</v>
      </c>
      <c r="U19" s="163">
        <v>2853</v>
      </c>
      <c r="V19" s="162" t="str">
        <f t="shared" si="4"/>
        <v>Tercapai</v>
      </c>
      <c r="W19" s="164">
        <v>24</v>
      </c>
      <c r="X19" s="172">
        <v>3093</v>
      </c>
      <c r="Y19" s="165" t="str">
        <f t="shared" si="5"/>
        <v>Tercapai</v>
      </c>
      <c r="Z19" s="166">
        <v>10</v>
      </c>
      <c r="AA19" s="167">
        <v>3621</v>
      </c>
      <c r="AB19" s="168" t="str">
        <f t="shared" si="6"/>
        <v>Tercapai</v>
      </c>
      <c r="AC19" s="167">
        <v>34</v>
      </c>
      <c r="AD19" s="173">
        <v>556</v>
      </c>
      <c r="AE19" s="168" t="str">
        <f t="shared" si="7"/>
        <v>Tidak Tercapai</v>
      </c>
      <c r="AF19" s="167">
        <v>2</v>
      </c>
      <c r="AG19" s="167">
        <v>0</v>
      </c>
      <c r="AH19" s="168" t="str">
        <f t="shared" si="8"/>
        <v>Tidak Tercapai</v>
      </c>
      <c r="AI19" s="167">
        <v>0</v>
      </c>
      <c r="AJ19" s="173">
        <v>1662</v>
      </c>
      <c r="AK19" s="168" t="str">
        <f t="shared" si="9"/>
        <v>Tidak Tercapai</v>
      </c>
      <c r="AL19" s="173">
        <v>20</v>
      </c>
      <c r="AM19" s="173">
        <v>1129</v>
      </c>
      <c r="AN19" s="168" t="str">
        <f t="shared" si="10"/>
        <v>Tidak Tercapai</v>
      </c>
      <c r="AO19" s="173">
        <v>8</v>
      </c>
      <c r="AP19" s="167">
        <v>3212</v>
      </c>
      <c r="AQ19" s="168" t="str">
        <f t="shared" si="11"/>
        <v>Tercapai</v>
      </c>
      <c r="AR19" s="167">
        <v>7</v>
      </c>
      <c r="AS19" s="167">
        <v>2177</v>
      </c>
      <c r="AT19" s="168" t="str">
        <f t="shared" si="12"/>
        <v>Tidak Tercapai</v>
      </c>
      <c r="AU19" s="167">
        <v>20</v>
      </c>
      <c r="AV19" s="159">
        <v>2161</v>
      </c>
      <c r="AW19" s="168" t="str">
        <f t="shared" si="13"/>
        <v>Tidak Tercapai</v>
      </c>
      <c r="AX19" s="167">
        <v>33</v>
      </c>
      <c r="AY19" s="167">
        <v>106</v>
      </c>
      <c r="AZ19" s="168" t="str">
        <f t="shared" si="14"/>
        <v>Tidak Tercapai</v>
      </c>
      <c r="BA19" s="167">
        <v>0</v>
      </c>
      <c r="BB19" s="170">
        <v>1008</v>
      </c>
      <c r="BC19" s="168" t="str">
        <f t="shared" si="15"/>
        <v>Tidak Tercapai</v>
      </c>
      <c r="BD19" s="167">
        <v>0</v>
      </c>
      <c r="BE19" s="68"/>
      <c r="BF19" s="68"/>
      <c r="BG19" s="68"/>
      <c r="BH19" s="68"/>
      <c r="BI19" s="68"/>
      <c r="BJ19" s="68"/>
      <c r="BK19" s="68"/>
    </row>
    <row r="20" spans="1:63" ht="15.6" x14ac:dyDescent="0.3">
      <c r="A20" s="157">
        <v>18</v>
      </c>
      <c r="B20" s="158" t="s">
        <v>457</v>
      </c>
      <c r="C20" s="157" t="s">
        <v>436</v>
      </c>
      <c r="D20" s="157">
        <v>201654</v>
      </c>
      <c r="E20" s="157">
        <v>2658</v>
      </c>
      <c r="F20" s="171">
        <v>62833</v>
      </c>
      <c r="G20" s="160" t="s">
        <v>437</v>
      </c>
      <c r="H20" s="171">
        <v>47865</v>
      </c>
      <c r="I20" s="171">
        <v>203</v>
      </c>
      <c r="J20" s="160" t="str">
        <f t="shared" si="0"/>
        <v>Tidak Tercapai</v>
      </c>
      <c r="K20" s="171">
        <v>77</v>
      </c>
      <c r="L20" s="171">
        <v>3</v>
      </c>
      <c r="M20" s="160" t="str">
        <f t="shared" si="1"/>
        <v>Tidak Tercapai</v>
      </c>
      <c r="N20" s="171">
        <v>0</v>
      </c>
      <c r="O20" s="157">
        <v>1117</v>
      </c>
      <c r="P20" s="160" t="str">
        <f t="shared" si="2"/>
        <v>Tidak Tercapai</v>
      </c>
      <c r="Q20" s="161">
        <v>284</v>
      </c>
      <c r="R20" s="157">
        <v>1205</v>
      </c>
      <c r="S20" s="162" t="str">
        <f t="shared" si="3"/>
        <v>Tidak Tercapai</v>
      </c>
      <c r="T20" s="161">
        <v>219</v>
      </c>
      <c r="U20" s="163">
        <v>1599</v>
      </c>
      <c r="V20" s="162" t="str">
        <f t="shared" si="4"/>
        <v>Tercapai</v>
      </c>
      <c r="W20" s="164">
        <v>279</v>
      </c>
      <c r="X20" s="172">
        <v>1912</v>
      </c>
      <c r="Y20" s="165" t="str">
        <f t="shared" si="5"/>
        <v>Tidak Tercapai</v>
      </c>
      <c r="Z20" s="166">
        <v>146</v>
      </c>
      <c r="AA20" s="167">
        <v>1967</v>
      </c>
      <c r="AB20" s="168" t="str">
        <f t="shared" si="6"/>
        <v>Tidak Tercapai</v>
      </c>
      <c r="AC20" s="167">
        <v>737</v>
      </c>
      <c r="AD20" s="173">
        <v>1387</v>
      </c>
      <c r="AE20" s="168" t="str">
        <f t="shared" si="7"/>
        <v>Tidak Tercapai</v>
      </c>
      <c r="AF20" s="167">
        <v>5</v>
      </c>
      <c r="AG20" s="167">
        <v>173</v>
      </c>
      <c r="AH20" s="168" t="str">
        <f t="shared" si="8"/>
        <v>Tidak Tercapai</v>
      </c>
      <c r="AI20" s="167">
        <v>12</v>
      </c>
      <c r="AJ20" s="173">
        <v>1675</v>
      </c>
      <c r="AK20" s="168" t="str">
        <f t="shared" si="9"/>
        <v>Tidak Tercapai</v>
      </c>
      <c r="AL20" s="173">
        <v>112</v>
      </c>
      <c r="AM20" s="173">
        <v>1373</v>
      </c>
      <c r="AN20" s="168" t="str">
        <f t="shared" si="10"/>
        <v>Tidak Tercapai</v>
      </c>
      <c r="AO20" s="173">
        <v>100</v>
      </c>
      <c r="AP20" s="167">
        <v>3477</v>
      </c>
      <c r="AQ20" s="168" t="str">
        <f t="shared" si="11"/>
        <v>Tercapai</v>
      </c>
      <c r="AR20" s="167">
        <v>861</v>
      </c>
      <c r="AS20" s="167">
        <v>2620</v>
      </c>
      <c r="AT20" s="168" t="str">
        <f t="shared" si="12"/>
        <v>Tidak Tercapai</v>
      </c>
      <c r="AU20" s="167">
        <v>158</v>
      </c>
      <c r="AV20" s="159">
        <v>3039</v>
      </c>
      <c r="AW20" s="168" t="str">
        <f t="shared" si="13"/>
        <v>Tercapai</v>
      </c>
      <c r="AX20" s="167">
        <v>226</v>
      </c>
      <c r="AY20" s="167">
        <v>700</v>
      </c>
      <c r="AZ20" s="168" t="str">
        <f t="shared" si="14"/>
        <v>Tidak Tercapai</v>
      </c>
      <c r="BA20" s="167">
        <v>11</v>
      </c>
      <c r="BB20" s="170">
        <v>8331</v>
      </c>
      <c r="BC20" s="168" t="str">
        <f t="shared" si="15"/>
        <v>Tercapai</v>
      </c>
      <c r="BD20" s="167">
        <v>0</v>
      </c>
      <c r="BE20" s="68"/>
      <c r="BF20" s="68"/>
      <c r="BG20" s="68"/>
      <c r="BH20" s="68"/>
      <c r="BI20" s="68"/>
      <c r="BJ20" s="68"/>
      <c r="BK20" s="68"/>
    </row>
    <row r="21" spans="1:63" ht="15.6" x14ac:dyDescent="0.3">
      <c r="A21" s="157">
        <v>19</v>
      </c>
      <c r="B21" s="158" t="s">
        <v>458</v>
      </c>
      <c r="C21" s="157" t="s">
        <v>439</v>
      </c>
      <c r="D21" s="157">
        <v>200360</v>
      </c>
      <c r="E21" s="157">
        <v>2565</v>
      </c>
      <c r="F21" s="171">
        <v>28635</v>
      </c>
      <c r="G21" s="160" t="s">
        <v>437</v>
      </c>
      <c r="H21" s="171">
        <v>16484</v>
      </c>
      <c r="I21" s="171">
        <v>165</v>
      </c>
      <c r="J21" s="160" t="str">
        <f t="shared" si="0"/>
        <v>Tidak Tercapai</v>
      </c>
      <c r="K21" s="171">
        <v>5</v>
      </c>
      <c r="L21" s="171">
        <v>0</v>
      </c>
      <c r="M21" s="160" t="str">
        <f t="shared" si="1"/>
        <v>Tidak Tercapai</v>
      </c>
      <c r="N21" s="171">
        <v>0</v>
      </c>
      <c r="O21" s="157">
        <v>1611</v>
      </c>
      <c r="P21" s="160" t="str">
        <f t="shared" si="2"/>
        <v>Tidak Tercapai</v>
      </c>
      <c r="Q21" s="161">
        <v>15</v>
      </c>
      <c r="R21" s="157">
        <v>1984</v>
      </c>
      <c r="S21" s="162" t="str">
        <f t="shared" si="3"/>
        <v>Tidak Tercapai</v>
      </c>
      <c r="T21" s="161">
        <v>13</v>
      </c>
      <c r="U21" s="163">
        <v>2233</v>
      </c>
      <c r="V21" s="162" t="str">
        <f t="shared" si="4"/>
        <v>Tercapai</v>
      </c>
      <c r="W21" s="164">
        <v>21</v>
      </c>
      <c r="X21" s="172">
        <v>1310</v>
      </c>
      <c r="Y21" s="165" t="str">
        <f t="shared" si="5"/>
        <v>Tidak Tercapai</v>
      </c>
      <c r="Z21" s="166">
        <v>26</v>
      </c>
      <c r="AA21" s="167">
        <v>1954</v>
      </c>
      <c r="AB21" s="168" t="str">
        <f t="shared" si="6"/>
        <v>Tidak Tercapai</v>
      </c>
      <c r="AC21" s="167">
        <v>28</v>
      </c>
      <c r="AD21" s="173">
        <v>481</v>
      </c>
      <c r="AE21" s="168" t="str">
        <f t="shared" si="7"/>
        <v>Tidak Tercapai</v>
      </c>
      <c r="AF21" s="167">
        <v>12</v>
      </c>
      <c r="AG21" s="167">
        <v>337</v>
      </c>
      <c r="AH21" s="168" t="str">
        <f t="shared" si="8"/>
        <v>Tidak Tercapai</v>
      </c>
      <c r="AI21" s="167">
        <v>1</v>
      </c>
      <c r="AJ21" s="173">
        <v>1937</v>
      </c>
      <c r="AK21" s="168" t="str">
        <f t="shared" si="9"/>
        <v>Tidak Tercapai</v>
      </c>
      <c r="AL21" s="173">
        <v>27</v>
      </c>
      <c r="AM21" s="173">
        <v>1141</v>
      </c>
      <c r="AN21" s="168" t="str">
        <f t="shared" si="10"/>
        <v>Tidak Tercapai</v>
      </c>
      <c r="AO21" s="173">
        <v>30</v>
      </c>
      <c r="AP21" s="167">
        <v>3565</v>
      </c>
      <c r="AQ21" s="168" t="str">
        <f t="shared" si="11"/>
        <v>Tercapai</v>
      </c>
      <c r="AR21" s="167">
        <v>18</v>
      </c>
      <c r="AS21" s="167">
        <v>2236</v>
      </c>
      <c r="AT21" s="168" t="str">
        <f t="shared" si="12"/>
        <v>Tidak Tercapai</v>
      </c>
      <c r="AU21" s="167">
        <v>18</v>
      </c>
      <c r="AV21" s="159">
        <v>2713</v>
      </c>
      <c r="AW21" s="168" t="str">
        <f t="shared" si="13"/>
        <v>Tercapai</v>
      </c>
      <c r="AX21" s="167">
        <v>18</v>
      </c>
      <c r="AY21" s="167">
        <v>597</v>
      </c>
      <c r="AZ21" s="168" t="str">
        <f t="shared" si="14"/>
        <v>Tidak Tercapai</v>
      </c>
      <c r="BA21" s="167">
        <v>12</v>
      </c>
      <c r="BB21" s="170">
        <v>0</v>
      </c>
      <c r="BC21" s="168" t="str">
        <f t="shared" si="15"/>
        <v>Tidak Tercapai</v>
      </c>
      <c r="BD21" s="167">
        <v>2</v>
      </c>
      <c r="BE21" s="68"/>
      <c r="BF21" s="68"/>
      <c r="BG21" s="68"/>
      <c r="BH21" s="68"/>
      <c r="BI21" s="68"/>
      <c r="BJ21" s="68"/>
      <c r="BK21" s="68"/>
    </row>
    <row r="22" spans="1:63" ht="15.6" x14ac:dyDescent="0.3">
      <c r="A22" s="157">
        <v>20</v>
      </c>
      <c r="B22" s="158" t="s">
        <v>459</v>
      </c>
      <c r="C22" s="157" t="s">
        <v>446</v>
      </c>
      <c r="D22" s="157">
        <v>185969</v>
      </c>
      <c r="E22" s="157">
        <v>2378</v>
      </c>
      <c r="F22" s="171">
        <v>31145</v>
      </c>
      <c r="G22" s="160" t="s">
        <v>437</v>
      </c>
      <c r="H22" s="171">
        <v>19138</v>
      </c>
      <c r="I22" s="171">
        <v>16</v>
      </c>
      <c r="J22" s="160" t="str">
        <f t="shared" si="0"/>
        <v>Tidak Tercapai</v>
      </c>
      <c r="K22" s="171">
        <v>2</v>
      </c>
      <c r="L22" s="171">
        <v>0</v>
      </c>
      <c r="M22" s="160" t="str">
        <f t="shared" si="1"/>
        <v>Tidak Tercapai</v>
      </c>
      <c r="N22" s="171">
        <v>1</v>
      </c>
      <c r="O22" s="157">
        <v>1100</v>
      </c>
      <c r="P22" s="160" t="str">
        <f t="shared" si="2"/>
        <v>Tidak Tercapai</v>
      </c>
      <c r="Q22" s="161">
        <v>62</v>
      </c>
      <c r="R22" s="157">
        <v>1442</v>
      </c>
      <c r="S22" s="162" t="str">
        <f t="shared" si="3"/>
        <v>Tidak Tercapai</v>
      </c>
      <c r="T22" s="161">
        <v>40</v>
      </c>
      <c r="U22" s="163">
        <v>1430</v>
      </c>
      <c r="V22" s="162" t="str">
        <f t="shared" si="4"/>
        <v>Tidak Tercapai</v>
      </c>
      <c r="W22" s="164">
        <v>24</v>
      </c>
      <c r="X22" s="172">
        <v>1397</v>
      </c>
      <c r="Y22" s="165" t="str">
        <f t="shared" si="5"/>
        <v>Tidak Tercapai</v>
      </c>
      <c r="Z22" s="166">
        <v>21</v>
      </c>
      <c r="AA22" s="167">
        <v>1674</v>
      </c>
      <c r="AB22" s="168" t="str">
        <f t="shared" si="6"/>
        <v>Tidak Tercapai</v>
      </c>
      <c r="AC22" s="167">
        <v>24</v>
      </c>
      <c r="AD22" s="173">
        <v>567</v>
      </c>
      <c r="AE22" s="168" t="str">
        <f t="shared" si="7"/>
        <v>Tidak Tercapai</v>
      </c>
      <c r="AF22" s="167">
        <v>1</v>
      </c>
      <c r="AG22" s="167">
        <v>88</v>
      </c>
      <c r="AH22" s="168" t="str">
        <f t="shared" si="8"/>
        <v>Tidak Tercapai</v>
      </c>
      <c r="AI22" s="167">
        <v>0</v>
      </c>
      <c r="AJ22" s="173">
        <v>2686</v>
      </c>
      <c r="AK22" s="168" t="str">
        <f t="shared" si="9"/>
        <v>Tercapai</v>
      </c>
      <c r="AL22" s="173">
        <v>46</v>
      </c>
      <c r="AM22" s="173">
        <v>954</v>
      </c>
      <c r="AN22" s="168" t="str">
        <f t="shared" si="10"/>
        <v>Tidak Tercapai</v>
      </c>
      <c r="AO22" s="173">
        <v>27</v>
      </c>
      <c r="AP22" s="167">
        <v>2528</v>
      </c>
      <c r="AQ22" s="168" t="str">
        <f t="shared" si="11"/>
        <v>Tercapai</v>
      </c>
      <c r="AR22" s="167">
        <v>13</v>
      </c>
      <c r="AS22" s="167">
        <v>2650</v>
      </c>
      <c r="AT22" s="168" t="str">
        <f t="shared" si="12"/>
        <v>Tercapai</v>
      </c>
      <c r="AU22" s="167">
        <v>27</v>
      </c>
      <c r="AV22" s="159">
        <v>2317</v>
      </c>
      <c r="AW22" s="168" t="str">
        <f t="shared" si="13"/>
        <v>Tidak Tercapai</v>
      </c>
      <c r="AX22" s="167">
        <v>56</v>
      </c>
      <c r="AY22" s="167">
        <v>579</v>
      </c>
      <c r="AZ22" s="168" t="str">
        <f t="shared" si="14"/>
        <v>Tidak Tercapai</v>
      </c>
      <c r="BA22" s="167">
        <v>7</v>
      </c>
      <c r="BB22" s="170">
        <v>1</v>
      </c>
      <c r="BC22" s="168" t="str">
        <f t="shared" si="15"/>
        <v>Tidak Tercapai</v>
      </c>
      <c r="BD22" s="167">
        <v>0</v>
      </c>
      <c r="BE22" s="68"/>
      <c r="BF22" s="68"/>
      <c r="BG22" s="68"/>
      <c r="BH22" s="68"/>
      <c r="BI22" s="68"/>
      <c r="BJ22" s="68"/>
      <c r="BK22" s="68"/>
    </row>
    <row r="23" spans="1:63" ht="15.6" x14ac:dyDescent="0.3">
      <c r="A23" s="157">
        <v>21</v>
      </c>
      <c r="B23" s="158" t="s">
        <v>460</v>
      </c>
      <c r="C23" s="157" t="s">
        <v>461</v>
      </c>
      <c r="D23" s="157">
        <v>188682</v>
      </c>
      <c r="E23" s="157">
        <v>2364</v>
      </c>
      <c r="F23" s="171">
        <v>85087</v>
      </c>
      <c r="G23" s="160" t="s">
        <v>437</v>
      </c>
      <c r="H23" s="171">
        <v>53498</v>
      </c>
      <c r="I23" s="171">
        <v>969</v>
      </c>
      <c r="J23" s="160" t="str">
        <f t="shared" si="0"/>
        <v>Tidak Tercapai</v>
      </c>
      <c r="K23" s="171">
        <v>1</v>
      </c>
      <c r="L23" s="171">
        <v>0</v>
      </c>
      <c r="M23" s="160" t="str">
        <f t="shared" si="1"/>
        <v>Tidak Tercapai</v>
      </c>
      <c r="N23" s="171">
        <v>2</v>
      </c>
      <c r="O23" s="157">
        <v>2873</v>
      </c>
      <c r="P23" s="160" t="str">
        <f t="shared" si="2"/>
        <v>Tercapai</v>
      </c>
      <c r="Q23" s="161">
        <v>10</v>
      </c>
      <c r="R23" s="172">
        <v>3229</v>
      </c>
      <c r="S23" s="162" t="str">
        <f t="shared" si="3"/>
        <v>Tercapai</v>
      </c>
      <c r="T23" s="161">
        <v>11</v>
      </c>
      <c r="U23" s="163">
        <v>3483</v>
      </c>
      <c r="V23" s="162" t="str">
        <f t="shared" si="4"/>
        <v>Tercapai</v>
      </c>
      <c r="W23" s="164">
        <v>20</v>
      </c>
      <c r="X23" s="172">
        <v>3229</v>
      </c>
      <c r="Y23" s="165" t="str">
        <f t="shared" si="5"/>
        <v>Tercapai</v>
      </c>
      <c r="Z23" s="166">
        <v>15</v>
      </c>
      <c r="AA23" s="167">
        <v>4363</v>
      </c>
      <c r="AB23" s="168" t="str">
        <f t="shared" si="6"/>
        <v>Tercapai</v>
      </c>
      <c r="AC23" s="167">
        <v>23</v>
      </c>
      <c r="AD23" s="173">
        <v>1861</v>
      </c>
      <c r="AE23" s="168" t="str">
        <f t="shared" si="7"/>
        <v>Tidak Tercapai</v>
      </c>
      <c r="AF23" s="167">
        <v>1</v>
      </c>
      <c r="AG23" s="167">
        <v>167</v>
      </c>
      <c r="AH23" s="168" t="str">
        <f t="shared" si="8"/>
        <v>Tidak Tercapai</v>
      </c>
      <c r="AI23" s="167">
        <v>1</v>
      </c>
      <c r="AJ23" s="173">
        <v>4894</v>
      </c>
      <c r="AK23" s="168" t="str">
        <f t="shared" si="9"/>
        <v>Tercapai</v>
      </c>
      <c r="AL23" s="173">
        <v>8</v>
      </c>
      <c r="AM23" s="173">
        <v>2858</v>
      </c>
      <c r="AN23" s="168" t="str">
        <f t="shared" si="10"/>
        <v>Tercapai</v>
      </c>
      <c r="AO23" s="173">
        <v>77</v>
      </c>
      <c r="AP23" s="167">
        <v>6604</v>
      </c>
      <c r="AQ23" s="168" t="str">
        <f t="shared" si="11"/>
        <v>Tercapai</v>
      </c>
      <c r="AR23" s="167">
        <v>13</v>
      </c>
      <c r="AS23" s="167">
        <v>5297</v>
      </c>
      <c r="AT23" s="168" t="str">
        <f t="shared" si="12"/>
        <v>Tercapai</v>
      </c>
      <c r="AU23" s="167">
        <v>1</v>
      </c>
      <c r="AV23" s="159">
        <v>5841</v>
      </c>
      <c r="AW23" s="168" t="str">
        <f t="shared" si="13"/>
        <v>Tercapai</v>
      </c>
      <c r="AX23" s="167">
        <v>8</v>
      </c>
      <c r="AY23" s="167">
        <v>2481</v>
      </c>
      <c r="AZ23" s="168" t="str">
        <f t="shared" si="14"/>
        <v>Tercapai</v>
      </c>
      <c r="BA23" s="167">
        <v>3</v>
      </c>
      <c r="BB23" s="170">
        <v>549</v>
      </c>
      <c r="BC23" s="168" t="str">
        <f t="shared" si="15"/>
        <v>Tidak Tercapai</v>
      </c>
      <c r="BD23" s="167">
        <v>2</v>
      </c>
      <c r="BE23" s="68"/>
      <c r="BF23" s="68"/>
      <c r="BG23" s="68"/>
      <c r="BH23" s="68"/>
      <c r="BI23" s="68"/>
      <c r="BJ23" s="68"/>
      <c r="BK23" s="68"/>
    </row>
    <row r="24" spans="1:63" ht="15.6" x14ac:dyDescent="0.3">
      <c r="A24" s="157">
        <v>22</v>
      </c>
      <c r="B24" s="158" t="s">
        <v>462</v>
      </c>
      <c r="C24" s="157" t="s">
        <v>446</v>
      </c>
      <c r="D24" s="157">
        <v>176385</v>
      </c>
      <c r="E24" s="157">
        <v>2177</v>
      </c>
      <c r="F24" s="171">
        <v>45813</v>
      </c>
      <c r="G24" s="160" t="s">
        <v>437</v>
      </c>
      <c r="H24" s="171">
        <v>28089</v>
      </c>
      <c r="I24" s="171">
        <v>1188</v>
      </c>
      <c r="J24" s="160" t="str">
        <f t="shared" si="0"/>
        <v>Tidak Tercapai</v>
      </c>
      <c r="K24" s="171">
        <v>1</v>
      </c>
      <c r="L24" s="171">
        <v>0</v>
      </c>
      <c r="M24" s="160" t="str">
        <f t="shared" si="1"/>
        <v>Tidak Tercapai</v>
      </c>
      <c r="N24" s="171">
        <v>1</v>
      </c>
      <c r="O24" s="157">
        <v>1598</v>
      </c>
      <c r="P24" s="160" t="str">
        <f t="shared" si="2"/>
        <v>Tidak Tercapai</v>
      </c>
      <c r="Q24" s="161">
        <v>5</v>
      </c>
      <c r="R24" s="157">
        <v>1729</v>
      </c>
      <c r="S24" s="162" t="str">
        <f t="shared" si="3"/>
        <v>Tidak Tercapai</v>
      </c>
      <c r="T24" s="161">
        <v>7</v>
      </c>
      <c r="U24" s="163">
        <v>1922</v>
      </c>
      <c r="V24" s="162" t="str">
        <f t="shared" si="4"/>
        <v>Tercapai</v>
      </c>
      <c r="W24" s="164">
        <v>26</v>
      </c>
      <c r="X24" s="172">
        <v>1756</v>
      </c>
      <c r="Y24" s="165" t="str">
        <f t="shared" si="5"/>
        <v>Tidak Tercapai</v>
      </c>
      <c r="Z24" s="166">
        <v>31</v>
      </c>
      <c r="AA24" s="167">
        <v>2341</v>
      </c>
      <c r="AB24" s="168" t="str">
        <f t="shared" si="6"/>
        <v>Tercapai</v>
      </c>
      <c r="AC24" s="167">
        <v>39</v>
      </c>
      <c r="AD24" s="173">
        <v>139</v>
      </c>
      <c r="AE24" s="168" t="str">
        <f t="shared" si="7"/>
        <v>Tidak Tercapai</v>
      </c>
      <c r="AF24" s="167">
        <v>0</v>
      </c>
      <c r="AG24" s="167">
        <v>0</v>
      </c>
      <c r="AH24" s="168" t="str">
        <f t="shared" si="8"/>
        <v>Tidak Tercapai</v>
      </c>
      <c r="AI24" s="167">
        <v>0</v>
      </c>
      <c r="AJ24" s="173">
        <v>3024</v>
      </c>
      <c r="AK24" s="168" t="str">
        <f t="shared" si="9"/>
        <v>Tercapai</v>
      </c>
      <c r="AL24" s="173">
        <v>18</v>
      </c>
      <c r="AM24" s="173">
        <v>2648</v>
      </c>
      <c r="AN24" s="168" t="str">
        <f t="shared" si="10"/>
        <v>Tercapai</v>
      </c>
      <c r="AO24" s="173">
        <v>29</v>
      </c>
      <c r="AP24" s="167">
        <v>3192</v>
      </c>
      <c r="AQ24" s="168" t="str">
        <f t="shared" si="11"/>
        <v>Tercapai</v>
      </c>
      <c r="AR24" s="167">
        <v>35</v>
      </c>
      <c r="AS24" s="167">
        <v>2395</v>
      </c>
      <c r="AT24" s="168" t="str">
        <f t="shared" si="12"/>
        <v>Tercapai</v>
      </c>
      <c r="AU24" s="167">
        <v>14</v>
      </c>
      <c r="AV24" s="159">
        <v>2594</v>
      </c>
      <c r="AW24" s="168" t="str">
        <f t="shared" si="13"/>
        <v>Tercapai</v>
      </c>
      <c r="AX24" s="167">
        <v>34</v>
      </c>
      <c r="AY24" s="167">
        <v>699</v>
      </c>
      <c r="AZ24" s="168" t="str">
        <f t="shared" si="14"/>
        <v>Tidak Tercapai</v>
      </c>
      <c r="BA24" s="167">
        <v>0</v>
      </c>
      <c r="BB24" s="170">
        <v>0</v>
      </c>
      <c r="BC24" s="168" t="str">
        <f t="shared" si="15"/>
        <v>Tidak Tercapai</v>
      </c>
      <c r="BD24" s="167">
        <v>0</v>
      </c>
      <c r="BE24" s="68"/>
      <c r="BF24" s="68"/>
      <c r="BG24" s="68"/>
      <c r="BH24" s="68"/>
      <c r="BI24" s="68"/>
      <c r="BJ24" s="68"/>
      <c r="BK24" s="68"/>
    </row>
    <row r="25" spans="1:63" ht="15.6" x14ac:dyDescent="0.3">
      <c r="A25" s="157">
        <v>23</v>
      </c>
      <c r="B25" s="158" t="s">
        <v>463</v>
      </c>
      <c r="C25" s="157" t="s">
        <v>439</v>
      </c>
      <c r="D25" s="157">
        <v>178891</v>
      </c>
      <c r="E25" s="157">
        <v>2095</v>
      </c>
      <c r="F25" s="171">
        <v>93121</v>
      </c>
      <c r="G25" s="160" t="s">
        <v>437</v>
      </c>
      <c r="H25" s="171">
        <v>37259</v>
      </c>
      <c r="I25" s="171">
        <v>842</v>
      </c>
      <c r="J25" s="160" t="str">
        <f t="shared" si="0"/>
        <v>Tidak Tercapai</v>
      </c>
      <c r="K25" s="171">
        <v>199</v>
      </c>
      <c r="L25" s="171">
        <v>0</v>
      </c>
      <c r="M25" s="160" t="str">
        <f t="shared" si="1"/>
        <v>Tidak Tercapai</v>
      </c>
      <c r="N25" s="171">
        <v>0</v>
      </c>
      <c r="O25" s="157">
        <v>4135</v>
      </c>
      <c r="P25" s="160" t="str">
        <f t="shared" si="2"/>
        <v>Tercapai</v>
      </c>
      <c r="Q25" s="161">
        <v>243</v>
      </c>
      <c r="R25" s="157">
        <v>2944</v>
      </c>
      <c r="S25" s="162" t="str">
        <f t="shared" si="3"/>
        <v>Tercapai</v>
      </c>
      <c r="T25" s="161">
        <v>45</v>
      </c>
      <c r="U25" s="163">
        <v>3027</v>
      </c>
      <c r="V25" s="162" t="str">
        <f t="shared" si="4"/>
        <v>Tercapai</v>
      </c>
      <c r="W25" s="164">
        <v>42</v>
      </c>
      <c r="X25" s="172">
        <v>2849</v>
      </c>
      <c r="Y25" s="165" t="str">
        <f t="shared" si="5"/>
        <v>Tercapai</v>
      </c>
      <c r="Z25" s="166">
        <v>34</v>
      </c>
      <c r="AA25" s="167">
        <v>4070</v>
      </c>
      <c r="AB25" s="168" t="str">
        <f t="shared" si="6"/>
        <v>Tercapai</v>
      </c>
      <c r="AC25" s="167">
        <v>35</v>
      </c>
      <c r="AD25" s="173">
        <v>1428</v>
      </c>
      <c r="AE25" s="168" t="str">
        <f t="shared" si="7"/>
        <v>Tidak Tercapai</v>
      </c>
      <c r="AF25" s="167">
        <v>15</v>
      </c>
      <c r="AG25" s="167">
        <v>1300</v>
      </c>
      <c r="AH25" s="168" t="str">
        <f t="shared" si="8"/>
        <v>Tidak Tercapai</v>
      </c>
      <c r="AI25" s="167">
        <v>3</v>
      </c>
      <c r="AJ25" s="173">
        <v>3545</v>
      </c>
      <c r="AK25" s="168" t="str">
        <f t="shared" si="9"/>
        <v>Tercapai</v>
      </c>
      <c r="AL25" s="173">
        <v>23</v>
      </c>
      <c r="AM25" s="173">
        <v>2666</v>
      </c>
      <c r="AN25" s="168" t="str">
        <f t="shared" si="10"/>
        <v>Tercapai</v>
      </c>
      <c r="AO25" s="173">
        <v>28</v>
      </c>
      <c r="AP25" s="167">
        <v>4860</v>
      </c>
      <c r="AQ25" s="168" t="str">
        <f t="shared" si="11"/>
        <v>Tercapai</v>
      </c>
      <c r="AR25" s="167">
        <v>29</v>
      </c>
      <c r="AS25" s="167">
        <v>3584</v>
      </c>
      <c r="AT25" s="168" t="str">
        <f t="shared" si="12"/>
        <v>Tercapai</v>
      </c>
      <c r="AU25" s="167">
        <v>21</v>
      </c>
      <c r="AV25" s="159">
        <v>4161</v>
      </c>
      <c r="AW25" s="168" t="str">
        <f t="shared" si="13"/>
        <v>Tercapai</v>
      </c>
      <c r="AX25" s="167">
        <v>87</v>
      </c>
      <c r="AY25" s="167">
        <v>2524</v>
      </c>
      <c r="AZ25" s="168" t="str">
        <f t="shared" si="14"/>
        <v>Tercapai</v>
      </c>
      <c r="BA25" s="167">
        <v>11</v>
      </c>
      <c r="BB25" s="170">
        <v>47</v>
      </c>
      <c r="BC25" s="168" t="str">
        <f t="shared" si="15"/>
        <v>Tidak Tercapai</v>
      </c>
      <c r="BD25" s="167">
        <v>10</v>
      </c>
      <c r="BE25" s="68"/>
      <c r="BF25" s="68"/>
      <c r="BG25" s="68"/>
      <c r="BH25" s="68"/>
      <c r="BI25" s="68"/>
      <c r="BJ25" s="68"/>
      <c r="BK25" s="68"/>
    </row>
    <row r="26" spans="1:63" ht="15.6" x14ac:dyDescent="0.3">
      <c r="A26" s="157">
        <v>24</v>
      </c>
      <c r="B26" s="158" t="s">
        <v>464</v>
      </c>
      <c r="C26" s="157" t="s">
        <v>439</v>
      </c>
      <c r="D26" s="157">
        <v>166705</v>
      </c>
      <c r="E26" s="157">
        <v>2077</v>
      </c>
      <c r="F26" s="171">
        <v>45162</v>
      </c>
      <c r="G26" s="160" t="s">
        <v>437</v>
      </c>
      <c r="H26" s="171">
        <v>156991</v>
      </c>
      <c r="I26" s="171">
        <v>520</v>
      </c>
      <c r="J26" s="160" t="str">
        <f t="shared" si="0"/>
        <v>Tidak Tercapai</v>
      </c>
      <c r="K26" s="171">
        <v>10</v>
      </c>
      <c r="L26" s="171">
        <v>0</v>
      </c>
      <c r="M26" s="160" t="str">
        <f t="shared" si="1"/>
        <v>Tidak Tercapai</v>
      </c>
      <c r="N26" s="171">
        <v>0</v>
      </c>
      <c r="O26" s="157">
        <v>2176</v>
      </c>
      <c r="P26" s="160" t="str">
        <f t="shared" si="2"/>
        <v>Tercapai</v>
      </c>
      <c r="Q26" s="161">
        <v>44</v>
      </c>
      <c r="R26" s="157">
        <v>2510</v>
      </c>
      <c r="S26" s="162" t="str">
        <f t="shared" si="3"/>
        <v>Tercapai</v>
      </c>
      <c r="T26" s="161">
        <v>2</v>
      </c>
      <c r="U26" s="163">
        <v>3222</v>
      </c>
      <c r="V26" s="162" t="str">
        <f t="shared" si="4"/>
        <v>Tercapai</v>
      </c>
      <c r="W26" s="164">
        <v>74</v>
      </c>
      <c r="X26" s="172">
        <v>3049</v>
      </c>
      <c r="Y26" s="165" t="str">
        <f t="shared" si="5"/>
        <v>Tercapai</v>
      </c>
      <c r="Z26" s="166">
        <v>476</v>
      </c>
      <c r="AA26" s="167">
        <v>3447</v>
      </c>
      <c r="AB26" s="168" t="str">
        <f t="shared" si="6"/>
        <v>Tercapai</v>
      </c>
      <c r="AC26" s="167">
        <v>47</v>
      </c>
      <c r="AD26" s="173">
        <v>853</v>
      </c>
      <c r="AE26" s="168" t="str">
        <f t="shared" si="7"/>
        <v>Tidak Tercapai</v>
      </c>
      <c r="AF26" s="167">
        <v>7</v>
      </c>
      <c r="AG26" s="167">
        <v>1713</v>
      </c>
      <c r="AH26" s="168" t="str">
        <f t="shared" si="8"/>
        <v>Tidak Tercapai</v>
      </c>
      <c r="AI26" s="167">
        <v>0</v>
      </c>
      <c r="AJ26" s="173">
        <v>3306</v>
      </c>
      <c r="AK26" s="168" t="str">
        <f t="shared" si="9"/>
        <v>Tercapai</v>
      </c>
      <c r="AL26" s="173">
        <v>32</v>
      </c>
      <c r="AM26" s="173">
        <v>1854</v>
      </c>
      <c r="AN26" s="168" t="str">
        <f t="shared" si="10"/>
        <v>Tidak Tercapai</v>
      </c>
      <c r="AO26" s="173">
        <v>55</v>
      </c>
      <c r="AP26" s="167">
        <v>4083</v>
      </c>
      <c r="AQ26" s="168" t="str">
        <f t="shared" si="11"/>
        <v>Tercapai</v>
      </c>
      <c r="AR26" s="167">
        <v>42</v>
      </c>
      <c r="AS26" s="167">
        <v>2221</v>
      </c>
      <c r="AT26" s="168" t="str">
        <f t="shared" si="12"/>
        <v>Tercapai</v>
      </c>
      <c r="AU26" s="167">
        <v>3</v>
      </c>
      <c r="AV26" s="159">
        <v>2274</v>
      </c>
      <c r="AW26" s="168" t="str">
        <f t="shared" si="13"/>
        <v>Tercapai</v>
      </c>
      <c r="AX26" s="167">
        <v>22</v>
      </c>
      <c r="AY26" s="167">
        <v>719</v>
      </c>
      <c r="AZ26" s="168" t="str">
        <f t="shared" si="14"/>
        <v>Tidak Tercapai</v>
      </c>
      <c r="BA26" s="167">
        <v>17</v>
      </c>
      <c r="BB26" s="170">
        <v>44</v>
      </c>
      <c r="BC26" s="168" t="str">
        <f t="shared" si="15"/>
        <v>Tidak Tercapai</v>
      </c>
      <c r="BD26" s="167">
        <v>0</v>
      </c>
      <c r="BE26" s="68"/>
      <c r="BF26" s="68"/>
      <c r="BG26" s="68"/>
      <c r="BH26" s="68"/>
      <c r="BI26" s="68"/>
      <c r="BJ26" s="68"/>
      <c r="BK26" s="68"/>
    </row>
    <row r="27" spans="1:63" ht="15.6" x14ac:dyDescent="0.3">
      <c r="A27" s="157">
        <v>25</v>
      </c>
      <c r="B27" s="158" t="s">
        <v>465</v>
      </c>
      <c r="C27" s="157" t="s">
        <v>436</v>
      </c>
      <c r="D27" s="157">
        <v>164381</v>
      </c>
      <c r="E27" s="157">
        <v>2071</v>
      </c>
      <c r="F27" s="171">
        <v>31829</v>
      </c>
      <c r="G27" s="160" t="s">
        <v>437</v>
      </c>
      <c r="H27" s="171">
        <v>21996</v>
      </c>
      <c r="I27" s="171">
        <v>157</v>
      </c>
      <c r="J27" s="160" t="str">
        <f t="shared" si="0"/>
        <v>Tidak Tercapai</v>
      </c>
      <c r="K27" s="171">
        <v>1</v>
      </c>
      <c r="L27" s="171">
        <v>0</v>
      </c>
      <c r="M27" s="160" t="str">
        <f t="shared" si="1"/>
        <v>Tidak Tercapai</v>
      </c>
      <c r="N27" s="171">
        <v>0</v>
      </c>
      <c r="O27" s="157">
        <v>652</v>
      </c>
      <c r="P27" s="160" t="str">
        <f t="shared" si="2"/>
        <v>Tidak Tercapai</v>
      </c>
      <c r="Q27" s="161">
        <v>38</v>
      </c>
      <c r="R27" s="157">
        <v>977</v>
      </c>
      <c r="S27" s="162" t="str">
        <f t="shared" si="3"/>
        <v>Tidak Tercapai</v>
      </c>
      <c r="T27" s="161">
        <v>37</v>
      </c>
      <c r="U27" s="163">
        <v>835</v>
      </c>
      <c r="V27" s="162" t="str">
        <f t="shared" si="4"/>
        <v>Tidak Tercapai</v>
      </c>
      <c r="W27" s="164">
        <v>35</v>
      </c>
      <c r="X27" s="172">
        <v>1079</v>
      </c>
      <c r="Y27" s="165" t="str">
        <f t="shared" si="5"/>
        <v>Tidak Tercapai</v>
      </c>
      <c r="Z27" s="166">
        <v>64</v>
      </c>
      <c r="AA27" s="167">
        <v>1631</v>
      </c>
      <c r="AB27" s="168" t="str">
        <f t="shared" si="6"/>
        <v>Tidak Tercapai</v>
      </c>
      <c r="AC27" s="167">
        <v>47</v>
      </c>
      <c r="AD27" s="173">
        <v>1245</v>
      </c>
      <c r="AE27" s="168" t="str">
        <f t="shared" si="7"/>
        <v>Tidak Tercapai</v>
      </c>
      <c r="AF27" s="167">
        <v>4</v>
      </c>
      <c r="AG27" s="167">
        <v>316</v>
      </c>
      <c r="AH27" s="168" t="str">
        <f t="shared" si="8"/>
        <v>Tidak Tercapai</v>
      </c>
      <c r="AI27" s="167">
        <v>0</v>
      </c>
      <c r="AJ27" s="173">
        <v>2387</v>
      </c>
      <c r="AK27" s="168" t="str">
        <f t="shared" si="9"/>
        <v>Tercapai</v>
      </c>
      <c r="AL27" s="173">
        <v>49</v>
      </c>
      <c r="AM27" s="173">
        <v>815</v>
      </c>
      <c r="AN27" s="168" t="str">
        <f t="shared" si="10"/>
        <v>Tidak Tercapai</v>
      </c>
      <c r="AO27" s="173">
        <v>55</v>
      </c>
      <c r="AP27" s="167">
        <v>3072</v>
      </c>
      <c r="AQ27" s="168" t="str">
        <f t="shared" si="11"/>
        <v>Tercapai</v>
      </c>
      <c r="AR27" s="167">
        <v>23</v>
      </c>
      <c r="AS27" s="167">
        <v>2320</v>
      </c>
      <c r="AT27" s="168" t="str">
        <f t="shared" si="12"/>
        <v>Tercapai</v>
      </c>
      <c r="AU27" s="167">
        <v>18</v>
      </c>
      <c r="AV27" s="159">
        <v>2026</v>
      </c>
      <c r="AW27" s="168" t="str">
        <f t="shared" si="13"/>
        <v>Tidak Tercapai</v>
      </c>
      <c r="AX27" s="167">
        <v>24</v>
      </c>
      <c r="AY27" s="167">
        <v>1351</v>
      </c>
      <c r="AZ27" s="168" t="str">
        <f t="shared" si="14"/>
        <v>Tidak Tercapai</v>
      </c>
      <c r="BA27" s="167">
        <v>1</v>
      </c>
      <c r="BB27" s="170">
        <v>1</v>
      </c>
      <c r="BC27" s="168" t="str">
        <f t="shared" si="15"/>
        <v>Tidak Tercapai</v>
      </c>
      <c r="BD27" s="167">
        <v>1</v>
      </c>
      <c r="BE27" s="68"/>
      <c r="BF27" s="68"/>
      <c r="BG27" s="68"/>
      <c r="BH27" s="68"/>
      <c r="BI27" s="68"/>
      <c r="BJ27" s="68"/>
      <c r="BK27" s="68"/>
    </row>
    <row r="28" spans="1:63" ht="15.6" x14ac:dyDescent="0.3">
      <c r="A28" s="157">
        <v>26</v>
      </c>
      <c r="B28" s="158" t="s">
        <v>466</v>
      </c>
      <c r="C28" s="157" t="s">
        <v>446</v>
      </c>
      <c r="D28" s="157">
        <v>163026</v>
      </c>
      <c r="E28" s="157">
        <v>2047</v>
      </c>
      <c r="F28" s="159">
        <v>54250</v>
      </c>
      <c r="G28" s="160" t="s">
        <v>437</v>
      </c>
      <c r="H28" s="159">
        <v>38481</v>
      </c>
      <c r="I28" s="159">
        <v>48</v>
      </c>
      <c r="J28" s="160" t="str">
        <f t="shared" si="0"/>
        <v>Tidak Tercapai</v>
      </c>
      <c r="K28" s="159">
        <v>4</v>
      </c>
      <c r="L28" s="159">
        <v>1</v>
      </c>
      <c r="M28" s="160" t="str">
        <f t="shared" si="1"/>
        <v>Tidak Tercapai</v>
      </c>
      <c r="N28" s="159">
        <v>0</v>
      </c>
      <c r="O28" s="157">
        <v>1380</v>
      </c>
      <c r="P28" s="160" t="str">
        <f t="shared" si="2"/>
        <v>Tidak Tercapai</v>
      </c>
      <c r="Q28" s="161">
        <v>15</v>
      </c>
      <c r="R28" s="157">
        <v>2144</v>
      </c>
      <c r="S28" s="162" t="str">
        <f t="shared" si="3"/>
        <v>Tercapai</v>
      </c>
      <c r="T28" s="161">
        <v>29</v>
      </c>
      <c r="U28" s="163">
        <v>2734</v>
      </c>
      <c r="V28" s="162" t="str">
        <f t="shared" si="4"/>
        <v>Tercapai</v>
      </c>
      <c r="W28" s="164">
        <v>18</v>
      </c>
      <c r="X28" s="164">
        <v>2794</v>
      </c>
      <c r="Y28" s="165" t="str">
        <f t="shared" si="5"/>
        <v>Tercapai</v>
      </c>
      <c r="Z28" s="166">
        <v>45</v>
      </c>
      <c r="AA28" s="167">
        <v>3914</v>
      </c>
      <c r="AB28" s="168" t="str">
        <f t="shared" si="6"/>
        <v>Tercapai</v>
      </c>
      <c r="AC28" s="167">
        <v>34</v>
      </c>
      <c r="AD28" s="167">
        <v>1560</v>
      </c>
      <c r="AE28" s="168" t="str">
        <f t="shared" si="7"/>
        <v>Tidak Tercapai</v>
      </c>
      <c r="AF28" s="167">
        <v>5</v>
      </c>
      <c r="AG28" s="167">
        <v>1247</v>
      </c>
      <c r="AH28" s="168" t="str">
        <f t="shared" si="8"/>
        <v>Tidak Tercapai</v>
      </c>
      <c r="AI28" s="167">
        <v>0</v>
      </c>
      <c r="AJ28" s="167">
        <v>3609</v>
      </c>
      <c r="AK28" s="168" t="str">
        <f t="shared" si="9"/>
        <v>Tercapai</v>
      </c>
      <c r="AL28" s="167">
        <v>11</v>
      </c>
      <c r="AM28" s="167">
        <v>2754</v>
      </c>
      <c r="AN28" s="168" t="str">
        <f t="shared" si="10"/>
        <v>Tercapai</v>
      </c>
      <c r="AO28" s="167">
        <v>14</v>
      </c>
      <c r="AP28" s="167">
        <v>4858</v>
      </c>
      <c r="AQ28" s="168" t="str">
        <f t="shared" si="11"/>
        <v>Tercapai</v>
      </c>
      <c r="AR28" s="167">
        <v>5</v>
      </c>
      <c r="AS28" s="167">
        <v>4118</v>
      </c>
      <c r="AT28" s="168" t="str">
        <f t="shared" si="12"/>
        <v>Tercapai</v>
      </c>
      <c r="AU28" s="167">
        <v>21</v>
      </c>
      <c r="AV28" s="159">
        <v>4202</v>
      </c>
      <c r="AW28" s="168" t="str">
        <f t="shared" si="13"/>
        <v>Tercapai</v>
      </c>
      <c r="AX28" s="167">
        <v>78</v>
      </c>
      <c r="AY28" s="167">
        <v>1479</v>
      </c>
      <c r="AZ28" s="168" t="str">
        <f t="shared" si="14"/>
        <v>Tidak Tercapai</v>
      </c>
      <c r="BA28" s="167">
        <v>4</v>
      </c>
      <c r="BB28" s="170">
        <v>168</v>
      </c>
      <c r="BC28" s="168" t="str">
        <f t="shared" si="15"/>
        <v>Tidak Tercapai</v>
      </c>
      <c r="BD28" s="167">
        <v>1</v>
      </c>
      <c r="BE28" s="68"/>
      <c r="BF28" s="68"/>
      <c r="BG28" s="68"/>
      <c r="BH28" s="68"/>
      <c r="BI28" s="68"/>
      <c r="BJ28" s="68"/>
      <c r="BK28" s="68"/>
    </row>
    <row r="29" spans="1:63" ht="15.6" x14ac:dyDescent="0.3">
      <c r="A29" s="157">
        <v>27</v>
      </c>
      <c r="B29" s="158" t="s">
        <v>467</v>
      </c>
      <c r="C29" s="157" t="s">
        <v>436</v>
      </c>
      <c r="D29" s="157">
        <v>158891</v>
      </c>
      <c r="E29" s="157">
        <v>1927</v>
      </c>
      <c r="F29" s="171">
        <v>55656</v>
      </c>
      <c r="G29" s="160" t="s">
        <v>437</v>
      </c>
      <c r="H29" s="171">
        <v>38990</v>
      </c>
      <c r="I29" s="171">
        <v>701</v>
      </c>
      <c r="J29" s="160" t="str">
        <f t="shared" si="0"/>
        <v>Tidak Tercapai</v>
      </c>
      <c r="K29" s="171">
        <v>4</v>
      </c>
      <c r="L29" s="171">
        <v>1</v>
      </c>
      <c r="M29" s="160" t="str">
        <f t="shared" si="1"/>
        <v>Tidak Tercapai</v>
      </c>
      <c r="N29" s="171">
        <v>0</v>
      </c>
      <c r="O29" s="157">
        <v>656</v>
      </c>
      <c r="P29" s="160" t="str">
        <f t="shared" si="2"/>
        <v>Tidak Tercapai</v>
      </c>
      <c r="Q29" s="161">
        <v>1018</v>
      </c>
      <c r="R29" s="157">
        <v>1044</v>
      </c>
      <c r="S29" s="162" t="str">
        <f t="shared" si="3"/>
        <v>Tidak Tercapai</v>
      </c>
      <c r="T29" s="161">
        <v>1537</v>
      </c>
      <c r="U29" s="163">
        <v>661</v>
      </c>
      <c r="V29" s="162" t="str">
        <f t="shared" si="4"/>
        <v>Tidak Tercapai</v>
      </c>
      <c r="W29" s="164">
        <v>1461</v>
      </c>
      <c r="X29" s="172">
        <v>1378</v>
      </c>
      <c r="Y29" s="165" t="str">
        <f t="shared" si="5"/>
        <v>Tidak Tercapai</v>
      </c>
      <c r="Z29" s="166">
        <v>1337</v>
      </c>
      <c r="AA29" s="167">
        <v>1465</v>
      </c>
      <c r="AB29" s="168" t="str">
        <f t="shared" si="6"/>
        <v>Tidak Tercapai</v>
      </c>
      <c r="AC29" s="167">
        <v>134</v>
      </c>
      <c r="AD29" s="173">
        <v>606</v>
      </c>
      <c r="AE29" s="168" t="str">
        <f t="shared" si="7"/>
        <v>Tidak Tercapai</v>
      </c>
      <c r="AF29" s="167">
        <v>13</v>
      </c>
      <c r="AG29" s="167">
        <v>682</v>
      </c>
      <c r="AH29" s="168" t="str">
        <f t="shared" si="8"/>
        <v>Tidak Tercapai</v>
      </c>
      <c r="AI29" s="167">
        <v>1</v>
      </c>
      <c r="AJ29" s="173">
        <v>1827</v>
      </c>
      <c r="AK29" s="168" t="str">
        <f t="shared" si="9"/>
        <v>Tidak Tercapai</v>
      </c>
      <c r="AL29" s="173">
        <v>201</v>
      </c>
      <c r="AM29" s="173">
        <v>1427</v>
      </c>
      <c r="AN29" s="168" t="str">
        <f t="shared" si="10"/>
        <v>Tidak Tercapai</v>
      </c>
      <c r="AO29" s="173">
        <v>114</v>
      </c>
      <c r="AP29" s="167">
        <v>3627</v>
      </c>
      <c r="AQ29" s="168" t="str">
        <f t="shared" si="11"/>
        <v>Tercapai</v>
      </c>
      <c r="AR29" s="167">
        <v>313</v>
      </c>
      <c r="AS29" s="167">
        <v>2681</v>
      </c>
      <c r="AT29" s="168" t="str">
        <f t="shared" si="12"/>
        <v>Tercapai</v>
      </c>
      <c r="AU29" s="167">
        <v>29</v>
      </c>
      <c r="AV29" s="159">
        <v>2534</v>
      </c>
      <c r="AW29" s="168" t="str">
        <f t="shared" si="13"/>
        <v>Tercapai</v>
      </c>
      <c r="AX29" s="167">
        <v>68</v>
      </c>
      <c r="AY29" s="167">
        <v>1774</v>
      </c>
      <c r="AZ29" s="168" t="str">
        <f t="shared" si="14"/>
        <v>Tidak Tercapai</v>
      </c>
      <c r="BA29" s="167">
        <v>136</v>
      </c>
      <c r="BB29" s="170">
        <v>1207</v>
      </c>
      <c r="BC29" s="168" t="str">
        <f t="shared" si="15"/>
        <v>Tidak Tercapai</v>
      </c>
      <c r="BD29" s="167">
        <v>0</v>
      </c>
      <c r="BE29" s="68"/>
      <c r="BF29" s="68"/>
      <c r="BG29" s="68"/>
      <c r="BH29" s="68"/>
      <c r="BI29" s="68"/>
      <c r="BJ29" s="68"/>
      <c r="BK29" s="68"/>
    </row>
    <row r="30" spans="1:63" ht="15.6" x14ac:dyDescent="0.3">
      <c r="A30" s="157">
        <v>28</v>
      </c>
      <c r="B30" s="158" t="s">
        <v>468</v>
      </c>
      <c r="C30" s="157" t="s">
        <v>436</v>
      </c>
      <c r="D30" s="157">
        <v>139214</v>
      </c>
      <c r="E30" s="157">
        <v>1745</v>
      </c>
      <c r="F30" s="171">
        <v>25955</v>
      </c>
      <c r="G30" s="160" t="s">
        <v>437</v>
      </c>
      <c r="H30" s="171">
        <v>18699</v>
      </c>
      <c r="I30" s="171">
        <v>1</v>
      </c>
      <c r="J30" s="160" t="str">
        <f t="shared" si="0"/>
        <v>Tidak Tercapai</v>
      </c>
      <c r="K30" s="171">
        <v>1</v>
      </c>
      <c r="L30" s="171">
        <v>3</v>
      </c>
      <c r="M30" s="160" t="str">
        <f t="shared" si="1"/>
        <v>Tidak Tercapai</v>
      </c>
      <c r="N30" s="171">
        <v>0</v>
      </c>
      <c r="O30" s="157">
        <v>841</v>
      </c>
      <c r="P30" s="160" t="str">
        <f t="shared" si="2"/>
        <v>Tidak Tercapai</v>
      </c>
      <c r="Q30" s="161">
        <v>17</v>
      </c>
      <c r="R30" s="157">
        <v>818</v>
      </c>
      <c r="S30" s="162" t="str">
        <f t="shared" si="3"/>
        <v>Tidak Tercapai</v>
      </c>
      <c r="T30" s="161">
        <v>14</v>
      </c>
      <c r="U30" s="163">
        <v>833</v>
      </c>
      <c r="V30" s="162" t="str">
        <f t="shared" si="4"/>
        <v>Tercapai</v>
      </c>
      <c r="W30" s="164">
        <v>31</v>
      </c>
      <c r="X30" s="172">
        <v>1231</v>
      </c>
      <c r="Y30" s="165" t="str">
        <f t="shared" si="5"/>
        <v>Tidak Tercapai</v>
      </c>
      <c r="Z30" s="166">
        <v>51</v>
      </c>
      <c r="AA30" s="167">
        <v>1259</v>
      </c>
      <c r="AB30" s="168" t="str">
        <f t="shared" si="6"/>
        <v>Tidak Tercapai</v>
      </c>
      <c r="AC30" s="167">
        <v>83</v>
      </c>
      <c r="AD30" s="173">
        <v>1156</v>
      </c>
      <c r="AE30" s="168" t="str">
        <f t="shared" si="7"/>
        <v>Tidak Tercapai</v>
      </c>
      <c r="AF30" s="167">
        <v>2</v>
      </c>
      <c r="AG30" s="167">
        <v>185</v>
      </c>
      <c r="AH30" s="168" t="str">
        <f t="shared" si="8"/>
        <v>Tidak Tercapai</v>
      </c>
      <c r="AI30" s="167">
        <v>0</v>
      </c>
      <c r="AJ30" s="173">
        <v>1633</v>
      </c>
      <c r="AK30" s="168" t="str">
        <f t="shared" si="9"/>
        <v>Tidak Tercapai</v>
      </c>
      <c r="AL30" s="173">
        <v>38</v>
      </c>
      <c r="AM30" s="173">
        <v>965</v>
      </c>
      <c r="AN30" s="168" t="str">
        <f t="shared" si="10"/>
        <v>Tidak Tercapai</v>
      </c>
      <c r="AO30" s="173">
        <v>32</v>
      </c>
      <c r="AP30" s="167">
        <v>2160</v>
      </c>
      <c r="AQ30" s="168" t="str">
        <f t="shared" si="11"/>
        <v>Tercapai</v>
      </c>
      <c r="AR30" s="167">
        <v>13</v>
      </c>
      <c r="AS30" s="167">
        <v>2144</v>
      </c>
      <c r="AT30" s="168" t="str">
        <f t="shared" si="12"/>
        <v>Tercapai</v>
      </c>
      <c r="AU30" s="167">
        <v>8</v>
      </c>
      <c r="AV30" s="159">
        <v>2069</v>
      </c>
      <c r="AW30" s="168" t="str">
        <f t="shared" si="13"/>
        <v>Tercapai</v>
      </c>
      <c r="AX30" s="167">
        <v>36</v>
      </c>
      <c r="AY30" s="167">
        <v>769</v>
      </c>
      <c r="AZ30" s="168" t="str">
        <f t="shared" si="14"/>
        <v>Tidak Tercapai</v>
      </c>
      <c r="BA30" s="167">
        <v>3</v>
      </c>
      <c r="BB30" s="170">
        <v>102</v>
      </c>
      <c r="BC30" s="168" t="str">
        <f t="shared" si="15"/>
        <v>Tidak Tercapai</v>
      </c>
      <c r="BD30" s="167">
        <v>0</v>
      </c>
      <c r="BE30" s="68"/>
      <c r="BF30" s="68"/>
      <c r="BG30" s="68"/>
      <c r="BH30" s="68"/>
      <c r="BI30" s="68"/>
      <c r="BJ30" s="68"/>
      <c r="BK30" s="68"/>
    </row>
    <row r="31" spans="1:63" ht="15.6" x14ac:dyDescent="0.3">
      <c r="A31" s="157">
        <v>29</v>
      </c>
      <c r="B31" s="158" t="s">
        <v>469</v>
      </c>
      <c r="C31" s="157" t="s">
        <v>461</v>
      </c>
      <c r="D31" s="157">
        <v>130291</v>
      </c>
      <c r="E31" s="157">
        <v>1647</v>
      </c>
      <c r="F31" s="171">
        <v>511564</v>
      </c>
      <c r="G31" s="160" t="s">
        <v>437</v>
      </c>
      <c r="H31" s="171">
        <v>128537</v>
      </c>
      <c r="I31" s="171">
        <v>1</v>
      </c>
      <c r="J31" s="160" t="str">
        <f t="shared" si="0"/>
        <v>Tidak Tercapai</v>
      </c>
      <c r="K31" s="171">
        <v>2</v>
      </c>
      <c r="L31" s="171">
        <v>0</v>
      </c>
      <c r="M31" s="160" t="str">
        <f t="shared" si="1"/>
        <v>Tidak Tercapai</v>
      </c>
      <c r="N31" s="171">
        <v>1</v>
      </c>
      <c r="O31" s="157">
        <v>774</v>
      </c>
      <c r="P31" s="160" t="str">
        <f t="shared" si="2"/>
        <v>Tidak Tercapai</v>
      </c>
      <c r="Q31" s="161">
        <v>42</v>
      </c>
      <c r="R31" s="172">
        <v>4878</v>
      </c>
      <c r="S31" s="162" t="str">
        <f t="shared" si="3"/>
        <v>Tercapai</v>
      </c>
      <c r="T31" s="161">
        <v>23</v>
      </c>
      <c r="U31" s="163">
        <v>4074</v>
      </c>
      <c r="V31" s="162" t="str">
        <f t="shared" si="4"/>
        <v>Tidak Tercapai</v>
      </c>
      <c r="W31" s="164">
        <v>81</v>
      </c>
      <c r="X31" s="172">
        <v>4878</v>
      </c>
      <c r="Y31" s="165" t="str">
        <f t="shared" si="5"/>
        <v>Tercapai</v>
      </c>
      <c r="Z31" s="166">
        <v>12</v>
      </c>
      <c r="AA31" s="167">
        <v>3025</v>
      </c>
      <c r="AB31" s="168" t="str">
        <f t="shared" si="6"/>
        <v>Tercapai</v>
      </c>
      <c r="AC31" s="167">
        <v>12</v>
      </c>
      <c r="AD31" s="173">
        <v>831</v>
      </c>
      <c r="AE31" s="168" t="str">
        <f t="shared" si="7"/>
        <v>Tidak Tercapai</v>
      </c>
      <c r="AF31" s="167">
        <v>3</v>
      </c>
      <c r="AG31" s="167">
        <v>0</v>
      </c>
      <c r="AH31" s="168" t="str">
        <f t="shared" si="8"/>
        <v>Tidak Tercapai</v>
      </c>
      <c r="AI31" s="167">
        <v>0</v>
      </c>
      <c r="AJ31" s="173">
        <v>1698</v>
      </c>
      <c r="AK31" s="168" t="str">
        <f t="shared" si="9"/>
        <v>Tercapai</v>
      </c>
      <c r="AL31" s="173">
        <v>22</v>
      </c>
      <c r="AM31" s="173">
        <v>1066</v>
      </c>
      <c r="AN31" s="168" t="str">
        <f t="shared" si="10"/>
        <v>Tidak Tercapai</v>
      </c>
      <c r="AO31" s="173">
        <v>6</v>
      </c>
      <c r="AP31" s="167">
        <v>2447</v>
      </c>
      <c r="AQ31" s="168" t="str">
        <f t="shared" si="11"/>
        <v>Tercapai</v>
      </c>
      <c r="AR31" s="167">
        <v>46</v>
      </c>
      <c r="AS31" s="167">
        <v>2965</v>
      </c>
      <c r="AT31" s="168" t="str">
        <f t="shared" si="12"/>
        <v>Tercapai</v>
      </c>
      <c r="AU31" s="167">
        <v>188</v>
      </c>
      <c r="AV31" s="159">
        <v>2880</v>
      </c>
      <c r="AW31" s="168" t="str">
        <f t="shared" si="13"/>
        <v>Tercapai</v>
      </c>
      <c r="AX31" s="167">
        <v>36</v>
      </c>
      <c r="AY31" s="167">
        <v>1633</v>
      </c>
      <c r="AZ31" s="168" t="str">
        <f t="shared" si="14"/>
        <v>Tidak Tercapai</v>
      </c>
      <c r="BA31" s="167">
        <v>4</v>
      </c>
      <c r="BB31" s="170">
        <v>0</v>
      </c>
      <c r="BC31" s="168" t="str">
        <f t="shared" si="15"/>
        <v>Tidak Tercapai</v>
      </c>
      <c r="BD31" s="167">
        <v>1</v>
      </c>
      <c r="BE31" s="68"/>
      <c r="BF31" s="68"/>
      <c r="BG31" s="68"/>
      <c r="BH31" s="68"/>
      <c r="BI31" s="68"/>
      <c r="BJ31" s="68"/>
      <c r="BK31" s="68"/>
    </row>
    <row r="32" spans="1:63" ht="15.6" x14ac:dyDescent="0.3">
      <c r="A32" s="157">
        <v>30</v>
      </c>
      <c r="B32" s="158" t="s">
        <v>470</v>
      </c>
      <c r="C32" s="157" t="s">
        <v>446</v>
      </c>
      <c r="D32" s="157">
        <v>126184</v>
      </c>
      <c r="E32" s="157">
        <v>1612</v>
      </c>
      <c r="F32" s="171">
        <v>32563</v>
      </c>
      <c r="G32" s="160" t="s">
        <v>437</v>
      </c>
      <c r="H32" s="171">
        <v>16683</v>
      </c>
      <c r="I32" s="171">
        <v>2322</v>
      </c>
      <c r="J32" s="160" t="str">
        <f t="shared" si="0"/>
        <v>Tercapai</v>
      </c>
      <c r="K32" s="171">
        <v>0</v>
      </c>
      <c r="L32" s="171">
        <v>2</v>
      </c>
      <c r="M32" s="160" t="str">
        <f t="shared" si="1"/>
        <v>Tidak Tercapai</v>
      </c>
      <c r="N32" s="171">
        <v>0</v>
      </c>
      <c r="O32" s="157">
        <v>3550</v>
      </c>
      <c r="P32" s="160" t="str">
        <f t="shared" si="2"/>
        <v>Tercapai</v>
      </c>
      <c r="Q32" s="161">
        <v>6</v>
      </c>
      <c r="R32" s="157">
        <v>3085</v>
      </c>
      <c r="S32" s="162" t="str">
        <f t="shared" si="3"/>
        <v>Tercapai</v>
      </c>
      <c r="T32" s="161">
        <v>28</v>
      </c>
      <c r="U32" s="163">
        <v>3400</v>
      </c>
      <c r="V32" s="162" t="str">
        <f t="shared" si="4"/>
        <v>Tercapai</v>
      </c>
      <c r="W32" s="164">
        <v>18</v>
      </c>
      <c r="X32" s="172">
        <v>3252</v>
      </c>
      <c r="Y32" s="165" t="str">
        <f t="shared" si="5"/>
        <v>Tercapai</v>
      </c>
      <c r="Z32" s="166">
        <v>16</v>
      </c>
      <c r="AA32" s="167">
        <v>4224</v>
      </c>
      <c r="AB32" s="168" t="str">
        <f t="shared" si="6"/>
        <v>Tercapai</v>
      </c>
      <c r="AC32" s="167">
        <v>14</v>
      </c>
      <c r="AD32" s="173">
        <v>3669</v>
      </c>
      <c r="AE32" s="168" t="str">
        <f t="shared" si="7"/>
        <v>Tercapai</v>
      </c>
      <c r="AF32" s="167">
        <v>1</v>
      </c>
      <c r="AG32" s="167">
        <v>1</v>
      </c>
      <c r="AH32" s="168" t="str">
        <f t="shared" si="8"/>
        <v>Tidak Tercapai</v>
      </c>
      <c r="AI32" s="167">
        <v>0</v>
      </c>
      <c r="AJ32" s="173">
        <v>4938</v>
      </c>
      <c r="AK32" s="168" t="str">
        <f t="shared" si="9"/>
        <v>Tercapai</v>
      </c>
      <c r="AL32" s="173">
        <v>9</v>
      </c>
      <c r="AM32" s="173">
        <v>3732</v>
      </c>
      <c r="AN32" s="168" t="str">
        <f t="shared" si="10"/>
        <v>Tercapai</v>
      </c>
      <c r="AO32" s="173">
        <v>21</v>
      </c>
      <c r="AP32" s="167">
        <v>5930</v>
      </c>
      <c r="AQ32" s="168" t="str">
        <f t="shared" si="11"/>
        <v>Tercapai</v>
      </c>
      <c r="AR32" s="167">
        <v>18</v>
      </c>
      <c r="AS32" s="167">
        <v>5683</v>
      </c>
      <c r="AT32" s="168" t="str">
        <f t="shared" si="12"/>
        <v>Tercapai</v>
      </c>
      <c r="AU32" s="167">
        <v>57</v>
      </c>
      <c r="AV32" s="159">
        <v>4863</v>
      </c>
      <c r="AW32" s="168" t="str">
        <f t="shared" si="13"/>
        <v>Tercapai</v>
      </c>
      <c r="AX32" s="167">
        <v>31</v>
      </c>
      <c r="AY32" s="167">
        <v>2782</v>
      </c>
      <c r="AZ32" s="168" t="str">
        <f t="shared" si="14"/>
        <v>Tercapai</v>
      </c>
      <c r="BA32" s="167">
        <v>0</v>
      </c>
      <c r="BB32" s="170">
        <v>0</v>
      </c>
      <c r="BC32" s="168" t="str">
        <f t="shared" si="15"/>
        <v>Tidak Tercapai</v>
      </c>
      <c r="BD32" s="167">
        <v>0</v>
      </c>
      <c r="BE32" s="68"/>
      <c r="BF32" s="68"/>
      <c r="BG32" s="68"/>
      <c r="BH32" s="68"/>
      <c r="BI32" s="68"/>
      <c r="BJ32" s="68"/>
      <c r="BK32" s="68"/>
    </row>
    <row r="33" spans="1:63" ht="15.6" x14ac:dyDescent="0.3">
      <c r="A33" s="157">
        <v>31</v>
      </c>
      <c r="B33" s="158" t="s">
        <v>471</v>
      </c>
      <c r="C33" s="157" t="s">
        <v>442</v>
      </c>
      <c r="D33" s="157">
        <v>121625</v>
      </c>
      <c r="E33" s="157">
        <v>1492</v>
      </c>
      <c r="F33" s="171">
        <v>76901</v>
      </c>
      <c r="G33" s="160" t="s">
        <v>437</v>
      </c>
      <c r="H33" s="171">
        <v>50323</v>
      </c>
      <c r="I33" s="171">
        <v>315</v>
      </c>
      <c r="J33" s="160" t="str">
        <f t="shared" si="0"/>
        <v>Tidak Tercapai</v>
      </c>
      <c r="K33" s="171">
        <v>153</v>
      </c>
      <c r="L33" s="171">
        <v>58</v>
      </c>
      <c r="M33" s="160" t="str">
        <f t="shared" si="1"/>
        <v>Tidak Tercapai</v>
      </c>
      <c r="N33" s="171">
        <v>0</v>
      </c>
      <c r="O33" s="157">
        <v>1006</v>
      </c>
      <c r="P33" s="160" t="str">
        <f t="shared" si="2"/>
        <v>Tidak Tercapai</v>
      </c>
      <c r="Q33" s="161">
        <v>66</v>
      </c>
      <c r="R33" s="157">
        <v>1145</v>
      </c>
      <c r="S33" s="162" t="str">
        <f t="shared" si="3"/>
        <v>Tidak Tercapai</v>
      </c>
      <c r="T33" s="161">
        <v>30</v>
      </c>
      <c r="U33" s="163">
        <v>1590</v>
      </c>
      <c r="V33" s="162" t="str">
        <f t="shared" si="4"/>
        <v>Tercapai</v>
      </c>
      <c r="W33" s="164">
        <v>26</v>
      </c>
      <c r="X33" s="172">
        <v>1476</v>
      </c>
      <c r="Y33" s="165" t="str">
        <f t="shared" si="5"/>
        <v>Tidak Tercapai</v>
      </c>
      <c r="Z33" s="166">
        <v>10</v>
      </c>
      <c r="AA33" s="167">
        <v>1659</v>
      </c>
      <c r="AB33" s="168" t="str">
        <f t="shared" si="6"/>
        <v>Tercapai</v>
      </c>
      <c r="AC33" s="167">
        <v>23</v>
      </c>
      <c r="AD33" s="173">
        <v>466</v>
      </c>
      <c r="AE33" s="168" t="str">
        <f t="shared" si="7"/>
        <v>Tidak Tercapai</v>
      </c>
      <c r="AF33" s="167">
        <v>3</v>
      </c>
      <c r="AG33" s="167">
        <v>0</v>
      </c>
      <c r="AH33" s="168" t="str">
        <f t="shared" si="8"/>
        <v>Tidak Tercapai</v>
      </c>
      <c r="AI33" s="167">
        <v>0</v>
      </c>
      <c r="AJ33" s="173">
        <v>1757</v>
      </c>
      <c r="AK33" s="168" t="str">
        <f t="shared" si="9"/>
        <v>Tercapai</v>
      </c>
      <c r="AL33" s="173">
        <v>12</v>
      </c>
      <c r="AM33" s="173">
        <v>721</v>
      </c>
      <c r="AN33" s="168" t="str">
        <f t="shared" si="10"/>
        <v>Tidak Tercapai</v>
      </c>
      <c r="AO33" s="173">
        <v>19</v>
      </c>
      <c r="AP33" s="167">
        <v>3213</v>
      </c>
      <c r="AQ33" s="168" t="str">
        <f t="shared" si="11"/>
        <v>Tercapai</v>
      </c>
      <c r="AR33" s="167">
        <v>17</v>
      </c>
      <c r="AS33" s="167">
        <v>2176</v>
      </c>
      <c r="AT33" s="168" t="str">
        <f t="shared" si="12"/>
        <v>Tercapai</v>
      </c>
      <c r="AU33" s="167">
        <v>14</v>
      </c>
      <c r="AV33" s="159">
        <v>2569</v>
      </c>
      <c r="AW33" s="168" t="str">
        <f t="shared" si="13"/>
        <v>Tercapai</v>
      </c>
      <c r="AX33" s="167">
        <v>4</v>
      </c>
      <c r="AY33" s="167">
        <v>1958</v>
      </c>
      <c r="AZ33" s="168" t="str">
        <f t="shared" si="14"/>
        <v>Tercapai</v>
      </c>
      <c r="BA33" s="167">
        <v>8</v>
      </c>
      <c r="BB33" s="170">
        <v>3</v>
      </c>
      <c r="BC33" s="168" t="str">
        <f t="shared" si="15"/>
        <v>Tidak Tercapai</v>
      </c>
      <c r="BD33" s="167">
        <v>0</v>
      </c>
      <c r="BE33" s="68"/>
      <c r="BF33" s="68"/>
      <c r="BG33" s="68"/>
      <c r="BH33" s="68"/>
      <c r="BI33" s="68"/>
      <c r="BJ33" s="68"/>
      <c r="BK33" s="68"/>
    </row>
    <row r="34" spans="1:63" ht="15.6" x14ac:dyDescent="0.3">
      <c r="A34" s="157">
        <v>32</v>
      </c>
      <c r="B34" s="158" t="s">
        <v>472</v>
      </c>
      <c r="C34" s="157" t="s">
        <v>446</v>
      </c>
      <c r="D34" s="157">
        <v>114768</v>
      </c>
      <c r="E34" s="157">
        <v>1483</v>
      </c>
      <c r="F34" s="171">
        <v>28263</v>
      </c>
      <c r="G34" s="160" t="s">
        <v>437</v>
      </c>
      <c r="H34" s="171">
        <v>16416</v>
      </c>
      <c r="I34" s="171">
        <v>43</v>
      </c>
      <c r="J34" s="160" t="str">
        <f t="shared" si="0"/>
        <v>Tidak Tercapai</v>
      </c>
      <c r="K34" s="171">
        <v>6</v>
      </c>
      <c r="L34" s="171">
        <v>0</v>
      </c>
      <c r="M34" s="160" t="str">
        <f t="shared" si="1"/>
        <v>Tidak Tercapai</v>
      </c>
      <c r="N34" s="171">
        <v>0</v>
      </c>
      <c r="O34" s="157">
        <v>860</v>
      </c>
      <c r="P34" s="160" t="str">
        <f t="shared" si="2"/>
        <v>Tidak Tercapai</v>
      </c>
      <c r="Q34" s="161">
        <v>10</v>
      </c>
      <c r="R34" s="157">
        <v>901</v>
      </c>
      <c r="S34" s="162" t="str">
        <f t="shared" si="3"/>
        <v>Tidak Tercapai</v>
      </c>
      <c r="T34" s="161">
        <v>21</v>
      </c>
      <c r="U34" s="163">
        <v>1012</v>
      </c>
      <c r="V34" s="162" t="str">
        <f t="shared" si="4"/>
        <v>Tercapai</v>
      </c>
      <c r="W34" s="164">
        <v>20</v>
      </c>
      <c r="X34" s="172">
        <v>996</v>
      </c>
      <c r="Y34" s="165" t="str">
        <f t="shared" si="5"/>
        <v>Tidak Tercapai</v>
      </c>
      <c r="Z34" s="166">
        <v>17</v>
      </c>
      <c r="AA34" s="167">
        <v>1202</v>
      </c>
      <c r="AB34" s="168" t="str">
        <f t="shared" si="6"/>
        <v>Tidak Tercapai</v>
      </c>
      <c r="AC34" s="167">
        <v>17</v>
      </c>
      <c r="AD34" s="173">
        <v>51</v>
      </c>
      <c r="AE34" s="168" t="str">
        <f t="shared" si="7"/>
        <v>Tidak Tercapai</v>
      </c>
      <c r="AF34" s="167">
        <v>8</v>
      </c>
      <c r="AG34" s="167">
        <v>0</v>
      </c>
      <c r="AH34" s="168" t="str">
        <f t="shared" si="8"/>
        <v>Tidak Tercapai</v>
      </c>
      <c r="AI34" s="167">
        <v>3</v>
      </c>
      <c r="AJ34" s="173">
        <v>1239</v>
      </c>
      <c r="AK34" s="168" t="str">
        <f t="shared" si="9"/>
        <v>Tidak Tercapai</v>
      </c>
      <c r="AL34" s="173">
        <v>14</v>
      </c>
      <c r="AM34" s="173">
        <v>1435</v>
      </c>
      <c r="AN34" s="168" t="str">
        <f t="shared" si="10"/>
        <v>Tidak Tercapai</v>
      </c>
      <c r="AO34" s="173">
        <v>22</v>
      </c>
      <c r="AP34" s="167">
        <v>1237</v>
      </c>
      <c r="AQ34" s="168" t="str">
        <f t="shared" si="11"/>
        <v>Tidak Tercapai</v>
      </c>
      <c r="AR34" s="167">
        <v>5</v>
      </c>
      <c r="AS34" s="167">
        <v>1141</v>
      </c>
      <c r="AT34" s="168" t="str">
        <f t="shared" si="12"/>
        <v>Tidak Tercapai</v>
      </c>
      <c r="AU34" s="167">
        <v>34</v>
      </c>
      <c r="AV34" s="159">
        <v>1169</v>
      </c>
      <c r="AW34" s="168" t="str">
        <f t="shared" si="13"/>
        <v>Tidak Tercapai</v>
      </c>
      <c r="AX34" s="167">
        <v>7</v>
      </c>
      <c r="AY34" s="167">
        <v>541</v>
      </c>
      <c r="AZ34" s="168" t="str">
        <f t="shared" si="14"/>
        <v>Tidak Tercapai</v>
      </c>
      <c r="BA34" s="167">
        <v>20</v>
      </c>
      <c r="BB34" s="170">
        <v>2</v>
      </c>
      <c r="BC34" s="168" t="str">
        <f t="shared" si="15"/>
        <v>Tidak Tercapai</v>
      </c>
      <c r="BD34" s="167">
        <v>0</v>
      </c>
      <c r="BE34" s="68"/>
      <c r="BF34" s="68"/>
      <c r="BG34" s="68"/>
      <c r="BH34" s="68"/>
      <c r="BI34" s="68"/>
      <c r="BJ34" s="68"/>
      <c r="BK34" s="68"/>
    </row>
    <row r="35" spans="1:63" ht="15.6" x14ac:dyDescent="0.3">
      <c r="A35" s="157">
        <v>33</v>
      </c>
      <c r="B35" s="158" t="s">
        <v>473</v>
      </c>
      <c r="C35" s="157" t="s">
        <v>446</v>
      </c>
      <c r="D35" s="157">
        <v>116091</v>
      </c>
      <c r="E35" s="157">
        <v>1342</v>
      </c>
      <c r="F35" s="171">
        <v>114730</v>
      </c>
      <c r="G35" s="160" t="s">
        <v>437</v>
      </c>
      <c r="H35" s="171">
        <v>215545</v>
      </c>
      <c r="I35" s="171">
        <v>2296</v>
      </c>
      <c r="J35" s="160" t="str">
        <f t="shared" si="0"/>
        <v>Tercapai</v>
      </c>
      <c r="K35" s="171">
        <v>287</v>
      </c>
      <c r="L35" s="171">
        <v>6</v>
      </c>
      <c r="M35" s="160" t="str">
        <f t="shared" si="1"/>
        <v>Tidak Tercapai</v>
      </c>
      <c r="N35" s="171">
        <v>3</v>
      </c>
      <c r="O35" s="157">
        <v>9102</v>
      </c>
      <c r="P35" s="160" t="str">
        <f t="shared" si="2"/>
        <v>Tercapai</v>
      </c>
      <c r="Q35" s="161">
        <v>738</v>
      </c>
      <c r="R35" s="157">
        <v>3668</v>
      </c>
      <c r="S35" s="162" t="str">
        <f t="shared" si="3"/>
        <v>Tercapai</v>
      </c>
      <c r="T35" s="161">
        <v>282</v>
      </c>
      <c r="U35" s="163">
        <v>4142</v>
      </c>
      <c r="V35" s="162" t="str">
        <f t="shared" si="4"/>
        <v>Tercapai</v>
      </c>
      <c r="W35" s="164">
        <v>322</v>
      </c>
      <c r="X35" s="172">
        <v>5543</v>
      </c>
      <c r="Y35" s="165" t="str">
        <f t="shared" si="5"/>
        <v>Tercapai</v>
      </c>
      <c r="Z35" s="166">
        <v>268</v>
      </c>
      <c r="AA35" s="167">
        <v>5538</v>
      </c>
      <c r="AB35" s="168" t="str">
        <f t="shared" si="6"/>
        <v>Tercapai</v>
      </c>
      <c r="AC35" s="167">
        <v>493</v>
      </c>
      <c r="AD35" s="173">
        <v>2739</v>
      </c>
      <c r="AE35" s="168" t="str">
        <f t="shared" si="7"/>
        <v>Tercapai</v>
      </c>
      <c r="AF35" s="167">
        <v>67</v>
      </c>
      <c r="AG35" s="167">
        <v>1294</v>
      </c>
      <c r="AH35" s="168" t="str">
        <f t="shared" si="8"/>
        <v>Tidak Tercapai</v>
      </c>
      <c r="AI35" s="167">
        <v>7</v>
      </c>
      <c r="AJ35" s="173">
        <v>5594</v>
      </c>
      <c r="AK35" s="168" t="str">
        <f t="shared" si="9"/>
        <v>Tercapai</v>
      </c>
      <c r="AL35" s="173">
        <v>287</v>
      </c>
      <c r="AM35" s="173">
        <v>5847</v>
      </c>
      <c r="AN35" s="168" t="str">
        <f t="shared" si="10"/>
        <v>Tercapai</v>
      </c>
      <c r="AO35" s="173">
        <v>344</v>
      </c>
      <c r="AP35" s="167">
        <v>6855</v>
      </c>
      <c r="AQ35" s="168" t="str">
        <f t="shared" si="11"/>
        <v>Tercapai</v>
      </c>
      <c r="AR35" s="167">
        <v>284</v>
      </c>
      <c r="AS35" s="167">
        <v>9679</v>
      </c>
      <c r="AT35" s="168" t="str">
        <f t="shared" si="12"/>
        <v>Tercapai</v>
      </c>
      <c r="AU35" s="167">
        <v>34</v>
      </c>
      <c r="AV35" s="159">
        <v>7222</v>
      </c>
      <c r="AW35" s="168" t="str">
        <f t="shared" si="13"/>
        <v>Tercapai</v>
      </c>
      <c r="AX35" s="167">
        <v>241</v>
      </c>
      <c r="AY35" s="167">
        <v>8250</v>
      </c>
      <c r="AZ35" s="168" t="str">
        <f t="shared" si="14"/>
        <v>Tercapai</v>
      </c>
      <c r="BA35" s="167">
        <v>294</v>
      </c>
      <c r="BB35" s="170">
        <v>730</v>
      </c>
      <c r="BC35" s="168" t="str">
        <f t="shared" si="15"/>
        <v>Tidak Tercapai</v>
      </c>
      <c r="BD35" s="167">
        <v>32</v>
      </c>
      <c r="BE35" s="68"/>
      <c r="BF35" s="68"/>
      <c r="BG35" s="68"/>
      <c r="BH35" s="68"/>
      <c r="BI35" s="68"/>
      <c r="BJ35" s="68"/>
      <c r="BK35" s="68"/>
    </row>
    <row r="36" spans="1:63" ht="15.6" x14ac:dyDescent="0.3">
      <c r="A36" s="157">
        <v>34</v>
      </c>
      <c r="B36" s="158" t="s">
        <v>474</v>
      </c>
      <c r="C36" s="157" t="s">
        <v>439</v>
      </c>
      <c r="D36" s="157">
        <v>98165</v>
      </c>
      <c r="E36" s="157">
        <v>1149</v>
      </c>
      <c r="F36" s="171">
        <v>25199</v>
      </c>
      <c r="G36" s="160" t="s">
        <v>437</v>
      </c>
      <c r="H36" s="171">
        <v>16819</v>
      </c>
      <c r="I36" s="171">
        <v>0</v>
      </c>
      <c r="J36" s="160" t="str">
        <f t="shared" si="0"/>
        <v>Tidak Tercapai</v>
      </c>
      <c r="K36" s="171">
        <v>0</v>
      </c>
      <c r="L36" s="171">
        <v>0</v>
      </c>
      <c r="M36" s="160" t="str">
        <f t="shared" si="1"/>
        <v>Tidak Tercapai</v>
      </c>
      <c r="N36" s="171">
        <v>0</v>
      </c>
      <c r="O36" s="157">
        <v>1174</v>
      </c>
      <c r="P36" s="160" t="str">
        <f t="shared" si="2"/>
        <v>Tercapai</v>
      </c>
      <c r="Q36" s="161">
        <v>52</v>
      </c>
      <c r="R36" s="157">
        <v>1161</v>
      </c>
      <c r="S36" s="162" t="str">
        <f t="shared" si="3"/>
        <v>Tercapai</v>
      </c>
      <c r="T36" s="161">
        <v>0</v>
      </c>
      <c r="U36" s="163">
        <v>3151</v>
      </c>
      <c r="V36" s="162" t="str">
        <f t="shared" si="4"/>
        <v>Tercapai</v>
      </c>
      <c r="W36" s="164">
        <v>0</v>
      </c>
      <c r="X36" s="172">
        <v>3216</v>
      </c>
      <c r="Y36" s="165" t="str">
        <f t="shared" si="5"/>
        <v>Tercapai</v>
      </c>
      <c r="Z36" s="166">
        <v>1</v>
      </c>
      <c r="AA36" s="167">
        <v>3096</v>
      </c>
      <c r="AB36" s="168" t="str">
        <f t="shared" si="6"/>
        <v>Tercapai</v>
      </c>
      <c r="AC36" s="167">
        <v>1</v>
      </c>
      <c r="AD36" s="173">
        <v>347</v>
      </c>
      <c r="AE36" s="168" t="str">
        <f t="shared" si="7"/>
        <v>Tidak Tercapai</v>
      </c>
      <c r="AF36" s="167">
        <v>5</v>
      </c>
      <c r="AG36" s="167">
        <v>0</v>
      </c>
      <c r="AH36" s="168" t="str">
        <f t="shared" si="8"/>
        <v>Tidak Tercapai</v>
      </c>
      <c r="AI36" s="167">
        <v>1</v>
      </c>
      <c r="AJ36" s="173">
        <v>1037</v>
      </c>
      <c r="AK36" s="168" t="str">
        <f t="shared" si="9"/>
        <v>Tidak Tercapai</v>
      </c>
      <c r="AL36" s="173">
        <v>0</v>
      </c>
      <c r="AM36" s="173">
        <v>735</v>
      </c>
      <c r="AN36" s="168" t="str">
        <f t="shared" si="10"/>
        <v>Tidak Tercapai</v>
      </c>
      <c r="AO36" s="173">
        <v>2</v>
      </c>
      <c r="AP36" s="167">
        <v>1681</v>
      </c>
      <c r="AQ36" s="168" t="str">
        <f t="shared" si="11"/>
        <v>Tercapai</v>
      </c>
      <c r="AR36" s="167">
        <v>4</v>
      </c>
      <c r="AS36" s="167">
        <v>1300</v>
      </c>
      <c r="AT36" s="168" t="str">
        <f t="shared" si="12"/>
        <v>Tercapai</v>
      </c>
      <c r="AU36" s="167">
        <v>20</v>
      </c>
      <c r="AV36" s="159">
        <v>1428</v>
      </c>
      <c r="AW36" s="168" t="str">
        <f t="shared" si="13"/>
        <v>Tercapai</v>
      </c>
      <c r="AX36" s="167">
        <v>3</v>
      </c>
      <c r="AY36" s="167">
        <v>3</v>
      </c>
      <c r="AZ36" s="168" t="str">
        <f t="shared" si="14"/>
        <v>Tidak Tercapai</v>
      </c>
      <c r="BA36" s="167">
        <v>0</v>
      </c>
      <c r="BB36" s="170">
        <v>0</v>
      </c>
      <c r="BC36" s="168" t="str">
        <f t="shared" si="15"/>
        <v>Tidak Tercapai</v>
      </c>
      <c r="BD36" s="167">
        <v>0</v>
      </c>
      <c r="BE36" s="68"/>
      <c r="BF36" s="68"/>
      <c r="BG36" s="68"/>
      <c r="BH36" s="68"/>
      <c r="BI36" s="68"/>
      <c r="BJ36" s="68"/>
      <c r="BK36" s="68"/>
    </row>
    <row r="37" spans="1:63" ht="15.6" x14ac:dyDescent="0.3">
      <c r="A37" s="157">
        <v>35</v>
      </c>
      <c r="B37" s="158" t="s">
        <v>475</v>
      </c>
      <c r="C37" s="157" t="s">
        <v>461</v>
      </c>
      <c r="D37" s="157">
        <v>100082</v>
      </c>
      <c r="E37" s="157">
        <v>1120</v>
      </c>
      <c r="F37" s="171">
        <v>39451</v>
      </c>
      <c r="G37" s="160" t="s">
        <v>437</v>
      </c>
      <c r="H37" s="171">
        <v>22174</v>
      </c>
      <c r="I37" s="171">
        <v>9</v>
      </c>
      <c r="J37" s="160" t="str">
        <f t="shared" si="0"/>
        <v>Tidak Tercapai</v>
      </c>
      <c r="K37" s="171">
        <v>3</v>
      </c>
      <c r="L37" s="171">
        <v>1</v>
      </c>
      <c r="M37" s="160" t="str">
        <f t="shared" si="1"/>
        <v>Tidak Tercapai</v>
      </c>
      <c r="N37" s="171">
        <v>4</v>
      </c>
      <c r="O37" s="157">
        <v>1786</v>
      </c>
      <c r="P37" s="160" t="str">
        <f t="shared" si="2"/>
        <v>Tercapai</v>
      </c>
      <c r="Q37" s="161">
        <v>13</v>
      </c>
      <c r="R37" s="172">
        <v>1567</v>
      </c>
      <c r="S37" s="162" t="str">
        <f t="shared" si="3"/>
        <v>Tercapai</v>
      </c>
      <c r="T37" s="161">
        <v>43</v>
      </c>
      <c r="U37" s="163">
        <v>1624</v>
      </c>
      <c r="V37" s="162" t="str">
        <f t="shared" si="4"/>
        <v>Tercapai</v>
      </c>
      <c r="W37" s="164">
        <v>25</v>
      </c>
      <c r="X37" s="172">
        <v>1567</v>
      </c>
      <c r="Y37" s="165" t="str">
        <f t="shared" si="5"/>
        <v>Tercapai</v>
      </c>
      <c r="Z37" s="166">
        <v>37</v>
      </c>
      <c r="AA37" s="167">
        <v>1719</v>
      </c>
      <c r="AB37" s="168" t="str">
        <f t="shared" si="6"/>
        <v>Tercapai</v>
      </c>
      <c r="AC37" s="167">
        <v>32</v>
      </c>
      <c r="AD37" s="173">
        <v>155</v>
      </c>
      <c r="AE37" s="168" t="str">
        <f t="shared" si="7"/>
        <v>Tidak Tercapai</v>
      </c>
      <c r="AF37" s="167">
        <v>1</v>
      </c>
      <c r="AG37" s="167">
        <v>0</v>
      </c>
      <c r="AH37" s="168" t="str">
        <f t="shared" si="8"/>
        <v>Tidak Tercapai</v>
      </c>
      <c r="AI37" s="167">
        <v>0</v>
      </c>
      <c r="AJ37" s="173">
        <v>1797</v>
      </c>
      <c r="AK37" s="168" t="str">
        <f t="shared" si="9"/>
        <v>Tercapai</v>
      </c>
      <c r="AL37" s="173">
        <v>47</v>
      </c>
      <c r="AM37" s="173">
        <v>1158</v>
      </c>
      <c r="AN37" s="168" t="str">
        <f t="shared" si="10"/>
        <v>Tercapai</v>
      </c>
      <c r="AO37" s="173">
        <v>16</v>
      </c>
      <c r="AP37" s="167">
        <v>2207</v>
      </c>
      <c r="AQ37" s="168" t="str">
        <f t="shared" si="11"/>
        <v>Tercapai</v>
      </c>
      <c r="AR37" s="167">
        <v>13</v>
      </c>
      <c r="AS37" s="167">
        <v>2345</v>
      </c>
      <c r="AT37" s="168" t="str">
        <f t="shared" si="12"/>
        <v>Tercapai</v>
      </c>
      <c r="AU37" s="167">
        <v>21</v>
      </c>
      <c r="AV37" s="159">
        <v>2654</v>
      </c>
      <c r="AW37" s="168" t="str">
        <f t="shared" si="13"/>
        <v>Tercapai</v>
      </c>
      <c r="AX37" s="167">
        <v>38</v>
      </c>
      <c r="AY37" s="167">
        <v>175</v>
      </c>
      <c r="AZ37" s="168" t="str">
        <f t="shared" si="14"/>
        <v>Tidak Tercapai</v>
      </c>
      <c r="BA37" s="167">
        <v>2</v>
      </c>
      <c r="BB37" s="170">
        <v>0</v>
      </c>
      <c r="BC37" s="168" t="str">
        <f t="shared" si="15"/>
        <v>Tidak Tercapai</v>
      </c>
      <c r="BD37" s="167">
        <v>0</v>
      </c>
      <c r="BE37" s="68"/>
      <c r="BF37" s="68"/>
      <c r="BG37" s="68"/>
      <c r="BH37" s="68"/>
      <c r="BI37" s="68"/>
      <c r="BJ37" s="68"/>
      <c r="BK37" s="68"/>
    </row>
    <row r="38" spans="1:63" ht="15.6" x14ac:dyDescent="0.3">
      <c r="A38" s="157">
        <v>36</v>
      </c>
      <c r="B38" s="158" t="s">
        <v>476</v>
      </c>
      <c r="C38" s="157" t="s">
        <v>442</v>
      </c>
      <c r="D38" s="157">
        <v>108121</v>
      </c>
      <c r="E38" s="157">
        <v>1114</v>
      </c>
      <c r="F38" s="171">
        <v>76263</v>
      </c>
      <c r="G38" s="160" t="s">
        <v>437</v>
      </c>
      <c r="H38" s="171">
        <v>42103</v>
      </c>
      <c r="I38" s="171">
        <v>1237</v>
      </c>
      <c r="J38" s="160" t="str">
        <f t="shared" si="0"/>
        <v>Tercapai</v>
      </c>
      <c r="K38" s="171">
        <v>30</v>
      </c>
      <c r="L38" s="171">
        <v>14</v>
      </c>
      <c r="M38" s="160" t="str">
        <f t="shared" si="1"/>
        <v>Tidak Tercapai</v>
      </c>
      <c r="N38" s="171">
        <v>0</v>
      </c>
      <c r="O38" s="157">
        <v>2855</v>
      </c>
      <c r="P38" s="160" t="str">
        <f t="shared" si="2"/>
        <v>Tercapai</v>
      </c>
      <c r="Q38" s="161">
        <v>52</v>
      </c>
      <c r="R38" s="157">
        <v>2502</v>
      </c>
      <c r="S38" s="162" t="str">
        <f t="shared" si="3"/>
        <v>Tercapai</v>
      </c>
      <c r="T38" s="161">
        <v>12</v>
      </c>
      <c r="U38" s="163">
        <v>2716</v>
      </c>
      <c r="V38" s="162" t="str">
        <f t="shared" si="4"/>
        <v>Tercapai</v>
      </c>
      <c r="W38" s="164">
        <v>18</v>
      </c>
      <c r="X38" s="172">
        <v>2585</v>
      </c>
      <c r="Y38" s="165" t="str">
        <f t="shared" si="5"/>
        <v>Tercapai</v>
      </c>
      <c r="Z38" s="166">
        <v>20</v>
      </c>
      <c r="AA38" s="167">
        <v>3660</v>
      </c>
      <c r="AB38" s="168" t="str">
        <f t="shared" si="6"/>
        <v>Tercapai</v>
      </c>
      <c r="AC38" s="167">
        <v>61</v>
      </c>
      <c r="AD38" s="173">
        <v>1256</v>
      </c>
      <c r="AE38" s="168" t="str">
        <f t="shared" si="7"/>
        <v>Tercapai</v>
      </c>
      <c r="AF38" s="167">
        <v>30</v>
      </c>
      <c r="AG38" s="167">
        <v>110</v>
      </c>
      <c r="AH38" s="168" t="str">
        <f t="shared" si="8"/>
        <v>Tidak Tercapai</v>
      </c>
      <c r="AI38" s="167">
        <v>1</v>
      </c>
      <c r="AJ38" s="173">
        <v>3496</v>
      </c>
      <c r="AK38" s="168" t="str">
        <f t="shared" si="9"/>
        <v>Tercapai</v>
      </c>
      <c r="AL38" s="173">
        <v>24</v>
      </c>
      <c r="AM38" s="173">
        <v>2068</v>
      </c>
      <c r="AN38" s="168" t="str">
        <f t="shared" si="10"/>
        <v>Tercapai</v>
      </c>
      <c r="AO38" s="173">
        <v>45</v>
      </c>
      <c r="AP38" s="167">
        <v>4708</v>
      </c>
      <c r="AQ38" s="168" t="str">
        <f t="shared" si="11"/>
        <v>Tercapai</v>
      </c>
      <c r="AR38" s="167">
        <v>4</v>
      </c>
      <c r="AS38" s="167">
        <v>3617</v>
      </c>
      <c r="AT38" s="168" t="str">
        <f t="shared" si="12"/>
        <v>Tercapai</v>
      </c>
      <c r="AU38" s="167">
        <v>62</v>
      </c>
      <c r="AV38" s="159">
        <v>3815</v>
      </c>
      <c r="AW38" s="168" t="str">
        <f t="shared" si="13"/>
        <v>Tercapai</v>
      </c>
      <c r="AX38" s="167">
        <v>41</v>
      </c>
      <c r="AY38" s="167">
        <v>1421</v>
      </c>
      <c r="AZ38" s="168" t="str">
        <f t="shared" si="14"/>
        <v>Tercapai</v>
      </c>
      <c r="BA38" s="167">
        <v>13</v>
      </c>
      <c r="BB38" s="169">
        <v>298</v>
      </c>
      <c r="BC38" s="168" t="str">
        <f t="shared" si="15"/>
        <v>Tidak Tercapai</v>
      </c>
      <c r="BD38" s="167">
        <v>0</v>
      </c>
      <c r="BE38" s="68"/>
      <c r="BF38" s="68"/>
      <c r="BG38" s="68"/>
      <c r="BH38" s="68"/>
      <c r="BI38" s="68"/>
      <c r="BJ38" s="68"/>
      <c r="BK38" s="68"/>
    </row>
    <row r="39" spans="1:63" ht="15.6" x14ac:dyDescent="0.3">
      <c r="A39" s="157">
        <v>37</v>
      </c>
      <c r="B39" s="158" t="s">
        <v>477</v>
      </c>
      <c r="C39" s="157" t="s">
        <v>461</v>
      </c>
      <c r="D39" s="157">
        <v>103494</v>
      </c>
      <c r="E39" s="157">
        <v>1102</v>
      </c>
      <c r="F39" s="171">
        <v>45816</v>
      </c>
      <c r="G39" s="160" t="s">
        <v>437</v>
      </c>
      <c r="H39" s="171">
        <v>15372</v>
      </c>
      <c r="I39" s="171">
        <v>248</v>
      </c>
      <c r="J39" s="160" t="str">
        <f t="shared" si="0"/>
        <v>Tidak Tercapai</v>
      </c>
      <c r="K39" s="171">
        <v>0</v>
      </c>
      <c r="L39" s="171">
        <v>0</v>
      </c>
      <c r="M39" s="160" t="str">
        <f t="shared" si="1"/>
        <v>Tidak Tercapai</v>
      </c>
      <c r="N39" s="171">
        <v>0</v>
      </c>
      <c r="O39" s="157">
        <v>897</v>
      </c>
      <c r="P39" s="160" t="str">
        <f t="shared" si="2"/>
        <v>Tidak Tercapai</v>
      </c>
      <c r="Q39" s="161">
        <v>43</v>
      </c>
      <c r="R39" s="172">
        <v>871</v>
      </c>
      <c r="S39" s="162" t="str">
        <f t="shared" si="3"/>
        <v>Tidak Tercapai</v>
      </c>
      <c r="T39" s="161">
        <v>43</v>
      </c>
      <c r="U39" s="163">
        <v>773</v>
      </c>
      <c r="V39" s="162" t="str">
        <f t="shared" si="4"/>
        <v>Tidak Tercapai</v>
      </c>
      <c r="W39" s="164">
        <v>17</v>
      </c>
      <c r="X39" s="172">
        <v>871</v>
      </c>
      <c r="Y39" s="165" t="str">
        <f t="shared" si="5"/>
        <v>Tidak Tercapai</v>
      </c>
      <c r="Z39" s="166">
        <v>12</v>
      </c>
      <c r="AA39" s="167">
        <v>1376</v>
      </c>
      <c r="AB39" s="168" t="str">
        <f t="shared" si="6"/>
        <v>Tercapai</v>
      </c>
      <c r="AC39" s="167">
        <v>16</v>
      </c>
      <c r="AD39" s="173">
        <v>725</v>
      </c>
      <c r="AE39" s="168" t="str">
        <f t="shared" si="7"/>
        <v>Tidak Tercapai</v>
      </c>
      <c r="AF39" s="167">
        <v>0</v>
      </c>
      <c r="AG39" s="167">
        <v>0</v>
      </c>
      <c r="AH39" s="168" t="str">
        <f t="shared" si="8"/>
        <v>Tidak Tercapai</v>
      </c>
      <c r="AI39" s="167">
        <v>0</v>
      </c>
      <c r="AJ39" s="173">
        <v>1412</v>
      </c>
      <c r="AK39" s="168" t="str">
        <f t="shared" si="9"/>
        <v>Tercapai</v>
      </c>
      <c r="AL39" s="173">
        <v>9</v>
      </c>
      <c r="AM39" s="173">
        <v>1271</v>
      </c>
      <c r="AN39" s="168" t="str">
        <f t="shared" si="10"/>
        <v>Tercapai</v>
      </c>
      <c r="AO39" s="173">
        <v>13</v>
      </c>
      <c r="AP39" s="167">
        <v>1419</v>
      </c>
      <c r="AQ39" s="168" t="str">
        <f t="shared" si="11"/>
        <v>Tercapai</v>
      </c>
      <c r="AR39" s="167">
        <v>4</v>
      </c>
      <c r="AS39" s="167">
        <v>1462</v>
      </c>
      <c r="AT39" s="168" t="str">
        <f t="shared" si="12"/>
        <v>Tercapai</v>
      </c>
      <c r="AU39" s="167">
        <v>13</v>
      </c>
      <c r="AV39" s="159">
        <v>2185</v>
      </c>
      <c r="AW39" s="168" t="str">
        <f t="shared" si="13"/>
        <v>Tercapai</v>
      </c>
      <c r="AX39" s="167">
        <v>19</v>
      </c>
      <c r="AY39" s="167">
        <v>761</v>
      </c>
      <c r="AZ39" s="168" t="str">
        <f t="shared" si="14"/>
        <v>Tidak Tercapai</v>
      </c>
      <c r="BA39" s="167">
        <v>2</v>
      </c>
      <c r="BB39" s="170">
        <v>21</v>
      </c>
      <c r="BC39" s="168" t="str">
        <f t="shared" si="15"/>
        <v>Tidak Tercapai</v>
      </c>
      <c r="BD39" s="167">
        <v>0</v>
      </c>
      <c r="BE39" s="68"/>
      <c r="BF39" s="68"/>
      <c r="BG39" s="68"/>
      <c r="BH39" s="68"/>
      <c r="BI39" s="68"/>
      <c r="BJ39" s="68"/>
      <c r="BK39" s="68"/>
    </row>
    <row r="40" spans="1:63" ht="15.6" x14ac:dyDescent="0.3">
      <c r="A40" s="157">
        <v>38</v>
      </c>
      <c r="B40" s="158" t="s">
        <v>478</v>
      </c>
      <c r="C40" s="157" t="s">
        <v>461</v>
      </c>
      <c r="D40" s="157">
        <v>93920</v>
      </c>
      <c r="E40" s="157">
        <v>1099</v>
      </c>
      <c r="F40" s="171">
        <v>77377</v>
      </c>
      <c r="G40" s="160" t="s">
        <v>437</v>
      </c>
      <c r="H40" s="171">
        <v>57501</v>
      </c>
      <c r="I40" s="171">
        <v>427</v>
      </c>
      <c r="J40" s="160" t="str">
        <f t="shared" si="0"/>
        <v>Tidak Tercapai</v>
      </c>
      <c r="K40" s="171">
        <v>34</v>
      </c>
      <c r="L40" s="171">
        <v>0</v>
      </c>
      <c r="M40" s="160" t="str">
        <f t="shared" si="1"/>
        <v>Tidak Tercapai</v>
      </c>
      <c r="N40" s="171">
        <v>0</v>
      </c>
      <c r="O40" s="157">
        <v>1084</v>
      </c>
      <c r="P40" s="160" t="str">
        <f t="shared" si="2"/>
        <v>Tidak Tercapai</v>
      </c>
      <c r="Q40" s="161">
        <v>131</v>
      </c>
      <c r="R40" s="172">
        <v>1932</v>
      </c>
      <c r="S40" s="162" t="str">
        <f t="shared" si="3"/>
        <v>Tercapai</v>
      </c>
      <c r="T40" s="161">
        <v>67</v>
      </c>
      <c r="U40" s="163">
        <v>1419</v>
      </c>
      <c r="V40" s="162" t="str">
        <f t="shared" si="4"/>
        <v>Tidak Tercapai</v>
      </c>
      <c r="W40" s="164">
        <v>167</v>
      </c>
      <c r="X40" s="172">
        <v>1932</v>
      </c>
      <c r="Y40" s="165" t="str">
        <f t="shared" si="5"/>
        <v>Tercapai</v>
      </c>
      <c r="Z40" s="166">
        <v>281</v>
      </c>
      <c r="AA40" s="167">
        <v>1949</v>
      </c>
      <c r="AB40" s="168" t="str">
        <f t="shared" si="6"/>
        <v>Tercapai</v>
      </c>
      <c r="AC40" s="167">
        <v>113</v>
      </c>
      <c r="AD40" s="173">
        <v>496</v>
      </c>
      <c r="AE40" s="168" t="str">
        <f t="shared" si="7"/>
        <v>Tidak Tercapai</v>
      </c>
      <c r="AF40" s="167">
        <v>3</v>
      </c>
      <c r="AG40" s="167">
        <v>484</v>
      </c>
      <c r="AH40" s="168" t="str">
        <f t="shared" si="8"/>
        <v>Tidak Tercapai</v>
      </c>
      <c r="AI40" s="167">
        <v>3</v>
      </c>
      <c r="AJ40" s="173">
        <v>2018</v>
      </c>
      <c r="AK40" s="168" t="str">
        <f t="shared" si="9"/>
        <v>Tercapai</v>
      </c>
      <c r="AL40" s="173">
        <v>127</v>
      </c>
      <c r="AM40" s="173">
        <v>1640</v>
      </c>
      <c r="AN40" s="168" t="str">
        <f t="shared" si="10"/>
        <v>Tercapai</v>
      </c>
      <c r="AO40" s="173">
        <v>84</v>
      </c>
      <c r="AP40" s="167">
        <v>1992</v>
      </c>
      <c r="AQ40" s="168" t="str">
        <f t="shared" si="11"/>
        <v>Tercapai</v>
      </c>
      <c r="AR40" s="167">
        <v>38</v>
      </c>
      <c r="AS40" s="167">
        <v>1360</v>
      </c>
      <c r="AT40" s="168" t="str">
        <f t="shared" si="12"/>
        <v>Tercapai</v>
      </c>
      <c r="AU40" s="167">
        <v>15</v>
      </c>
      <c r="AV40" s="159">
        <v>1423</v>
      </c>
      <c r="AW40" s="168" t="str">
        <f t="shared" si="13"/>
        <v>Tercapai</v>
      </c>
      <c r="AX40" s="167">
        <v>238</v>
      </c>
      <c r="AY40" s="167">
        <v>195</v>
      </c>
      <c r="AZ40" s="168" t="str">
        <f t="shared" si="14"/>
        <v>Tidak Tercapai</v>
      </c>
      <c r="BA40" s="167">
        <v>5</v>
      </c>
      <c r="BB40" s="170">
        <v>0</v>
      </c>
      <c r="BC40" s="168" t="str">
        <f t="shared" si="15"/>
        <v>Tidak Tercapai</v>
      </c>
      <c r="BD40" s="167">
        <v>4</v>
      </c>
      <c r="BE40" s="68"/>
      <c r="BF40" s="68"/>
      <c r="BG40" s="68"/>
      <c r="BH40" s="68"/>
      <c r="BI40" s="68"/>
      <c r="BJ40" s="68"/>
      <c r="BK40" s="68"/>
    </row>
    <row r="41" spans="1:63" ht="15.6" x14ac:dyDescent="0.3">
      <c r="A41" s="157">
        <v>39</v>
      </c>
      <c r="B41" s="158" t="s">
        <v>479</v>
      </c>
      <c r="C41" s="157" t="s">
        <v>446</v>
      </c>
      <c r="D41" s="157">
        <v>86331</v>
      </c>
      <c r="E41" s="157">
        <v>1019</v>
      </c>
      <c r="F41" s="171">
        <v>93862</v>
      </c>
      <c r="G41" s="160" t="s">
        <v>437</v>
      </c>
      <c r="H41" s="171">
        <v>67141</v>
      </c>
      <c r="I41" s="171">
        <v>1073</v>
      </c>
      <c r="J41" s="160" t="str">
        <f t="shared" si="0"/>
        <v>Tercapai</v>
      </c>
      <c r="K41" s="171">
        <v>61</v>
      </c>
      <c r="L41" s="171">
        <v>4</v>
      </c>
      <c r="M41" s="160" t="str">
        <f t="shared" si="1"/>
        <v>Tidak Tercapai</v>
      </c>
      <c r="N41" s="171">
        <v>0</v>
      </c>
      <c r="O41" s="157">
        <v>1240</v>
      </c>
      <c r="P41" s="160" t="str">
        <f t="shared" si="2"/>
        <v>Tercapai</v>
      </c>
      <c r="Q41" s="161">
        <v>4</v>
      </c>
      <c r="R41" s="157">
        <v>1685</v>
      </c>
      <c r="S41" s="162" t="str">
        <f t="shared" si="3"/>
        <v>Tercapai</v>
      </c>
      <c r="T41" s="161">
        <v>24</v>
      </c>
      <c r="U41" s="163">
        <v>2063</v>
      </c>
      <c r="V41" s="162" t="str">
        <f t="shared" si="4"/>
        <v>Tercapai</v>
      </c>
      <c r="W41" s="164">
        <v>6</v>
      </c>
      <c r="X41" s="172">
        <v>2075</v>
      </c>
      <c r="Y41" s="165" t="str">
        <f t="shared" si="5"/>
        <v>Tercapai</v>
      </c>
      <c r="Z41" s="166">
        <v>21</v>
      </c>
      <c r="AA41" s="167">
        <v>2447</v>
      </c>
      <c r="AB41" s="168" t="str">
        <f t="shared" si="6"/>
        <v>Tercapai</v>
      </c>
      <c r="AC41" s="167">
        <v>27</v>
      </c>
      <c r="AD41" s="173">
        <v>226</v>
      </c>
      <c r="AE41" s="168" t="str">
        <f t="shared" si="7"/>
        <v>Tidak Tercapai</v>
      </c>
      <c r="AF41" s="167">
        <v>0</v>
      </c>
      <c r="AG41" s="167">
        <v>0</v>
      </c>
      <c r="AH41" s="168" t="str">
        <f t="shared" si="8"/>
        <v>Tidak Tercapai</v>
      </c>
      <c r="AI41" s="167">
        <v>0</v>
      </c>
      <c r="AJ41" s="173">
        <v>2518</v>
      </c>
      <c r="AK41" s="168" t="str">
        <f t="shared" si="9"/>
        <v>Tercapai</v>
      </c>
      <c r="AL41" s="173">
        <v>13</v>
      </c>
      <c r="AM41" s="173">
        <v>2762</v>
      </c>
      <c r="AN41" s="168" t="str">
        <f t="shared" si="10"/>
        <v>Tercapai</v>
      </c>
      <c r="AO41" s="173">
        <v>22</v>
      </c>
      <c r="AP41" s="167">
        <v>3268</v>
      </c>
      <c r="AQ41" s="168" t="str">
        <f t="shared" si="11"/>
        <v>Tercapai</v>
      </c>
      <c r="AR41" s="167">
        <v>19</v>
      </c>
      <c r="AS41" s="167">
        <v>3360</v>
      </c>
      <c r="AT41" s="168" t="str">
        <f t="shared" si="12"/>
        <v>Tercapai</v>
      </c>
      <c r="AU41" s="167">
        <v>38</v>
      </c>
      <c r="AV41" s="159">
        <v>3318</v>
      </c>
      <c r="AW41" s="168" t="str">
        <f t="shared" si="13"/>
        <v>Tercapai</v>
      </c>
      <c r="AX41" s="167">
        <v>10</v>
      </c>
      <c r="AY41" s="167">
        <v>404</v>
      </c>
      <c r="AZ41" s="168" t="str">
        <f t="shared" si="14"/>
        <v>Tidak Tercapai</v>
      </c>
      <c r="BA41" s="167">
        <v>1</v>
      </c>
      <c r="BB41" s="170">
        <v>0</v>
      </c>
      <c r="BC41" s="168" t="str">
        <f t="shared" si="15"/>
        <v>Tidak Tercapai</v>
      </c>
      <c r="BD41" s="167">
        <v>0</v>
      </c>
      <c r="BE41" s="68"/>
      <c r="BF41" s="68"/>
      <c r="BG41" s="68"/>
      <c r="BH41" s="68"/>
      <c r="BI41" s="68"/>
      <c r="BJ41" s="68"/>
      <c r="BK41" s="68"/>
    </row>
    <row r="42" spans="1:63" ht="15.6" x14ac:dyDescent="0.3">
      <c r="A42" s="157">
        <v>40</v>
      </c>
      <c r="B42" s="158" t="s">
        <v>480</v>
      </c>
      <c r="C42" s="157" t="s">
        <v>461</v>
      </c>
      <c r="D42" s="157">
        <v>74156</v>
      </c>
      <c r="E42" s="157">
        <v>893</v>
      </c>
      <c r="F42" s="159">
        <v>23538</v>
      </c>
      <c r="G42" s="160" t="s">
        <v>437</v>
      </c>
      <c r="H42" s="159">
        <v>18224</v>
      </c>
      <c r="I42" s="159">
        <v>189</v>
      </c>
      <c r="J42" s="160" t="str">
        <f t="shared" si="0"/>
        <v>Tidak Tercapai</v>
      </c>
      <c r="K42" s="159">
        <v>0</v>
      </c>
      <c r="L42" s="159">
        <v>0</v>
      </c>
      <c r="M42" s="160" t="str">
        <f t="shared" si="1"/>
        <v>Tidak Tercapai</v>
      </c>
      <c r="N42" s="159">
        <v>0</v>
      </c>
      <c r="O42" s="157">
        <v>567</v>
      </c>
      <c r="P42" s="160" t="str">
        <f t="shared" si="2"/>
        <v>Tidak Tercapai</v>
      </c>
      <c r="Q42" s="161">
        <v>2</v>
      </c>
      <c r="R42" s="164">
        <v>683</v>
      </c>
      <c r="S42" s="162" t="str">
        <f t="shared" si="3"/>
        <v>Tidak Tercapai</v>
      </c>
      <c r="T42" s="161">
        <v>0</v>
      </c>
      <c r="U42" s="163">
        <v>675</v>
      </c>
      <c r="V42" s="162" t="str">
        <f t="shared" si="4"/>
        <v>Tidak Tercapai</v>
      </c>
      <c r="W42" s="164">
        <v>13</v>
      </c>
      <c r="X42" s="164">
        <v>683</v>
      </c>
      <c r="Y42" s="165" t="str">
        <f t="shared" si="5"/>
        <v>Tidak Tercapai</v>
      </c>
      <c r="Z42" s="166">
        <v>0</v>
      </c>
      <c r="AA42" s="167">
        <v>706</v>
      </c>
      <c r="AB42" s="168" t="str">
        <f t="shared" si="6"/>
        <v>Tidak Tercapai</v>
      </c>
      <c r="AC42" s="167">
        <v>16</v>
      </c>
      <c r="AD42" s="167">
        <v>490</v>
      </c>
      <c r="AE42" s="168" t="str">
        <f t="shared" si="7"/>
        <v>Tidak Tercapai</v>
      </c>
      <c r="AF42" s="167">
        <v>0</v>
      </c>
      <c r="AG42" s="167">
        <v>0</v>
      </c>
      <c r="AH42" s="168" t="str">
        <f t="shared" si="8"/>
        <v>Tidak Tercapai</v>
      </c>
      <c r="AI42" s="167">
        <v>0</v>
      </c>
      <c r="AJ42" s="167">
        <v>789</v>
      </c>
      <c r="AK42" s="168" t="str">
        <f t="shared" si="9"/>
        <v>Tidak Tercapai</v>
      </c>
      <c r="AL42" s="167">
        <v>8</v>
      </c>
      <c r="AM42" s="167">
        <v>606</v>
      </c>
      <c r="AN42" s="168" t="str">
        <f t="shared" si="10"/>
        <v>Tidak Tercapai</v>
      </c>
      <c r="AO42" s="167">
        <v>4</v>
      </c>
      <c r="AP42" s="167">
        <v>870</v>
      </c>
      <c r="AQ42" s="168" t="str">
        <f t="shared" si="11"/>
        <v>Tidak Tercapai</v>
      </c>
      <c r="AR42" s="167">
        <v>42</v>
      </c>
      <c r="AS42" s="167">
        <v>848</v>
      </c>
      <c r="AT42" s="168" t="str">
        <f t="shared" si="12"/>
        <v>Tidak Tercapai</v>
      </c>
      <c r="AU42" s="167">
        <v>28</v>
      </c>
      <c r="AV42" s="159">
        <v>1183</v>
      </c>
      <c r="AW42" s="168" t="str">
        <f t="shared" si="13"/>
        <v>Tercapai</v>
      </c>
      <c r="AX42" s="167">
        <v>37</v>
      </c>
      <c r="AY42" s="167">
        <v>176</v>
      </c>
      <c r="AZ42" s="168" t="str">
        <f t="shared" si="14"/>
        <v>Tidak Tercapai</v>
      </c>
      <c r="BA42" s="167">
        <v>1</v>
      </c>
      <c r="BB42" s="170">
        <v>116</v>
      </c>
      <c r="BC42" s="168" t="str">
        <f t="shared" si="15"/>
        <v>Tidak Tercapai</v>
      </c>
      <c r="BD42" s="167">
        <v>0</v>
      </c>
      <c r="BE42" s="68"/>
      <c r="BF42" s="68"/>
      <c r="BG42" s="68"/>
      <c r="BH42" s="68"/>
      <c r="BI42" s="68"/>
      <c r="BJ42" s="68"/>
      <c r="BK42" s="68"/>
    </row>
    <row r="43" spans="1:63" ht="15.6" x14ac:dyDescent="0.3">
      <c r="A43" s="157">
        <v>41</v>
      </c>
      <c r="B43" s="158" t="s">
        <v>481</v>
      </c>
      <c r="C43" s="157" t="s">
        <v>461</v>
      </c>
      <c r="D43" s="157">
        <v>74839</v>
      </c>
      <c r="E43" s="157">
        <v>879</v>
      </c>
      <c r="F43" s="171">
        <v>128051</v>
      </c>
      <c r="G43" s="160" t="s">
        <v>437</v>
      </c>
      <c r="H43" s="171">
        <v>106825</v>
      </c>
      <c r="I43" s="171">
        <v>208</v>
      </c>
      <c r="J43" s="160" t="str">
        <f t="shared" si="0"/>
        <v>Tidak Tercapai</v>
      </c>
      <c r="K43" s="171">
        <v>59</v>
      </c>
      <c r="L43" s="171">
        <v>31</v>
      </c>
      <c r="M43" s="160" t="str">
        <f t="shared" si="1"/>
        <v>Tidak Tercapai</v>
      </c>
      <c r="N43" s="171">
        <v>5</v>
      </c>
      <c r="O43" s="157">
        <v>941</v>
      </c>
      <c r="P43" s="160" t="str">
        <f t="shared" si="2"/>
        <v>Tercapai</v>
      </c>
      <c r="Q43" s="161">
        <v>126</v>
      </c>
      <c r="R43" s="172">
        <v>1272</v>
      </c>
      <c r="S43" s="162" t="str">
        <f t="shared" si="3"/>
        <v>Tercapai</v>
      </c>
      <c r="T43" s="161">
        <v>64</v>
      </c>
      <c r="U43" s="163">
        <v>2063</v>
      </c>
      <c r="V43" s="162" t="str">
        <f t="shared" si="4"/>
        <v>Tercapai</v>
      </c>
      <c r="W43" s="164">
        <v>138</v>
      </c>
      <c r="X43" s="172">
        <v>1272</v>
      </c>
      <c r="Y43" s="165" t="str">
        <f t="shared" si="5"/>
        <v>Tercapai</v>
      </c>
      <c r="Z43" s="166">
        <v>103</v>
      </c>
      <c r="AA43" s="167">
        <v>1199</v>
      </c>
      <c r="AB43" s="168" t="str">
        <f t="shared" si="6"/>
        <v>Tercapai</v>
      </c>
      <c r="AC43" s="167">
        <v>113</v>
      </c>
      <c r="AD43" s="173">
        <v>528</v>
      </c>
      <c r="AE43" s="168" t="str">
        <f t="shared" si="7"/>
        <v>Tidak Tercapai</v>
      </c>
      <c r="AF43" s="167">
        <v>42</v>
      </c>
      <c r="AG43" s="167">
        <v>110</v>
      </c>
      <c r="AH43" s="168" t="str">
        <f t="shared" si="8"/>
        <v>Tidak Tercapai</v>
      </c>
      <c r="AI43" s="167">
        <v>31</v>
      </c>
      <c r="AJ43" s="173">
        <v>1603</v>
      </c>
      <c r="AK43" s="168" t="str">
        <f t="shared" si="9"/>
        <v>Tercapai</v>
      </c>
      <c r="AL43" s="173">
        <v>128</v>
      </c>
      <c r="AM43" s="173">
        <v>1174</v>
      </c>
      <c r="AN43" s="168" t="str">
        <f t="shared" si="10"/>
        <v>Tercapai</v>
      </c>
      <c r="AO43" s="173">
        <v>216</v>
      </c>
      <c r="AP43" s="167">
        <v>2257</v>
      </c>
      <c r="AQ43" s="168" t="str">
        <f t="shared" si="11"/>
        <v>Tercapai</v>
      </c>
      <c r="AR43" s="167">
        <v>164</v>
      </c>
      <c r="AS43" s="167">
        <v>2497</v>
      </c>
      <c r="AT43" s="168" t="str">
        <f t="shared" si="12"/>
        <v>Tercapai</v>
      </c>
      <c r="AU43" s="167">
        <v>126</v>
      </c>
      <c r="AV43" s="159">
        <v>2260</v>
      </c>
      <c r="AW43" s="168" t="str">
        <f t="shared" si="13"/>
        <v>Tercapai</v>
      </c>
      <c r="AX43" s="167">
        <v>104</v>
      </c>
      <c r="AY43" s="167">
        <v>1713</v>
      </c>
      <c r="AZ43" s="168" t="str">
        <f t="shared" si="14"/>
        <v>Tercapai</v>
      </c>
      <c r="BA43" s="167">
        <v>42</v>
      </c>
      <c r="BB43" s="170">
        <v>1</v>
      </c>
      <c r="BC43" s="168" t="str">
        <f t="shared" si="15"/>
        <v>Tidak Tercapai</v>
      </c>
      <c r="BD43" s="167">
        <v>0</v>
      </c>
      <c r="BE43" s="68"/>
      <c r="BF43" s="68"/>
      <c r="BG43" s="68"/>
      <c r="BH43" s="68"/>
      <c r="BI43" s="68"/>
      <c r="BJ43" s="68"/>
      <c r="BK43" s="68"/>
    </row>
    <row r="44" spans="1:63" ht="15.6" x14ac:dyDescent="0.3">
      <c r="A44" s="157">
        <v>42</v>
      </c>
      <c r="B44" s="158" t="s">
        <v>482</v>
      </c>
      <c r="C44" s="157" t="s">
        <v>461</v>
      </c>
      <c r="D44" s="157">
        <v>67585</v>
      </c>
      <c r="E44" s="157">
        <v>770</v>
      </c>
      <c r="F44" s="171">
        <v>51423</v>
      </c>
      <c r="G44" s="160" t="s">
        <v>437</v>
      </c>
      <c r="H44" s="171">
        <v>32895</v>
      </c>
      <c r="I44" s="171">
        <v>57</v>
      </c>
      <c r="J44" s="160" t="str">
        <f t="shared" si="0"/>
        <v>Tidak Tercapai</v>
      </c>
      <c r="K44" s="171">
        <v>42</v>
      </c>
      <c r="L44" s="171">
        <v>0</v>
      </c>
      <c r="M44" s="160" t="str">
        <f t="shared" si="1"/>
        <v>Tidak Tercapai</v>
      </c>
      <c r="N44" s="171">
        <v>0</v>
      </c>
      <c r="O44" s="157">
        <v>1445</v>
      </c>
      <c r="P44" s="160" t="str">
        <f t="shared" si="2"/>
        <v>Tercapai</v>
      </c>
      <c r="Q44" s="161">
        <v>8</v>
      </c>
      <c r="R44" s="172">
        <v>1591</v>
      </c>
      <c r="S44" s="162" t="str">
        <f t="shared" si="3"/>
        <v>Tercapai</v>
      </c>
      <c r="T44" s="161">
        <v>22</v>
      </c>
      <c r="U44" s="163">
        <v>2508</v>
      </c>
      <c r="V44" s="162" t="str">
        <f t="shared" si="4"/>
        <v>Tercapai</v>
      </c>
      <c r="W44" s="164">
        <v>14</v>
      </c>
      <c r="X44" s="172">
        <v>1591</v>
      </c>
      <c r="Y44" s="165" t="str">
        <f t="shared" si="5"/>
        <v>Tercapai</v>
      </c>
      <c r="Z44" s="166">
        <v>19</v>
      </c>
      <c r="AA44" s="167">
        <v>1991</v>
      </c>
      <c r="AB44" s="168" t="str">
        <f t="shared" si="6"/>
        <v>Tercapai</v>
      </c>
      <c r="AC44" s="167">
        <v>24</v>
      </c>
      <c r="AD44" s="173">
        <v>1009</v>
      </c>
      <c r="AE44" s="168" t="str">
        <f t="shared" si="7"/>
        <v>Tercapai</v>
      </c>
      <c r="AF44" s="167">
        <v>0</v>
      </c>
      <c r="AG44" s="167">
        <v>0</v>
      </c>
      <c r="AH44" s="168" t="str">
        <f t="shared" si="8"/>
        <v>Tidak Tercapai</v>
      </c>
      <c r="AI44" s="167">
        <v>0</v>
      </c>
      <c r="AJ44" s="173">
        <v>2320</v>
      </c>
      <c r="AK44" s="168" t="str">
        <f t="shared" si="9"/>
        <v>Tercapai</v>
      </c>
      <c r="AL44" s="173">
        <v>31</v>
      </c>
      <c r="AM44" s="173">
        <v>1894</v>
      </c>
      <c r="AN44" s="168" t="str">
        <f t="shared" si="10"/>
        <v>Tercapai</v>
      </c>
      <c r="AO44" s="173">
        <v>43</v>
      </c>
      <c r="AP44" s="167">
        <v>4088</v>
      </c>
      <c r="AQ44" s="168" t="str">
        <f t="shared" si="11"/>
        <v>Tercapai</v>
      </c>
      <c r="AR44" s="167">
        <v>12</v>
      </c>
      <c r="AS44" s="167">
        <v>2875</v>
      </c>
      <c r="AT44" s="168" t="str">
        <f t="shared" si="12"/>
        <v>Tercapai</v>
      </c>
      <c r="AU44" s="167">
        <v>4</v>
      </c>
      <c r="AV44" s="159">
        <v>2985</v>
      </c>
      <c r="AW44" s="168" t="str">
        <f t="shared" si="13"/>
        <v>Tercapai</v>
      </c>
      <c r="AX44" s="167">
        <v>17</v>
      </c>
      <c r="AY44" s="167">
        <v>2275</v>
      </c>
      <c r="AZ44" s="168" t="str">
        <f t="shared" si="14"/>
        <v>Tercapai</v>
      </c>
      <c r="BA44" s="167">
        <v>1</v>
      </c>
      <c r="BB44" s="170">
        <v>1</v>
      </c>
      <c r="BC44" s="168" t="str">
        <f t="shared" si="15"/>
        <v>Tidak Tercapai</v>
      </c>
      <c r="BD44" s="167">
        <v>0</v>
      </c>
      <c r="BE44" s="68"/>
      <c r="BF44" s="68"/>
      <c r="BG44" s="68"/>
      <c r="BH44" s="68"/>
      <c r="BI44" s="68"/>
      <c r="BJ44" s="68"/>
      <c r="BK44" s="68"/>
    </row>
    <row r="45" spans="1:63" ht="15.6" x14ac:dyDescent="0.3">
      <c r="A45" s="157">
        <v>43</v>
      </c>
      <c r="B45" s="174" t="s">
        <v>483</v>
      </c>
      <c r="C45" s="157" t="s">
        <v>484</v>
      </c>
      <c r="D45" s="157">
        <v>11451</v>
      </c>
      <c r="E45" s="157">
        <v>122</v>
      </c>
      <c r="F45" s="171">
        <v>3996</v>
      </c>
      <c r="G45" s="160" t="s">
        <v>437</v>
      </c>
      <c r="H45" s="171">
        <v>2850</v>
      </c>
      <c r="I45" s="171">
        <v>0</v>
      </c>
      <c r="J45" s="160" t="str">
        <f t="shared" si="0"/>
        <v>Tidak Tercapai</v>
      </c>
      <c r="K45" s="171">
        <v>0</v>
      </c>
      <c r="L45" s="171">
        <v>0</v>
      </c>
      <c r="M45" s="160" t="str">
        <f t="shared" si="1"/>
        <v>Tidak Tercapai</v>
      </c>
      <c r="N45" s="171">
        <v>0</v>
      </c>
      <c r="O45" s="157">
        <v>12</v>
      </c>
      <c r="P45" s="160" t="str">
        <f t="shared" si="2"/>
        <v>Tidak Tercapai</v>
      </c>
      <c r="Q45" s="161">
        <v>14</v>
      </c>
      <c r="R45" s="157">
        <v>65</v>
      </c>
      <c r="S45" s="162" t="str">
        <f t="shared" si="3"/>
        <v>Tidak Tercapai</v>
      </c>
      <c r="T45" s="161">
        <v>3</v>
      </c>
      <c r="U45" s="163">
        <v>67</v>
      </c>
      <c r="V45" s="162" t="str">
        <f t="shared" si="4"/>
        <v>Tercapai</v>
      </c>
      <c r="W45" s="164">
        <v>1</v>
      </c>
      <c r="X45" s="172">
        <v>113</v>
      </c>
      <c r="Y45" s="165" t="str">
        <f t="shared" si="5"/>
        <v>Tidak Tercapai</v>
      </c>
      <c r="Z45" s="166">
        <v>12</v>
      </c>
      <c r="AA45" s="167">
        <v>172</v>
      </c>
      <c r="AB45" s="168" t="str">
        <f t="shared" si="6"/>
        <v>Tercapai</v>
      </c>
      <c r="AC45" s="167">
        <v>21</v>
      </c>
      <c r="AD45" s="173">
        <v>8</v>
      </c>
      <c r="AE45" s="168" t="str">
        <f t="shared" si="7"/>
        <v>Tidak Tercapai</v>
      </c>
      <c r="AF45" s="167">
        <v>0</v>
      </c>
      <c r="AG45" s="167">
        <v>176</v>
      </c>
      <c r="AH45" s="168" t="str">
        <f t="shared" si="8"/>
        <v>Tercapai</v>
      </c>
      <c r="AI45" s="167">
        <v>5</v>
      </c>
      <c r="AJ45" s="173">
        <v>340</v>
      </c>
      <c r="AK45" s="168" t="str">
        <f t="shared" si="9"/>
        <v>Tercapai</v>
      </c>
      <c r="AL45" s="173">
        <v>15</v>
      </c>
      <c r="AM45" s="173">
        <v>802</v>
      </c>
      <c r="AN45" s="168" t="str">
        <f t="shared" si="10"/>
        <v>Tercapai</v>
      </c>
      <c r="AO45" s="173">
        <v>43</v>
      </c>
      <c r="AP45" s="167">
        <v>1435</v>
      </c>
      <c r="AQ45" s="168" t="str">
        <f t="shared" si="11"/>
        <v>Tercapai</v>
      </c>
      <c r="AR45" s="167">
        <v>24</v>
      </c>
      <c r="AS45" s="167">
        <v>235</v>
      </c>
      <c r="AT45" s="168" t="str">
        <f t="shared" si="12"/>
        <v>Tercapai</v>
      </c>
      <c r="AU45" s="167">
        <v>11</v>
      </c>
      <c r="AV45" s="159">
        <v>298</v>
      </c>
      <c r="AW45" s="168" t="str">
        <f t="shared" si="13"/>
        <v>Tercapai</v>
      </c>
      <c r="AX45" s="167">
        <v>22</v>
      </c>
      <c r="AY45" s="167">
        <v>55</v>
      </c>
      <c r="AZ45" s="168" t="str">
        <f t="shared" si="14"/>
        <v>Tidak Tercapai</v>
      </c>
      <c r="BA45" s="167">
        <v>3</v>
      </c>
      <c r="BB45" s="170">
        <v>0</v>
      </c>
      <c r="BC45" s="168" t="str">
        <f t="shared" si="15"/>
        <v>Tidak Tercapai</v>
      </c>
      <c r="BD45" s="167">
        <v>0</v>
      </c>
      <c r="BE45" s="68"/>
      <c r="BF45" s="68"/>
      <c r="BG45" s="68"/>
      <c r="BH45" s="68"/>
      <c r="BI45" s="68"/>
      <c r="BJ45" s="68"/>
      <c r="BK45" s="68"/>
    </row>
    <row r="46" spans="1:63" ht="15.6" x14ac:dyDescent="0.3">
      <c r="A46" s="157">
        <v>44</v>
      </c>
      <c r="B46" s="174" t="s">
        <v>485</v>
      </c>
      <c r="C46" s="157" t="s">
        <v>484</v>
      </c>
      <c r="D46" s="157">
        <v>8039</v>
      </c>
      <c r="E46" s="157">
        <v>82</v>
      </c>
      <c r="F46" s="159">
        <v>4363</v>
      </c>
      <c r="G46" s="160" t="s">
        <v>437</v>
      </c>
      <c r="H46" s="159">
        <v>2818</v>
      </c>
      <c r="I46" s="159">
        <v>0</v>
      </c>
      <c r="J46" s="160" t="str">
        <f t="shared" si="0"/>
        <v>Tidak Tercapai</v>
      </c>
      <c r="K46" s="159">
        <v>0</v>
      </c>
      <c r="L46" s="159">
        <v>0</v>
      </c>
      <c r="M46" s="160" t="str">
        <f t="shared" si="1"/>
        <v>Tidak Tercapai</v>
      </c>
      <c r="N46" s="159">
        <v>0</v>
      </c>
      <c r="O46" s="157">
        <v>39</v>
      </c>
      <c r="P46" s="160" t="str">
        <f t="shared" si="2"/>
        <v>Tidak Tercapai</v>
      </c>
      <c r="Q46" s="161">
        <v>0</v>
      </c>
      <c r="R46" s="157">
        <v>63</v>
      </c>
      <c r="S46" s="162" t="str">
        <f t="shared" si="3"/>
        <v>Tidak Tercapai</v>
      </c>
      <c r="T46" s="161">
        <v>17</v>
      </c>
      <c r="U46" s="163">
        <v>74</v>
      </c>
      <c r="V46" s="162" t="str">
        <f t="shared" si="4"/>
        <v>Tercapai</v>
      </c>
      <c r="W46" s="164">
        <v>0</v>
      </c>
      <c r="X46" s="164">
        <v>153</v>
      </c>
      <c r="Y46" s="165" t="str">
        <f t="shared" si="5"/>
        <v>Tercapai</v>
      </c>
      <c r="Z46" s="166">
        <v>0</v>
      </c>
      <c r="AA46" s="167">
        <v>419</v>
      </c>
      <c r="AB46" s="168" t="str">
        <f t="shared" si="6"/>
        <v>Tercapai</v>
      </c>
      <c r="AC46" s="167">
        <v>36</v>
      </c>
      <c r="AD46" s="167">
        <v>138</v>
      </c>
      <c r="AE46" s="168" t="str">
        <f t="shared" si="7"/>
        <v>Tercapai</v>
      </c>
      <c r="AF46" s="167">
        <v>0</v>
      </c>
      <c r="AG46" s="167">
        <v>232</v>
      </c>
      <c r="AH46" s="168" t="str">
        <f t="shared" si="8"/>
        <v>Tercapai</v>
      </c>
      <c r="AI46" s="167">
        <v>9</v>
      </c>
      <c r="AJ46" s="167">
        <v>348</v>
      </c>
      <c r="AK46" s="168" t="str">
        <f t="shared" si="9"/>
        <v>Tercapai</v>
      </c>
      <c r="AL46" s="167">
        <v>2</v>
      </c>
      <c r="AM46" s="167">
        <v>376</v>
      </c>
      <c r="AN46" s="168" t="str">
        <f t="shared" si="10"/>
        <v>Tercapai</v>
      </c>
      <c r="AO46" s="167">
        <v>36</v>
      </c>
      <c r="AP46" s="167">
        <v>371</v>
      </c>
      <c r="AQ46" s="168" t="str">
        <f t="shared" si="11"/>
        <v>Tercapai</v>
      </c>
      <c r="AR46" s="167">
        <v>25</v>
      </c>
      <c r="AS46" s="167">
        <v>251</v>
      </c>
      <c r="AT46" s="168" t="str">
        <f t="shared" si="12"/>
        <v>Tercapai</v>
      </c>
      <c r="AU46" s="167">
        <v>6</v>
      </c>
      <c r="AV46" s="159">
        <v>226</v>
      </c>
      <c r="AW46" s="168" t="str">
        <f t="shared" si="13"/>
        <v>Tercapai</v>
      </c>
      <c r="AX46" s="167">
        <v>8</v>
      </c>
      <c r="AY46" s="167">
        <v>58</v>
      </c>
      <c r="AZ46" s="168" t="str">
        <f t="shared" si="14"/>
        <v>Tidak Tercapai</v>
      </c>
      <c r="BA46" s="167">
        <v>8</v>
      </c>
      <c r="BB46" s="170">
        <v>0</v>
      </c>
      <c r="BC46" s="168" t="str">
        <f t="shared" si="15"/>
        <v>Tidak Tercapai</v>
      </c>
      <c r="BD46" s="167">
        <v>1</v>
      </c>
      <c r="BE46" s="68"/>
      <c r="BF46" s="68"/>
      <c r="BG46" s="68"/>
      <c r="BH46" s="68"/>
      <c r="BI46" s="68"/>
      <c r="BJ46" s="68"/>
      <c r="BK46" s="68"/>
    </row>
    <row r="47" spans="1:63" ht="13.8" x14ac:dyDescent="0.3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175"/>
      <c r="Q47" s="68"/>
      <c r="R47" s="68"/>
      <c r="S47" s="68"/>
      <c r="T47" s="68"/>
      <c r="U47" s="176"/>
      <c r="V47" s="68"/>
      <c r="W47" s="68"/>
      <c r="X47" s="68"/>
      <c r="Y47" s="68"/>
      <c r="Z47" s="68"/>
      <c r="AA47" s="68"/>
      <c r="AB47" s="177"/>
      <c r="AC47" s="68"/>
      <c r="AD47" s="68"/>
      <c r="AE47" s="177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</row>
    <row r="48" spans="1:63" ht="13.8" x14ac:dyDescent="0.3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175"/>
      <c r="Q48" s="68"/>
      <c r="R48" s="68"/>
      <c r="S48" s="68"/>
      <c r="T48" s="68"/>
      <c r="U48" s="176"/>
      <c r="V48" s="68"/>
      <c r="W48" s="68"/>
      <c r="X48" s="68"/>
      <c r="Y48" s="68"/>
      <c r="Z48" s="68"/>
      <c r="AA48" s="68"/>
      <c r="AB48" s="177"/>
      <c r="AC48" s="68"/>
      <c r="AD48" s="68"/>
      <c r="AE48" s="177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</row>
    <row r="49" spans="1:63" ht="13.8" x14ac:dyDescent="0.3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175"/>
      <c r="Q49" s="68"/>
      <c r="R49" s="68"/>
      <c r="S49" s="68"/>
      <c r="T49" s="68"/>
      <c r="U49" s="176"/>
      <c r="V49" s="68"/>
      <c r="W49" s="68"/>
      <c r="X49" s="68"/>
      <c r="Y49" s="68"/>
      <c r="Z49" s="68"/>
      <c r="AA49" s="68"/>
      <c r="AB49" s="177"/>
      <c r="AC49" s="68"/>
      <c r="AD49" s="68"/>
      <c r="AE49" s="177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</row>
    <row r="50" spans="1:63" ht="13.8" x14ac:dyDescent="0.3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175"/>
      <c r="Q50" s="68"/>
      <c r="R50" s="68"/>
      <c r="S50" s="68"/>
      <c r="T50" s="68"/>
      <c r="U50" s="176"/>
      <c r="V50" s="68"/>
      <c r="W50" s="68"/>
      <c r="X50" s="68"/>
      <c r="Y50" s="68"/>
      <c r="Z50" s="68"/>
      <c r="AA50" s="68"/>
      <c r="AB50" s="177"/>
      <c r="AC50" s="68"/>
      <c r="AD50" s="68"/>
      <c r="AE50" s="177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</row>
    <row r="51" spans="1:63" ht="13.8" x14ac:dyDescent="0.3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175"/>
      <c r="Q51" s="68"/>
      <c r="R51" s="68"/>
      <c r="S51" s="68"/>
      <c r="T51" s="68"/>
      <c r="U51" s="176"/>
      <c r="V51" s="68"/>
      <c r="W51" s="68"/>
      <c r="X51" s="68"/>
      <c r="Y51" s="68"/>
      <c r="Z51" s="68"/>
      <c r="AA51" s="68"/>
      <c r="AB51" s="177"/>
      <c r="AC51" s="68"/>
      <c r="AD51" s="68"/>
      <c r="AE51" s="177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</row>
    <row r="52" spans="1:63" ht="13.8" x14ac:dyDescent="0.3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175"/>
      <c r="Q52" s="68"/>
      <c r="R52" s="68"/>
      <c r="S52" s="68"/>
      <c r="T52" s="68"/>
      <c r="U52" s="176"/>
      <c r="V52" s="68"/>
      <c r="W52" s="68"/>
      <c r="X52" s="68"/>
      <c r="Y52" s="68"/>
      <c r="Z52" s="68"/>
      <c r="AA52" s="68"/>
      <c r="AB52" s="177"/>
      <c r="AC52" s="68"/>
      <c r="AD52" s="68"/>
      <c r="AE52" s="177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</row>
    <row r="53" spans="1:63" ht="13.8" x14ac:dyDescent="0.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176"/>
      <c r="V53" s="68"/>
      <c r="W53" s="68"/>
      <c r="X53" s="68"/>
      <c r="Y53" s="68"/>
      <c r="Z53" s="68"/>
      <c r="AA53" s="68"/>
      <c r="AB53" s="177"/>
      <c r="AC53" s="68"/>
      <c r="AD53" s="68"/>
      <c r="AE53" s="177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</row>
    <row r="54" spans="1:63" ht="13.8" x14ac:dyDescent="0.3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176"/>
      <c r="V54" s="68"/>
      <c r="W54" s="68"/>
      <c r="X54" s="68"/>
      <c r="Y54" s="68"/>
      <c r="Z54" s="68"/>
      <c r="AA54" s="68"/>
      <c r="AB54" s="177"/>
      <c r="AC54" s="68"/>
      <c r="AD54" s="68"/>
      <c r="AE54" s="177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</row>
    <row r="55" spans="1:63" ht="13.8" x14ac:dyDescent="0.3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176"/>
      <c r="V55" s="68"/>
      <c r="W55" s="68"/>
      <c r="X55" s="68"/>
      <c r="Y55" s="68"/>
      <c r="Z55" s="68"/>
      <c r="AA55" s="68"/>
      <c r="AB55" s="177"/>
      <c r="AC55" s="68"/>
      <c r="AD55" s="68"/>
      <c r="AE55" s="177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</row>
    <row r="56" spans="1:63" ht="13.8" x14ac:dyDescent="0.3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176"/>
      <c r="V56" s="68"/>
      <c r="W56" s="68"/>
      <c r="X56" s="68"/>
      <c r="Y56" s="68"/>
      <c r="Z56" s="68"/>
      <c r="AA56" s="68"/>
      <c r="AB56" s="177"/>
      <c r="AC56" s="68"/>
      <c r="AD56" s="68"/>
      <c r="AE56" s="177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</row>
    <row r="57" spans="1:63" ht="13.8" x14ac:dyDescent="0.3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176"/>
      <c r="V57" s="68"/>
      <c r="W57" s="68"/>
      <c r="X57" s="68"/>
      <c r="Y57" s="68"/>
      <c r="Z57" s="68"/>
      <c r="AA57" s="68"/>
      <c r="AB57" s="177"/>
      <c r="AC57" s="68"/>
      <c r="AD57" s="68"/>
      <c r="AE57" s="177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</row>
    <row r="58" spans="1:63" ht="13.8" x14ac:dyDescent="0.3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176"/>
      <c r="V58" s="68"/>
      <c r="W58" s="68"/>
      <c r="X58" s="68"/>
      <c r="Y58" s="68"/>
      <c r="Z58" s="68"/>
      <c r="AA58" s="68"/>
      <c r="AB58" s="177"/>
      <c r="AC58" s="68"/>
      <c r="AD58" s="68"/>
      <c r="AE58" s="177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</row>
    <row r="59" spans="1:63" ht="13.8" x14ac:dyDescent="0.3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176"/>
      <c r="V59" s="68"/>
      <c r="W59" s="68"/>
      <c r="X59" s="68"/>
      <c r="Y59" s="68"/>
      <c r="Z59" s="68"/>
      <c r="AA59" s="68"/>
      <c r="AB59" s="177"/>
      <c r="AC59" s="68"/>
      <c r="AD59" s="68"/>
      <c r="AE59" s="177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</row>
    <row r="60" spans="1:63" ht="13.8" x14ac:dyDescent="0.3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176"/>
      <c r="V60" s="68"/>
      <c r="W60" s="68"/>
      <c r="X60" s="68"/>
      <c r="Y60" s="68"/>
      <c r="Z60" s="68"/>
      <c r="AA60" s="68"/>
      <c r="AB60" s="177"/>
      <c r="AC60" s="68"/>
      <c r="AD60" s="68"/>
      <c r="AE60" s="177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</row>
    <row r="61" spans="1:63" ht="13.8" x14ac:dyDescent="0.3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176"/>
      <c r="V61" s="68"/>
      <c r="W61" s="68"/>
      <c r="X61" s="68"/>
      <c r="Y61" s="68"/>
      <c r="Z61" s="68"/>
      <c r="AA61" s="68"/>
      <c r="AB61" s="177"/>
      <c r="AC61" s="68"/>
      <c r="AD61" s="68"/>
      <c r="AE61" s="177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</row>
    <row r="62" spans="1:63" ht="13.8" x14ac:dyDescent="0.3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176"/>
      <c r="V62" s="68"/>
      <c r="W62" s="68"/>
      <c r="X62" s="68"/>
      <c r="Y62" s="68"/>
      <c r="Z62" s="68"/>
      <c r="AA62" s="68"/>
      <c r="AB62" s="177"/>
      <c r="AC62" s="68"/>
      <c r="AD62" s="68"/>
      <c r="AE62" s="177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</row>
    <row r="63" spans="1:63" ht="13.8" x14ac:dyDescent="0.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176"/>
      <c r="V63" s="68"/>
      <c r="W63" s="68"/>
      <c r="X63" s="68"/>
      <c r="Y63" s="68"/>
      <c r="Z63" s="68"/>
      <c r="AA63" s="68"/>
      <c r="AB63" s="177"/>
      <c r="AC63" s="68"/>
      <c r="AD63" s="68"/>
      <c r="AE63" s="177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</row>
    <row r="64" spans="1:63" ht="13.8" x14ac:dyDescent="0.3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176"/>
      <c r="V64" s="68"/>
      <c r="W64" s="68"/>
      <c r="X64" s="68"/>
      <c r="Y64" s="68"/>
      <c r="Z64" s="68"/>
      <c r="AA64" s="68"/>
      <c r="AB64" s="177"/>
      <c r="AC64" s="68"/>
      <c r="AD64" s="68"/>
      <c r="AE64" s="177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</row>
    <row r="65" spans="1:63" ht="13.8" x14ac:dyDescent="0.3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176"/>
      <c r="V65" s="68"/>
      <c r="W65" s="68"/>
      <c r="X65" s="68"/>
      <c r="Y65" s="68"/>
      <c r="Z65" s="68"/>
      <c r="AA65" s="68"/>
      <c r="AB65" s="177"/>
      <c r="AC65" s="68"/>
      <c r="AD65" s="68"/>
      <c r="AE65" s="177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</row>
    <row r="66" spans="1:63" ht="13.8" x14ac:dyDescent="0.3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176"/>
      <c r="V66" s="68"/>
      <c r="W66" s="68"/>
      <c r="X66" s="68"/>
      <c r="Y66" s="68"/>
      <c r="Z66" s="68"/>
      <c r="AA66" s="68"/>
      <c r="AB66" s="177"/>
      <c r="AC66" s="68"/>
      <c r="AD66" s="68"/>
      <c r="AE66" s="177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</row>
    <row r="67" spans="1:63" ht="13.8" x14ac:dyDescent="0.3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176"/>
      <c r="V67" s="68"/>
      <c r="W67" s="68"/>
      <c r="X67" s="68"/>
      <c r="Y67" s="68"/>
      <c r="Z67" s="68"/>
      <c r="AA67" s="68"/>
      <c r="AB67" s="177"/>
      <c r="AC67" s="68"/>
      <c r="AD67" s="68"/>
      <c r="AE67" s="177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</row>
    <row r="68" spans="1:63" ht="13.8" x14ac:dyDescent="0.3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176"/>
      <c r="V68" s="68"/>
      <c r="W68" s="68"/>
      <c r="X68" s="68"/>
      <c r="Y68" s="68"/>
      <c r="Z68" s="68"/>
      <c r="AA68" s="68"/>
      <c r="AB68" s="177"/>
      <c r="AC68" s="68"/>
      <c r="AD68" s="68"/>
      <c r="AE68" s="177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</row>
    <row r="69" spans="1:63" ht="13.8" x14ac:dyDescent="0.3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176"/>
      <c r="V69" s="68"/>
      <c r="W69" s="68"/>
      <c r="X69" s="68"/>
      <c r="Y69" s="68"/>
      <c r="Z69" s="68"/>
      <c r="AA69" s="68"/>
      <c r="AB69" s="177"/>
      <c r="AC69" s="68"/>
      <c r="AD69" s="68"/>
      <c r="AE69" s="177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</row>
    <row r="70" spans="1:63" ht="13.8" x14ac:dyDescent="0.3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176"/>
      <c r="V70" s="68"/>
      <c r="W70" s="68"/>
      <c r="X70" s="68"/>
      <c r="Y70" s="68"/>
      <c r="Z70" s="68"/>
      <c r="AA70" s="68"/>
      <c r="AB70" s="177"/>
      <c r="AC70" s="68"/>
      <c r="AD70" s="68"/>
      <c r="AE70" s="177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</row>
    <row r="71" spans="1:63" ht="13.8" x14ac:dyDescent="0.3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176"/>
      <c r="V71" s="68"/>
      <c r="W71" s="68"/>
      <c r="X71" s="68"/>
      <c r="Y71" s="68"/>
      <c r="Z71" s="68"/>
      <c r="AA71" s="68"/>
      <c r="AB71" s="177"/>
      <c r="AC71" s="68"/>
      <c r="AD71" s="68"/>
      <c r="AE71" s="177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</row>
    <row r="72" spans="1:63" ht="13.8" x14ac:dyDescent="0.3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176"/>
      <c r="V72" s="68"/>
      <c r="W72" s="68"/>
      <c r="X72" s="68"/>
      <c r="Y72" s="68"/>
      <c r="Z72" s="68"/>
      <c r="AA72" s="68"/>
      <c r="AB72" s="177"/>
      <c r="AC72" s="68"/>
      <c r="AD72" s="68"/>
      <c r="AE72" s="177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</row>
    <row r="73" spans="1:63" ht="13.8" x14ac:dyDescent="0.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176"/>
      <c r="V73" s="68"/>
      <c r="W73" s="68"/>
      <c r="X73" s="68"/>
      <c r="Y73" s="68"/>
      <c r="Z73" s="68"/>
      <c r="AA73" s="68"/>
      <c r="AB73" s="177"/>
      <c r="AC73" s="68"/>
      <c r="AD73" s="68"/>
      <c r="AE73" s="177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</row>
    <row r="74" spans="1:63" ht="13.8" x14ac:dyDescent="0.3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176"/>
      <c r="V74" s="68"/>
      <c r="W74" s="68"/>
      <c r="X74" s="68"/>
      <c r="Y74" s="68"/>
      <c r="Z74" s="68"/>
      <c r="AA74" s="68"/>
      <c r="AB74" s="177"/>
      <c r="AC74" s="68"/>
      <c r="AD74" s="68"/>
      <c r="AE74" s="177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</row>
    <row r="75" spans="1:63" ht="13.8" x14ac:dyDescent="0.3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176"/>
      <c r="V75" s="68"/>
      <c r="W75" s="68"/>
      <c r="X75" s="68"/>
      <c r="Y75" s="68"/>
      <c r="Z75" s="68"/>
      <c r="AA75" s="68"/>
      <c r="AB75" s="177"/>
      <c r="AC75" s="68"/>
      <c r="AD75" s="68"/>
      <c r="AE75" s="177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</row>
    <row r="76" spans="1:63" ht="13.8" x14ac:dyDescent="0.3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176"/>
      <c r="V76" s="68"/>
      <c r="W76" s="68"/>
      <c r="X76" s="68"/>
      <c r="Y76" s="68"/>
      <c r="Z76" s="68"/>
      <c r="AA76" s="68"/>
      <c r="AB76" s="177"/>
      <c r="AC76" s="68"/>
      <c r="AD76" s="68"/>
      <c r="AE76" s="177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</row>
    <row r="77" spans="1:63" ht="13.8" x14ac:dyDescent="0.3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176"/>
      <c r="V77" s="68"/>
      <c r="W77" s="68"/>
      <c r="X77" s="68"/>
      <c r="Y77" s="68"/>
      <c r="Z77" s="68"/>
      <c r="AA77" s="68"/>
      <c r="AB77" s="177"/>
      <c r="AC77" s="68"/>
      <c r="AD77" s="68"/>
      <c r="AE77" s="177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</row>
    <row r="78" spans="1:63" ht="13.8" x14ac:dyDescent="0.3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176"/>
      <c r="V78" s="68"/>
      <c r="W78" s="68"/>
      <c r="X78" s="68"/>
      <c r="Y78" s="68"/>
      <c r="Z78" s="68"/>
      <c r="AA78" s="68"/>
      <c r="AB78" s="177"/>
      <c r="AC78" s="68"/>
      <c r="AD78" s="68"/>
      <c r="AE78" s="177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</row>
    <row r="79" spans="1:63" ht="13.8" x14ac:dyDescent="0.3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176"/>
      <c r="V79" s="68"/>
      <c r="W79" s="68"/>
      <c r="X79" s="68"/>
      <c r="Y79" s="68"/>
      <c r="Z79" s="68"/>
      <c r="AA79" s="68"/>
      <c r="AB79" s="177"/>
      <c r="AC79" s="68"/>
      <c r="AD79" s="68"/>
      <c r="AE79" s="177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</row>
    <row r="80" spans="1:63" ht="13.8" x14ac:dyDescent="0.3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176"/>
      <c r="V80" s="68"/>
      <c r="W80" s="68"/>
      <c r="X80" s="68"/>
      <c r="Y80" s="68"/>
      <c r="Z80" s="68"/>
      <c r="AA80" s="68"/>
      <c r="AB80" s="177"/>
      <c r="AC80" s="68"/>
      <c r="AD80" s="68"/>
      <c r="AE80" s="177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</row>
    <row r="81" spans="1:63" ht="13.8" x14ac:dyDescent="0.3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176"/>
      <c r="V81" s="68"/>
      <c r="W81" s="68"/>
      <c r="X81" s="68"/>
      <c r="Y81" s="68"/>
      <c r="Z81" s="68"/>
      <c r="AA81" s="68"/>
      <c r="AB81" s="177"/>
      <c r="AC81" s="68"/>
      <c r="AD81" s="68"/>
      <c r="AE81" s="177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</row>
    <row r="82" spans="1:63" ht="13.8" x14ac:dyDescent="0.3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176"/>
      <c r="V82" s="68"/>
      <c r="W82" s="68"/>
      <c r="X82" s="68"/>
      <c r="Y82" s="68"/>
      <c r="Z82" s="68"/>
      <c r="AA82" s="68"/>
      <c r="AB82" s="177"/>
      <c r="AC82" s="68"/>
      <c r="AD82" s="68"/>
      <c r="AE82" s="177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</row>
    <row r="83" spans="1:63" ht="13.8" x14ac:dyDescent="0.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176"/>
      <c r="V83" s="68"/>
      <c r="W83" s="68"/>
      <c r="X83" s="68"/>
      <c r="Y83" s="68"/>
      <c r="Z83" s="68"/>
      <c r="AA83" s="68"/>
      <c r="AB83" s="177"/>
      <c r="AC83" s="68"/>
      <c r="AD83" s="68"/>
      <c r="AE83" s="177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</row>
    <row r="84" spans="1:63" ht="13.8" x14ac:dyDescent="0.3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176"/>
      <c r="V84" s="68"/>
      <c r="W84" s="68"/>
      <c r="X84" s="68"/>
      <c r="Y84" s="68"/>
      <c r="Z84" s="68"/>
      <c r="AA84" s="68"/>
      <c r="AB84" s="177"/>
      <c r="AC84" s="68"/>
      <c r="AD84" s="68"/>
      <c r="AE84" s="177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</row>
    <row r="85" spans="1:63" ht="13.8" x14ac:dyDescent="0.3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176"/>
      <c r="V85" s="68"/>
      <c r="W85" s="68"/>
      <c r="X85" s="68"/>
      <c r="Y85" s="68"/>
      <c r="Z85" s="68"/>
      <c r="AA85" s="68"/>
      <c r="AB85" s="177"/>
      <c r="AC85" s="68"/>
      <c r="AD85" s="68"/>
      <c r="AE85" s="177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</row>
    <row r="86" spans="1:63" ht="13.8" x14ac:dyDescent="0.3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176"/>
      <c r="V86" s="68"/>
      <c r="W86" s="68"/>
      <c r="X86" s="68"/>
      <c r="Y86" s="68"/>
      <c r="Z86" s="68"/>
      <c r="AA86" s="68"/>
      <c r="AB86" s="177"/>
      <c r="AC86" s="68"/>
      <c r="AD86" s="68"/>
      <c r="AE86" s="177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</row>
    <row r="87" spans="1:63" ht="13.8" x14ac:dyDescent="0.3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176"/>
      <c r="V87" s="68"/>
      <c r="W87" s="68"/>
      <c r="X87" s="68"/>
      <c r="Y87" s="68"/>
      <c r="Z87" s="68"/>
      <c r="AA87" s="68"/>
      <c r="AB87" s="177"/>
      <c r="AC87" s="68"/>
      <c r="AD87" s="68"/>
      <c r="AE87" s="177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</row>
    <row r="88" spans="1:63" ht="13.8" x14ac:dyDescent="0.3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176"/>
      <c r="V88" s="68"/>
      <c r="W88" s="68"/>
      <c r="X88" s="68"/>
      <c r="Y88" s="68"/>
      <c r="Z88" s="68"/>
      <c r="AA88" s="68"/>
      <c r="AB88" s="177"/>
      <c r="AC88" s="68"/>
      <c r="AD88" s="68"/>
      <c r="AE88" s="177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</row>
    <row r="89" spans="1:63" ht="13.8" x14ac:dyDescent="0.3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176"/>
      <c r="V89" s="68"/>
      <c r="W89" s="68"/>
      <c r="X89" s="68"/>
      <c r="Y89" s="68"/>
      <c r="Z89" s="68"/>
      <c r="AA89" s="68"/>
      <c r="AB89" s="177"/>
      <c r="AC89" s="68"/>
      <c r="AD89" s="68"/>
      <c r="AE89" s="177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</row>
    <row r="90" spans="1:63" ht="13.8" x14ac:dyDescent="0.3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176"/>
      <c r="V90" s="68"/>
      <c r="W90" s="68"/>
      <c r="X90" s="68"/>
      <c r="Y90" s="68"/>
      <c r="Z90" s="68"/>
      <c r="AA90" s="68"/>
      <c r="AB90" s="177"/>
      <c r="AC90" s="68"/>
      <c r="AD90" s="68"/>
      <c r="AE90" s="177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</row>
    <row r="91" spans="1:63" ht="13.8" x14ac:dyDescent="0.3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176"/>
      <c r="V91" s="68"/>
      <c r="W91" s="68"/>
      <c r="X91" s="68"/>
      <c r="Y91" s="68"/>
      <c r="Z91" s="68"/>
      <c r="AA91" s="68"/>
      <c r="AB91" s="177"/>
      <c r="AC91" s="68"/>
      <c r="AD91" s="68"/>
      <c r="AE91" s="177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</row>
    <row r="92" spans="1:63" ht="13.8" x14ac:dyDescent="0.3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176"/>
      <c r="V92" s="68"/>
      <c r="W92" s="68"/>
      <c r="X92" s="68"/>
      <c r="Y92" s="68"/>
      <c r="Z92" s="68"/>
      <c r="AA92" s="68"/>
      <c r="AB92" s="177"/>
      <c r="AC92" s="68"/>
      <c r="AD92" s="68"/>
      <c r="AE92" s="177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</row>
    <row r="93" spans="1:63" ht="13.8" x14ac:dyDescent="0.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176"/>
      <c r="V93" s="68"/>
      <c r="W93" s="68"/>
      <c r="X93" s="68"/>
      <c r="Y93" s="68"/>
      <c r="Z93" s="68"/>
      <c r="AA93" s="68"/>
      <c r="AB93" s="177"/>
      <c r="AC93" s="68"/>
      <c r="AD93" s="68"/>
      <c r="AE93" s="177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</row>
    <row r="94" spans="1:63" ht="13.8" x14ac:dyDescent="0.3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176"/>
      <c r="V94" s="68"/>
      <c r="W94" s="68"/>
      <c r="X94" s="68"/>
      <c r="Y94" s="68"/>
      <c r="Z94" s="68"/>
      <c r="AA94" s="68"/>
      <c r="AB94" s="177"/>
      <c r="AC94" s="68"/>
      <c r="AD94" s="68"/>
      <c r="AE94" s="177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</row>
    <row r="95" spans="1:63" ht="13.8" x14ac:dyDescent="0.3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176"/>
      <c r="V95" s="68"/>
      <c r="W95" s="68"/>
      <c r="X95" s="68"/>
      <c r="Y95" s="68"/>
      <c r="Z95" s="68"/>
      <c r="AA95" s="68"/>
      <c r="AB95" s="177"/>
      <c r="AC95" s="68"/>
      <c r="AD95" s="68"/>
      <c r="AE95" s="177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</row>
    <row r="96" spans="1:63" ht="13.8" x14ac:dyDescent="0.3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176"/>
      <c r="V96" s="68"/>
      <c r="W96" s="68"/>
      <c r="X96" s="68"/>
      <c r="Y96" s="68"/>
      <c r="Z96" s="68"/>
      <c r="AA96" s="68"/>
      <c r="AB96" s="177"/>
      <c r="AC96" s="68"/>
      <c r="AD96" s="68"/>
      <c r="AE96" s="177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</row>
    <row r="97" spans="1:63" ht="13.8" x14ac:dyDescent="0.3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176"/>
      <c r="V97" s="68"/>
      <c r="W97" s="68"/>
      <c r="X97" s="68"/>
      <c r="Y97" s="68"/>
      <c r="Z97" s="68"/>
      <c r="AA97" s="68"/>
      <c r="AB97" s="177"/>
      <c r="AC97" s="68"/>
      <c r="AD97" s="68"/>
      <c r="AE97" s="177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</row>
    <row r="98" spans="1:63" ht="13.8" x14ac:dyDescent="0.3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176"/>
      <c r="V98" s="68"/>
      <c r="W98" s="68"/>
      <c r="X98" s="68"/>
      <c r="Y98" s="68"/>
      <c r="Z98" s="68"/>
      <c r="AA98" s="68"/>
      <c r="AB98" s="177"/>
      <c r="AC98" s="68"/>
      <c r="AD98" s="68"/>
      <c r="AE98" s="177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</row>
    <row r="99" spans="1:63" ht="13.8" x14ac:dyDescent="0.3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176"/>
      <c r="V99" s="68"/>
      <c r="W99" s="68"/>
      <c r="X99" s="68"/>
      <c r="Y99" s="68"/>
      <c r="Z99" s="68"/>
      <c r="AA99" s="68"/>
      <c r="AB99" s="177"/>
      <c r="AC99" s="68"/>
      <c r="AD99" s="68"/>
      <c r="AE99" s="177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</row>
    <row r="100" spans="1:63" ht="13.8" x14ac:dyDescent="0.3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176"/>
      <c r="V100" s="68"/>
      <c r="W100" s="68"/>
      <c r="X100" s="68"/>
      <c r="Y100" s="68"/>
      <c r="Z100" s="68"/>
      <c r="AA100" s="68"/>
      <c r="AB100" s="177"/>
      <c r="AC100" s="68"/>
      <c r="AD100" s="68"/>
      <c r="AE100" s="177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</row>
    <row r="101" spans="1:63" ht="13.8" x14ac:dyDescent="0.3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176"/>
      <c r="V101" s="68"/>
      <c r="W101" s="68"/>
      <c r="X101" s="68"/>
      <c r="Y101" s="68"/>
      <c r="Z101" s="68"/>
      <c r="AA101" s="68"/>
      <c r="AB101" s="177"/>
      <c r="AC101" s="68"/>
      <c r="AD101" s="68"/>
      <c r="AE101" s="177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</row>
    <row r="102" spans="1:63" ht="13.8" x14ac:dyDescent="0.3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176"/>
      <c r="V102" s="68"/>
      <c r="W102" s="68"/>
      <c r="X102" s="68"/>
      <c r="Y102" s="68"/>
      <c r="Z102" s="68"/>
      <c r="AA102" s="68"/>
      <c r="AB102" s="177"/>
      <c r="AC102" s="68"/>
      <c r="AD102" s="68"/>
      <c r="AE102" s="177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</row>
    <row r="103" spans="1:63" ht="13.8" x14ac:dyDescent="0.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176"/>
      <c r="V103" s="68"/>
      <c r="W103" s="68"/>
      <c r="X103" s="68"/>
      <c r="Y103" s="68"/>
      <c r="Z103" s="68"/>
      <c r="AA103" s="68"/>
      <c r="AB103" s="177"/>
      <c r="AC103" s="68"/>
      <c r="AD103" s="68"/>
      <c r="AE103" s="177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</row>
    <row r="104" spans="1:63" ht="13.8" x14ac:dyDescent="0.3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176"/>
      <c r="V104" s="68"/>
      <c r="W104" s="68"/>
      <c r="X104" s="68"/>
      <c r="Y104" s="68"/>
      <c r="Z104" s="68"/>
      <c r="AA104" s="68"/>
      <c r="AB104" s="177"/>
      <c r="AC104" s="68"/>
      <c r="AD104" s="68"/>
      <c r="AE104" s="177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</row>
    <row r="105" spans="1:63" ht="13.8" x14ac:dyDescent="0.3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176"/>
      <c r="V105" s="68"/>
      <c r="W105" s="68"/>
      <c r="X105" s="68"/>
      <c r="Y105" s="68"/>
      <c r="Z105" s="68"/>
      <c r="AA105" s="68"/>
      <c r="AB105" s="177"/>
      <c r="AC105" s="68"/>
      <c r="AD105" s="68"/>
      <c r="AE105" s="177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</row>
    <row r="106" spans="1:63" ht="13.8" x14ac:dyDescent="0.3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176"/>
      <c r="V106" s="68"/>
      <c r="W106" s="68"/>
      <c r="X106" s="68"/>
      <c r="Y106" s="68"/>
      <c r="Z106" s="68"/>
      <c r="AA106" s="68"/>
      <c r="AB106" s="177"/>
      <c r="AC106" s="68"/>
      <c r="AD106" s="68"/>
      <c r="AE106" s="177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</row>
    <row r="107" spans="1:63" ht="13.8" x14ac:dyDescent="0.3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176"/>
      <c r="V107" s="68"/>
      <c r="W107" s="68"/>
      <c r="X107" s="68"/>
      <c r="Y107" s="68"/>
      <c r="Z107" s="68"/>
      <c r="AA107" s="68"/>
      <c r="AB107" s="177"/>
      <c r="AC107" s="68"/>
      <c r="AD107" s="68"/>
      <c r="AE107" s="177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</row>
    <row r="108" spans="1:63" ht="13.8" x14ac:dyDescent="0.3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176"/>
      <c r="V108" s="68"/>
      <c r="W108" s="68"/>
      <c r="X108" s="68"/>
      <c r="Y108" s="68"/>
      <c r="Z108" s="68"/>
      <c r="AA108" s="68"/>
      <c r="AB108" s="177"/>
      <c r="AC108" s="68"/>
      <c r="AD108" s="68"/>
      <c r="AE108" s="177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</row>
    <row r="109" spans="1:63" ht="13.8" x14ac:dyDescent="0.3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176"/>
      <c r="V109" s="68"/>
      <c r="W109" s="68"/>
      <c r="X109" s="68"/>
      <c r="Y109" s="68"/>
      <c r="Z109" s="68"/>
      <c r="AA109" s="68"/>
      <c r="AB109" s="177"/>
      <c r="AC109" s="68"/>
      <c r="AD109" s="68"/>
      <c r="AE109" s="177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</row>
    <row r="110" spans="1:63" ht="13.8" x14ac:dyDescent="0.3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176"/>
      <c r="V110" s="68"/>
      <c r="W110" s="68"/>
      <c r="X110" s="68"/>
      <c r="Y110" s="68"/>
      <c r="Z110" s="68"/>
      <c r="AA110" s="68"/>
      <c r="AB110" s="177"/>
      <c r="AC110" s="68"/>
      <c r="AD110" s="68"/>
      <c r="AE110" s="177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</row>
    <row r="111" spans="1:63" ht="13.8" x14ac:dyDescent="0.3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176"/>
      <c r="V111" s="68"/>
      <c r="W111" s="68"/>
      <c r="X111" s="68"/>
      <c r="Y111" s="68"/>
      <c r="Z111" s="68"/>
      <c r="AA111" s="68"/>
      <c r="AB111" s="177"/>
      <c r="AC111" s="68"/>
      <c r="AD111" s="68"/>
      <c r="AE111" s="177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</row>
    <row r="112" spans="1:63" ht="13.8" x14ac:dyDescent="0.3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176"/>
      <c r="V112" s="68"/>
      <c r="W112" s="68"/>
      <c r="X112" s="68"/>
      <c r="Y112" s="68"/>
      <c r="Z112" s="68"/>
      <c r="AA112" s="68"/>
      <c r="AB112" s="177"/>
      <c r="AC112" s="68"/>
      <c r="AD112" s="68"/>
      <c r="AE112" s="177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</row>
    <row r="113" spans="1:63" ht="13.8" x14ac:dyDescent="0.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176"/>
      <c r="V113" s="68"/>
      <c r="W113" s="68"/>
      <c r="X113" s="68"/>
      <c r="Y113" s="68"/>
      <c r="Z113" s="68"/>
      <c r="AA113" s="68"/>
      <c r="AB113" s="177"/>
      <c r="AC113" s="68"/>
      <c r="AD113" s="68"/>
      <c r="AE113" s="177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</row>
    <row r="114" spans="1:63" ht="13.8" x14ac:dyDescent="0.3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176"/>
      <c r="V114" s="68"/>
      <c r="W114" s="68"/>
      <c r="X114" s="68"/>
      <c r="Y114" s="68"/>
      <c r="Z114" s="68"/>
      <c r="AA114" s="68"/>
      <c r="AB114" s="177"/>
      <c r="AC114" s="68"/>
      <c r="AD114" s="68"/>
      <c r="AE114" s="177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</row>
    <row r="115" spans="1:63" ht="13.8" x14ac:dyDescent="0.3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176"/>
      <c r="V115" s="68"/>
      <c r="W115" s="68"/>
      <c r="X115" s="68"/>
      <c r="Y115" s="68"/>
      <c r="Z115" s="68"/>
      <c r="AA115" s="68"/>
      <c r="AB115" s="177"/>
      <c r="AC115" s="68"/>
      <c r="AD115" s="68"/>
      <c r="AE115" s="177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</row>
    <row r="116" spans="1:63" ht="13.8" x14ac:dyDescent="0.3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176"/>
      <c r="V116" s="68"/>
      <c r="W116" s="68"/>
      <c r="X116" s="68"/>
      <c r="Y116" s="68"/>
      <c r="Z116" s="68"/>
      <c r="AA116" s="68"/>
      <c r="AB116" s="177"/>
      <c r="AC116" s="68"/>
      <c r="AD116" s="68"/>
      <c r="AE116" s="177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</row>
    <row r="117" spans="1:63" ht="13.8" x14ac:dyDescent="0.3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176"/>
      <c r="V117" s="68"/>
      <c r="W117" s="68"/>
      <c r="X117" s="68"/>
      <c r="Y117" s="68"/>
      <c r="Z117" s="68"/>
      <c r="AA117" s="68"/>
      <c r="AB117" s="177"/>
      <c r="AC117" s="68"/>
      <c r="AD117" s="68"/>
      <c r="AE117" s="177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</row>
    <row r="118" spans="1:63" ht="13.8" x14ac:dyDescent="0.3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176"/>
      <c r="V118" s="68"/>
      <c r="W118" s="68"/>
      <c r="X118" s="68"/>
      <c r="Y118" s="68"/>
      <c r="Z118" s="68"/>
      <c r="AA118" s="68"/>
      <c r="AB118" s="177"/>
      <c r="AC118" s="68"/>
      <c r="AD118" s="68"/>
      <c r="AE118" s="177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</row>
    <row r="119" spans="1:63" ht="13.8" x14ac:dyDescent="0.3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176"/>
      <c r="V119" s="68"/>
      <c r="W119" s="68"/>
      <c r="X119" s="68"/>
      <c r="Y119" s="68"/>
      <c r="Z119" s="68"/>
      <c r="AA119" s="68"/>
      <c r="AB119" s="177"/>
      <c r="AC119" s="68"/>
      <c r="AD119" s="68"/>
      <c r="AE119" s="177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</row>
    <row r="120" spans="1:63" ht="13.8" x14ac:dyDescent="0.3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176"/>
      <c r="V120" s="68"/>
      <c r="W120" s="68"/>
      <c r="X120" s="68"/>
      <c r="Y120" s="68"/>
      <c r="Z120" s="68"/>
      <c r="AA120" s="68"/>
      <c r="AB120" s="177"/>
      <c r="AC120" s="68"/>
      <c r="AD120" s="68"/>
      <c r="AE120" s="177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</row>
    <row r="121" spans="1:63" ht="13.8" x14ac:dyDescent="0.3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176"/>
      <c r="V121" s="68"/>
      <c r="W121" s="68"/>
      <c r="X121" s="68"/>
      <c r="Y121" s="68"/>
      <c r="Z121" s="68"/>
      <c r="AA121" s="68"/>
      <c r="AB121" s="177"/>
      <c r="AC121" s="68"/>
      <c r="AD121" s="68"/>
      <c r="AE121" s="177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</row>
    <row r="122" spans="1:63" ht="13.8" x14ac:dyDescent="0.3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176"/>
      <c r="V122" s="68"/>
      <c r="W122" s="68"/>
      <c r="X122" s="68"/>
      <c r="Y122" s="68"/>
      <c r="Z122" s="68"/>
      <c r="AA122" s="68"/>
      <c r="AB122" s="177"/>
      <c r="AC122" s="68"/>
      <c r="AD122" s="68"/>
      <c r="AE122" s="177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</row>
    <row r="123" spans="1:63" ht="13.8" x14ac:dyDescent="0.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176"/>
      <c r="V123" s="68"/>
      <c r="W123" s="68"/>
      <c r="X123" s="68"/>
      <c r="Y123" s="68"/>
      <c r="Z123" s="68"/>
      <c r="AA123" s="68"/>
      <c r="AB123" s="177"/>
      <c r="AC123" s="68"/>
      <c r="AD123" s="68"/>
      <c r="AE123" s="177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</row>
    <row r="124" spans="1:63" ht="13.8" x14ac:dyDescent="0.3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176"/>
      <c r="V124" s="68"/>
      <c r="W124" s="68"/>
      <c r="X124" s="68"/>
      <c r="Y124" s="68"/>
      <c r="Z124" s="68"/>
      <c r="AA124" s="68"/>
      <c r="AB124" s="177"/>
      <c r="AC124" s="68"/>
      <c r="AD124" s="68"/>
      <c r="AE124" s="177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</row>
    <row r="125" spans="1:63" ht="13.8" x14ac:dyDescent="0.3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176"/>
      <c r="V125" s="68"/>
      <c r="W125" s="68"/>
      <c r="X125" s="68"/>
      <c r="Y125" s="68"/>
      <c r="Z125" s="68"/>
      <c r="AA125" s="68"/>
      <c r="AB125" s="177"/>
      <c r="AC125" s="68"/>
      <c r="AD125" s="68"/>
      <c r="AE125" s="177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</row>
    <row r="126" spans="1:63" ht="13.8" x14ac:dyDescent="0.3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176"/>
      <c r="V126" s="68"/>
      <c r="W126" s="68"/>
      <c r="X126" s="68"/>
      <c r="Y126" s="68"/>
      <c r="Z126" s="68"/>
      <c r="AA126" s="68"/>
      <c r="AB126" s="177"/>
      <c r="AC126" s="68"/>
      <c r="AD126" s="68"/>
      <c r="AE126" s="177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</row>
    <row r="127" spans="1:63" ht="13.8" x14ac:dyDescent="0.3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176"/>
      <c r="V127" s="68"/>
      <c r="W127" s="68"/>
      <c r="X127" s="68"/>
      <c r="Y127" s="68"/>
      <c r="Z127" s="68"/>
      <c r="AA127" s="68"/>
      <c r="AB127" s="177"/>
      <c r="AC127" s="68"/>
      <c r="AD127" s="68"/>
      <c r="AE127" s="177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</row>
    <row r="128" spans="1:63" ht="13.8" x14ac:dyDescent="0.3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176"/>
      <c r="V128" s="68"/>
      <c r="W128" s="68"/>
      <c r="X128" s="68"/>
      <c r="Y128" s="68"/>
      <c r="Z128" s="68"/>
      <c r="AA128" s="68"/>
      <c r="AB128" s="177"/>
      <c r="AC128" s="68"/>
      <c r="AD128" s="68"/>
      <c r="AE128" s="177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</row>
    <row r="129" spans="1:63" ht="13.8" x14ac:dyDescent="0.3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176"/>
      <c r="V129" s="68"/>
      <c r="W129" s="68"/>
      <c r="X129" s="68"/>
      <c r="Y129" s="68"/>
      <c r="Z129" s="68"/>
      <c r="AA129" s="68"/>
      <c r="AB129" s="177"/>
      <c r="AC129" s="68"/>
      <c r="AD129" s="68"/>
      <c r="AE129" s="177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</row>
    <row r="130" spans="1:63" ht="13.8" x14ac:dyDescent="0.3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176"/>
      <c r="V130" s="68"/>
      <c r="W130" s="68"/>
      <c r="X130" s="68"/>
      <c r="Y130" s="68"/>
      <c r="Z130" s="68"/>
      <c r="AA130" s="68"/>
      <c r="AB130" s="177"/>
      <c r="AC130" s="68"/>
      <c r="AD130" s="68"/>
      <c r="AE130" s="177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</row>
    <row r="131" spans="1:63" ht="13.8" x14ac:dyDescent="0.3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176"/>
      <c r="V131" s="68"/>
      <c r="W131" s="68"/>
      <c r="X131" s="68"/>
      <c r="Y131" s="68"/>
      <c r="Z131" s="68"/>
      <c r="AA131" s="68"/>
      <c r="AB131" s="177"/>
      <c r="AC131" s="68"/>
      <c r="AD131" s="68"/>
      <c r="AE131" s="177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</row>
    <row r="132" spans="1:63" ht="13.8" x14ac:dyDescent="0.3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176"/>
      <c r="V132" s="68"/>
      <c r="W132" s="68"/>
      <c r="X132" s="68"/>
      <c r="Y132" s="68"/>
      <c r="Z132" s="68"/>
      <c r="AA132" s="68"/>
      <c r="AB132" s="177"/>
      <c r="AC132" s="68"/>
      <c r="AD132" s="68"/>
      <c r="AE132" s="177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</row>
    <row r="133" spans="1:63" ht="13.8" x14ac:dyDescent="0.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176"/>
      <c r="V133" s="68"/>
      <c r="W133" s="68"/>
      <c r="X133" s="68"/>
      <c r="Y133" s="68"/>
      <c r="Z133" s="68"/>
      <c r="AA133" s="68"/>
      <c r="AB133" s="177"/>
      <c r="AC133" s="68"/>
      <c r="AD133" s="68"/>
      <c r="AE133" s="177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</row>
    <row r="134" spans="1:63" ht="13.8" x14ac:dyDescent="0.3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176"/>
      <c r="V134" s="68"/>
      <c r="W134" s="68"/>
      <c r="X134" s="68"/>
      <c r="Y134" s="68"/>
      <c r="Z134" s="68"/>
      <c r="AA134" s="68"/>
      <c r="AB134" s="177"/>
      <c r="AC134" s="68"/>
      <c r="AD134" s="68"/>
      <c r="AE134" s="177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</row>
    <row r="135" spans="1:63" ht="13.8" x14ac:dyDescent="0.3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176"/>
      <c r="V135" s="68"/>
      <c r="W135" s="68"/>
      <c r="X135" s="68"/>
      <c r="Y135" s="68"/>
      <c r="Z135" s="68"/>
      <c r="AA135" s="68"/>
      <c r="AB135" s="177"/>
      <c r="AC135" s="68"/>
      <c r="AD135" s="68"/>
      <c r="AE135" s="177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</row>
    <row r="136" spans="1:63" ht="13.8" x14ac:dyDescent="0.3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176"/>
      <c r="V136" s="68"/>
      <c r="W136" s="68"/>
      <c r="X136" s="68"/>
      <c r="Y136" s="68"/>
      <c r="Z136" s="68"/>
      <c r="AA136" s="68"/>
      <c r="AB136" s="177"/>
      <c r="AC136" s="68"/>
      <c r="AD136" s="68"/>
      <c r="AE136" s="177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</row>
    <row r="137" spans="1:63" ht="13.8" x14ac:dyDescent="0.3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176"/>
      <c r="V137" s="68"/>
      <c r="W137" s="68"/>
      <c r="X137" s="68"/>
      <c r="Y137" s="68"/>
      <c r="Z137" s="68"/>
      <c r="AA137" s="68"/>
      <c r="AB137" s="177"/>
      <c r="AC137" s="68"/>
      <c r="AD137" s="68"/>
      <c r="AE137" s="177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</row>
    <row r="138" spans="1:63" ht="13.8" x14ac:dyDescent="0.3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176"/>
      <c r="V138" s="68"/>
      <c r="W138" s="68"/>
      <c r="X138" s="68"/>
      <c r="Y138" s="68"/>
      <c r="Z138" s="68"/>
      <c r="AA138" s="68"/>
      <c r="AB138" s="177"/>
      <c r="AC138" s="68"/>
      <c r="AD138" s="68"/>
      <c r="AE138" s="177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</row>
    <row r="139" spans="1:63" ht="13.8" x14ac:dyDescent="0.3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176"/>
      <c r="V139" s="68"/>
      <c r="W139" s="68"/>
      <c r="X139" s="68"/>
      <c r="Y139" s="68"/>
      <c r="Z139" s="68"/>
      <c r="AA139" s="68"/>
      <c r="AB139" s="177"/>
      <c r="AC139" s="68"/>
      <c r="AD139" s="68"/>
      <c r="AE139" s="177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</row>
    <row r="140" spans="1:63" ht="13.8" x14ac:dyDescent="0.3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176"/>
      <c r="V140" s="68"/>
      <c r="W140" s="68"/>
      <c r="X140" s="68"/>
      <c r="Y140" s="68"/>
      <c r="Z140" s="68"/>
      <c r="AA140" s="68"/>
      <c r="AB140" s="177"/>
      <c r="AC140" s="68"/>
      <c r="AD140" s="68"/>
      <c r="AE140" s="177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</row>
    <row r="141" spans="1:63" ht="13.8" x14ac:dyDescent="0.3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176"/>
      <c r="V141" s="68"/>
      <c r="W141" s="68"/>
      <c r="X141" s="68"/>
      <c r="Y141" s="68"/>
      <c r="Z141" s="68"/>
      <c r="AA141" s="68"/>
      <c r="AB141" s="177"/>
      <c r="AC141" s="68"/>
      <c r="AD141" s="68"/>
      <c r="AE141" s="177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</row>
    <row r="142" spans="1:63" ht="13.8" x14ac:dyDescent="0.3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176"/>
      <c r="V142" s="68"/>
      <c r="W142" s="68"/>
      <c r="X142" s="68"/>
      <c r="Y142" s="68"/>
      <c r="Z142" s="68"/>
      <c r="AA142" s="68"/>
      <c r="AB142" s="177"/>
      <c r="AC142" s="68"/>
      <c r="AD142" s="68"/>
      <c r="AE142" s="177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</row>
    <row r="143" spans="1:63" ht="13.8" x14ac:dyDescent="0.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176"/>
      <c r="V143" s="68"/>
      <c r="W143" s="68"/>
      <c r="X143" s="68"/>
      <c r="Y143" s="68"/>
      <c r="Z143" s="68"/>
      <c r="AA143" s="68"/>
      <c r="AB143" s="177"/>
      <c r="AC143" s="68"/>
      <c r="AD143" s="68"/>
      <c r="AE143" s="177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</row>
    <row r="144" spans="1:63" ht="13.8" x14ac:dyDescent="0.3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176"/>
      <c r="V144" s="68"/>
      <c r="W144" s="68"/>
      <c r="X144" s="68"/>
      <c r="Y144" s="68"/>
      <c r="Z144" s="68"/>
      <c r="AA144" s="68"/>
      <c r="AB144" s="177"/>
      <c r="AC144" s="68"/>
      <c r="AD144" s="68"/>
      <c r="AE144" s="177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</row>
    <row r="145" spans="1:63" ht="13.8" x14ac:dyDescent="0.3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176"/>
      <c r="V145" s="68"/>
      <c r="W145" s="68"/>
      <c r="X145" s="68"/>
      <c r="Y145" s="68"/>
      <c r="Z145" s="68"/>
      <c r="AA145" s="68"/>
      <c r="AB145" s="177"/>
      <c r="AC145" s="68"/>
      <c r="AD145" s="68"/>
      <c r="AE145" s="177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</row>
    <row r="146" spans="1:63" ht="13.8" x14ac:dyDescent="0.3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176"/>
      <c r="V146" s="68"/>
      <c r="W146" s="68"/>
      <c r="X146" s="68"/>
      <c r="Y146" s="68"/>
      <c r="Z146" s="68"/>
      <c r="AA146" s="68"/>
      <c r="AB146" s="177"/>
      <c r="AC146" s="68"/>
      <c r="AD146" s="68"/>
      <c r="AE146" s="177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</row>
    <row r="147" spans="1:63" ht="13.8" x14ac:dyDescent="0.3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176"/>
      <c r="V147" s="68"/>
      <c r="W147" s="68"/>
      <c r="X147" s="68"/>
      <c r="Y147" s="68"/>
      <c r="Z147" s="68"/>
      <c r="AA147" s="68"/>
      <c r="AB147" s="177"/>
      <c r="AC147" s="68"/>
      <c r="AD147" s="68"/>
      <c r="AE147" s="177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</row>
    <row r="148" spans="1:63" ht="13.8" x14ac:dyDescent="0.3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176"/>
      <c r="V148" s="68"/>
      <c r="W148" s="68"/>
      <c r="X148" s="68"/>
      <c r="Y148" s="68"/>
      <c r="Z148" s="68"/>
      <c r="AA148" s="68"/>
      <c r="AB148" s="177"/>
      <c r="AC148" s="68"/>
      <c r="AD148" s="68"/>
      <c r="AE148" s="177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</row>
    <row r="149" spans="1:63" ht="13.8" x14ac:dyDescent="0.3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176"/>
      <c r="V149" s="68"/>
      <c r="W149" s="68"/>
      <c r="X149" s="68"/>
      <c r="Y149" s="68"/>
      <c r="Z149" s="68"/>
      <c r="AA149" s="68"/>
      <c r="AB149" s="177"/>
      <c r="AC149" s="68"/>
      <c r="AD149" s="68"/>
      <c r="AE149" s="177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</row>
    <row r="150" spans="1:63" ht="13.8" x14ac:dyDescent="0.3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176"/>
      <c r="V150" s="68"/>
      <c r="W150" s="68"/>
      <c r="X150" s="68"/>
      <c r="Y150" s="68"/>
      <c r="Z150" s="68"/>
      <c r="AA150" s="68"/>
      <c r="AB150" s="177"/>
      <c r="AC150" s="68"/>
      <c r="AD150" s="68"/>
      <c r="AE150" s="177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</row>
    <row r="151" spans="1:63" ht="13.8" x14ac:dyDescent="0.3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176"/>
      <c r="V151" s="68"/>
      <c r="W151" s="68"/>
      <c r="X151" s="68"/>
      <c r="Y151" s="68"/>
      <c r="Z151" s="68"/>
      <c r="AA151" s="68"/>
      <c r="AB151" s="177"/>
      <c r="AC151" s="68"/>
      <c r="AD151" s="68"/>
      <c r="AE151" s="177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</row>
    <row r="152" spans="1:63" ht="13.8" x14ac:dyDescent="0.3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176"/>
      <c r="V152" s="68"/>
      <c r="W152" s="68"/>
      <c r="X152" s="68"/>
      <c r="Y152" s="68"/>
      <c r="Z152" s="68"/>
      <c r="AA152" s="68"/>
      <c r="AB152" s="177"/>
      <c r="AC152" s="68"/>
      <c r="AD152" s="68"/>
      <c r="AE152" s="177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</row>
    <row r="153" spans="1:63" ht="13.8" x14ac:dyDescent="0.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176"/>
      <c r="V153" s="68"/>
      <c r="W153" s="68"/>
      <c r="X153" s="68"/>
      <c r="Y153" s="68"/>
      <c r="Z153" s="68"/>
      <c r="AA153" s="68"/>
      <c r="AB153" s="177"/>
      <c r="AC153" s="68"/>
      <c r="AD153" s="68"/>
      <c r="AE153" s="177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</row>
    <row r="154" spans="1:63" ht="13.8" x14ac:dyDescent="0.3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176"/>
      <c r="V154" s="68"/>
      <c r="W154" s="68"/>
      <c r="X154" s="68"/>
      <c r="Y154" s="68"/>
      <c r="Z154" s="68"/>
      <c r="AA154" s="68"/>
      <c r="AB154" s="177"/>
      <c r="AC154" s="68"/>
      <c r="AD154" s="68"/>
      <c r="AE154" s="177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</row>
    <row r="155" spans="1:63" ht="13.8" x14ac:dyDescent="0.3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176"/>
      <c r="V155" s="68"/>
      <c r="W155" s="68"/>
      <c r="X155" s="68"/>
      <c r="Y155" s="68"/>
      <c r="Z155" s="68"/>
      <c r="AA155" s="68"/>
      <c r="AB155" s="177"/>
      <c r="AC155" s="68"/>
      <c r="AD155" s="68"/>
      <c r="AE155" s="177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</row>
    <row r="156" spans="1:63" ht="13.8" x14ac:dyDescent="0.3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176"/>
      <c r="V156" s="68"/>
      <c r="W156" s="68"/>
      <c r="X156" s="68"/>
      <c r="Y156" s="68"/>
      <c r="Z156" s="68"/>
      <c r="AA156" s="68"/>
      <c r="AB156" s="177"/>
      <c r="AC156" s="68"/>
      <c r="AD156" s="68"/>
      <c r="AE156" s="177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</row>
    <row r="157" spans="1:63" ht="13.8" x14ac:dyDescent="0.3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176"/>
      <c r="V157" s="68"/>
      <c r="W157" s="68"/>
      <c r="X157" s="68"/>
      <c r="Y157" s="68"/>
      <c r="Z157" s="68"/>
      <c r="AA157" s="68"/>
      <c r="AB157" s="177"/>
      <c r="AC157" s="68"/>
      <c r="AD157" s="68"/>
      <c r="AE157" s="177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</row>
    <row r="158" spans="1:63" ht="13.8" x14ac:dyDescent="0.3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176"/>
      <c r="V158" s="68"/>
      <c r="W158" s="68"/>
      <c r="X158" s="68"/>
      <c r="Y158" s="68"/>
      <c r="Z158" s="68"/>
      <c r="AA158" s="68"/>
      <c r="AB158" s="177"/>
      <c r="AC158" s="68"/>
      <c r="AD158" s="68"/>
      <c r="AE158" s="177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</row>
    <row r="159" spans="1:63" ht="13.8" x14ac:dyDescent="0.3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176"/>
      <c r="V159" s="68"/>
      <c r="W159" s="68"/>
      <c r="X159" s="68"/>
      <c r="Y159" s="68"/>
      <c r="Z159" s="68"/>
      <c r="AA159" s="68"/>
      <c r="AB159" s="177"/>
      <c r="AC159" s="68"/>
      <c r="AD159" s="68"/>
      <c r="AE159" s="177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</row>
    <row r="160" spans="1:63" ht="13.8" x14ac:dyDescent="0.3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176"/>
      <c r="V160" s="68"/>
      <c r="W160" s="68"/>
      <c r="X160" s="68"/>
      <c r="Y160" s="68"/>
      <c r="Z160" s="68"/>
      <c r="AA160" s="68"/>
      <c r="AB160" s="177"/>
      <c r="AC160" s="68"/>
      <c r="AD160" s="68"/>
      <c r="AE160" s="177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</row>
    <row r="161" spans="1:63" ht="13.8" x14ac:dyDescent="0.3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176"/>
      <c r="V161" s="68"/>
      <c r="W161" s="68"/>
      <c r="X161" s="68"/>
      <c r="Y161" s="68"/>
      <c r="Z161" s="68"/>
      <c r="AA161" s="68"/>
      <c r="AB161" s="177"/>
      <c r="AC161" s="68"/>
      <c r="AD161" s="68"/>
      <c r="AE161" s="177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</row>
    <row r="162" spans="1:63" ht="13.8" x14ac:dyDescent="0.3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176"/>
      <c r="V162" s="68"/>
      <c r="W162" s="68"/>
      <c r="X162" s="68"/>
      <c r="Y162" s="68"/>
      <c r="Z162" s="68"/>
      <c r="AA162" s="68"/>
      <c r="AB162" s="177"/>
      <c r="AC162" s="68"/>
      <c r="AD162" s="68"/>
      <c r="AE162" s="177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</row>
    <row r="163" spans="1:63" ht="13.8" x14ac:dyDescent="0.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176"/>
      <c r="V163" s="68"/>
      <c r="W163" s="68"/>
      <c r="X163" s="68"/>
      <c r="Y163" s="68"/>
      <c r="Z163" s="68"/>
      <c r="AA163" s="68"/>
      <c r="AB163" s="177"/>
      <c r="AC163" s="68"/>
      <c r="AD163" s="68"/>
      <c r="AE163" s="177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</row>
    <row r="164" spans="1:63" ht="13.8" x14ac:dyDescent="0.3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176"/>
      <c r="V164" s="68"/>
      <c r="W164" s="68"/>
      <c r="X164" s="68"/>
      <c r="Y164" s="68"/>
      <c r="Z164" s="68"/>
      <c r="AA164" s="68"/>
      <c r="AB164" s="177"/>
      <c r="AC164" s="68"/>
      <c r="AD164" s="68"/>
      <c r="AE164" s="177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</row>
    <row r="165" spans="1:63" ht="13.8" x14ac:dyDescent="0.3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176"/>
      <c r="V165" s="68"/>
      <c r="W165" s="68"/>
      <c r="X165" s="68"/>
      <c r="Y165" s="68"/>
      <c r="Z165" s="68"/>
      <c r="AA165" s="68"/>
      <c r="AB165" s="177"/>
      <c r="AC165" s="68"/>
      <c r="AD165" s="68"/>
      <c r="AE165" s="177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</row>
    <row r="166" spans="1:63" ht="13.8" x14ac:dyDescent="0.3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176"/>
      <c r="V166" s="68"/>
      <c r="W166" s="68"/>
      <c r="X166" s="68"/>
      <c r="Y166" s="68"/>
      <c r="Z166" s="68"/>
      <c r="AA166" s="68"/>
      <c r="AB166" s="177"/>
      <c r="AC166" s="68"/>
      <c r="AD166" s="68"/>
      <c r="AE166" s="177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</row>
    <row r="167" spans="1:63" ht="13.8" x14ac:dyDescent="0.3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176"/>
      <c r="V167" s="68"/>
      <c r="W167" s="68"/>
      <c r="X167" s="68"/>
      <c r="Y167" s="68"/>
      <c r="Z167" s="68"/>
      <c r="AA167" s="68"/>
      <c r="AB167" s="177"/>
      <c r="AC167" s="68"/>
      <c r="AD167" s="68"/>
      <c r="AE167" s="177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</row>
    <row r="168" spans="1:63" ht="13.8" x14ac:dyDescent="0.3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176"/>
      <c r="V168" s="68"/>
      <c r="W168" s="68"/>
      <c r="X168" s="68"/>
      <c r="Y168" s="68"/>
      <c r="Z168" s="68"/>
      <c r="AA168" s="68"/>
      <c r="AB168" s="177"/>
      <c r="AC168" s="68"/>
      <c r="AD168" s="68"/>
      <c r="AE168" s="177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</row>
    <row r="169" spans="1:63" ht="13.8" x14ac:dyDescent="0.3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176"/>
      <c r="V169" s="68"/>
      <c r="W169" s="68"/>
      <c r="X169" s="68"/>
      <c r="Y169" s="68"/>
      <c r="Z169" s="68"/>
      <c r="AA169" s="68"/>
      <c r="AB169" s="177"/>
      <c r="AC169" s="68"/>
      <c r="AD169" s="68"/>
      <c r="AE169" s="177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</row>
    <row r="170" spans="1:63" ht="13.8" x14ac:dyDescent="0.3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176"/>
      <c r="V170" s="68"/>
      <c r="W170" s="68"/>
      <c r="X170" s="68"/>
      <c r="Y170" s="68"/>
      <c r="Z170" s="68"/>
      <c r="AA170" s="68"/>
      <c r="AB170" s="177"/>
      <c r="AC170" s="68"/>
      <c r="AD170" s="68"/>
      <c r="AE170" s="177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</row>
    <row r="171" spans="1:63" ht="13.8" x14ac:dyDescent="0.3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176"/>
      <c r="V171" s="68"/>
      <c r="W171" s="68"/>
      <c r="X171" s="68"/>
      <c r="Y171" s="68"/>
      <c r="Z171" s="68"/>
      <c r="AA171" s="68"/>
      <c r="AB171" s="177"/>
      <c r="AC171" s="68"/>
      <c r="AD171" s="68"/>
      <c r="AE171" s="177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</row>
    <row r="172" spans="1:63" ht="13.8" x14ac:dyDescent="0.3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176"/>
      <c r="V172" s="68"/>
      <c r="W172" s="68"/>
      <c r="X172" s="68"/>
      <c r="Y172" s="68"/>
      <c r="Z172" s="68"/>
      <c r="AA172" s="68"/>
      <c r="AB172" s="177"/>
      <c r="AC172" s="68"/>
      <c r="AD172" s="68"/>
      <c r="AE172" s="177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</row>
    <row r="173" spans="1:63" ht="13.8" x14ac:dyDescent="0.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176"/>
      <c r="V173" s="68"/>
      <c r="W173" s="68"/>
      <c r="X173" s="68"/>
      <c r="Y173" s="68"/>
      <c r="Z173" s="68"/>
      <c r="AA173" s="68"/>
      <c r="AB173" s="177"/>
      <c r="AC173" s="68"/>
      <c r="AD173" s="68"/>
      <c r="AE173" s="177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</row>
    <row r="174" spans="1:63" ht="13.8" x14ac:dyDescent="0.3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176"/>
      <c r="V174" s="68"/>
      <c r="W174" s="68"/>
      <c r="X174" s="68"/>
      <c r="Y174" s="68"/>
      <c r="Z174" s="68"/>
      <c r="AA174" s="68"/>
      <c r="AB174" s="177"/>
      <c r="AC174" s="68"/>
      <c r="AD174" s="68"/>
      <c r="AE174" s="177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</row>
    <row r="175" spans="1:63" ht="13.8" x14ac:dyDescent="0.3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176"/>
      <c r="V175" s="68"/>
      <c r="W175" s="68"/>
      <c r="X175" s="68"/>
      <c r="Y175" s="68"/>
      <c r="Z175" s="68"/>
      <c r="AA175" s="68"/>
      <c r="AB175" s="177"/>
      <c r="AC175" s="68"/>
      <c r="AD175" s="68"/>
      <c r="AE175" s="177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</row>
    <row r="176" spans="1:63" ht="13.8" x14ac:dyDescent="0.3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176"/>
      <c r="V176" s="68"/>
      <c r="W176" s="68"/>
      <c r="X176" s="68"/>
      <c r="Y176" s="68"/>
      <c r="Z176" s="68"/>
      <c r="AA176" s="68"/>
      <c r="AB176" s="177"/>
      <c r="AC176" s="68"/>
      <c r="AD176" s="68"/>
      <c r="AE176" s="177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</row>
    <row r="177" spans="1:63" ht="13.8" x14ac:dyDescent="0.3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176"/>
      <c r="V177" s="68"/>
      <c r="W177" s="68"/>
      <c r="X177" s="68"/>
      <c r="Y177" s="68"/>
      <c r="Z177" s="68"/>
      <c r="AA177" s="68"/>
      <c r="AB177" s="177"/>
      <c r="AC177" s="68"/>
      <c r="AD177" s="68"/>
      <c r="AE177" s="177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</row>
    <row r="178" spans="1:63" ht="13.8" x14ac:dyDescent="0.3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176"/>
      <c r="V178" s="68"/>
      <c r="W178" s="68"/>
      <c r="X178" s="68"/>
      <c r="Y178" s="68"/>
      <c r="Z178" s="68"/>
      <c r="AA178" s="68"/>
      <c r="AB178" s="177"/>
      <c r="AC178" s="68"/>
      <c r="AD178" s="68"/>
      <c r="AE178" s="177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</row>
    <row r="179" spans="1:63" ht="13.8" x14ac:dyDescent="0.3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176"/>
      <c r="V179" s="68"/>
      <c r="W179" s="68"/>
      <c r="X179" s="68"/>
      <c r="Y179" s="68"/>
      <c r="Z179" s="68"/>
      <c r="AA179" s="68"/>
      <c r="AB179" s="177"/>
      <c r="AC179" s="68"/>
      <c r="AD179" s="68"/>
      <c r="AE179" s="177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</row>
    <row r="180" spans="1:63" ht="13.8" x14ac:dyDescent="0.3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176"/>
      <c r="V180" s="68"/>
      <c r="W180" s="68"/>
      <c r="X180" s="68"/>
      <c r="Y180" s="68"/>
      <c r="Z180" s="68"/>
      <c r="AA180" s="68"/>
      <c r="AB180" s="177"/>
      <c r="AC180" s="68"/>
      <c r="AD180" s="68"/>
      <c r="AE180" s="177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</row>
    <row r="181" spans="1:63" ht="13.8" x14ac:dyDescent="0.3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176"/>
      <c r="V181" s="68"/>
      <c r="W181" s="68"/>
      <c r="X181" s="68"/>
      <c r="Y181" s="68"/>
      <c r="Z181" s="68"/>
      <c r="AA181" s="68"/>
      <c r="AB181" s="177"/>
      <c r="AC181" s="68"/>
      <c r="AD181" s="68"/>
      <c r="AE181" s="177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</row>
    <row r="182" spans="1:63" ht="13.8" x14ac:dyDescent="0.3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176"/>
      <c r="V182" s="68"/>
      <c r="W182" s="68"/>
      <c r="X182" s="68"/>
      <c r="Y182" s="68"/>
      <c r="Z182" s="68"/>
      <c r="AA182" s="68"/>
      <c r="AB182" s="177"/>
      <c r="AC182" s="68"/>
      <c r="AD182" s="68"/>
      <c r="AE182" s="177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</row>
    <row r="183" spans="1:63" ht="13.8" x14ac:dyDescent="0.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176"/>
      <c r="V183" s="68"/>
      <c r="W183" s="68"/>
      <c r="X183" s="68"/>
      <c r="Y183" s="68"/>
      <c r="Z183" s="68"/>
      <c r="AA183" s="68"/>
      <c r="AB183" s="177"/>
      <c r="AC183" s="68"/>
      <c r="AD183" s="68"/>
      <c r="AE183" s="177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</row>
    <row r="184" spans="1:63" ht="13.8" x14ac:dyDescent="0.3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176"/>
      <c r="V184" s="68"/>
      <c r="W184" s="68"/>
      <c r="X184" s="68"/>
      <c r="Y184" s="68"/>
      <c r="Z184" s="68"/>
      <c r="AA184" s="68"/>
      <c r="AB184" s="177"/>
      <c r="AC184" s="68"/>
      <c r="AD184" s="68"/>
      <c r="AE184" s="177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</row>
    <row r="185" spans="1:63" ht="13.8" x14ac:dyDescent="0.3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176"/>
      <c r="V185" s="68"/>
      <c r="W185" s="68"/>
      <c r="X185" s="68"/>
      <c r="Y185" s="68"/>
      <c r="Z185" s="68"/>
      <c r="AA185" s="68"/>
      <c r="AB185" s="177"/>
      <c r="AC185" s="68"/>
      <c r="AD185" s="68"/>
      <c r="AE185" s="177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</row>
    <row r="186" spans="1:63" ht="13.8" x14ac:dyDescent="0.3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176"/>
      <c r="V186" s="68"/>
      <c r="W186" s="68"/>
      <c r="X186" s="68"/>
      <c r="Y186" s="68"/>
      <c r="Z186" s="68"/>
      <c r="AA186" s="68"/>
      <c r="AB186" s="177"/>
      <c r="AC186" s="68"/>
      <c r="AD186" s="68"/>
      <c r="AE186" s="177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</row>
    <row r="187" spans="1:63" ht="13.8" x14ac:dyDescent="0.3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176"/>
      <c r="V187" s="68"/>
      <c r="W187" s="68"/>
      <c r="X187" s="68"/>
      <c r="Y187" s="68"/>
      <c r="Z187" s="68"/>
      <c r="AA187" s="68"/>
      <c r="AB187" s="177"/>
      <c r="AC187" s="68"/>
      <c r="AD187" s="68"/>
      <c r="AE187" s="177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</row>
    <row r="188" spans="1:63" ht="13.8" x14ac:dyDescent="0.3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176"/>
      <c r="V188" s="68"/>
      <c r="W188" s="68"/>
      <c r="X188" s="68"/>
      <c r="Y188" s="68"/>
      <c r="Z188" s="68"/>
      <c r="AA188" s="68"/>
      <c r="AB188" s="177"/>
      <c r="AC188" s="68"/>
      <c r="AD188" s="68"/>
      <c r="AE188" s="177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</row>
    <row r="189" spans="1:63" ht="13.8" x14ac:dyDescent="0.3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176"/>
      <c r="V189" s="68"/>
      <c r="W189" s="68"/>
      <c r="X189" s="68"/>
      <c r="Y189" s="68"/>
      <c r="Z189" s="68"/>
      <c r="AA189" s="68"/>
      <c r="AB189" s="177"/>
      <c r="AC189" s="68"/>
      <c r="AD189" s="68"/>
      <c r="AE189" s="177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</row>
    <row r="190" spans="1:63" ht="13.8" x14ac:dyDescent="0.3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176"/>
      <c r="V190" s="68"/>
      <c r="W190" s="68"/>
      <c r="X190" s="68"/>
      <c r="Y190" s="68"/>
      <c r="Z190" s="68"/>
      <c r="AA190" s="68"/>
      <c r="AB190" s="177"/>
      <c r="AC190" s="68"/>
      <c r="AD190" s="68"/>
      <c r="AE190" s="177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</row>
    <row r="191" spans="1:63" ht="13.8" x14ac:dyDescent="0.3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176"/>
      <c r="V191" s="68"/>
      <c r="W191" s="68"/>
      <c r="X191" s="68"/>
      <c r="Y191" s="68"/>
      <c r="Z191" s="68"/>
      <c r="AA191" s="68"/>
      <c r="AB191" s="177"/>
      <c r="AC191" s="68"/>
      <c r="AD191" s="68"/>
      <c r="AE191" s="177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</row>
    <row r="192" spans="1:63" ht="13.8" x14ac:dyDescent="0.3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176"/>
      <c r="V192" s="68"/>
      <c r="W192" s="68"/>
      <c r="X192" s="68"/>
      <c r="Y192" s="68"/>
      <c r="Z192" s="68"/>
      <c r="AA192" s="68"/>
      <c r="AB192" s="177"/>
      <c r="AC192" s="68"/>
      <c r="AD192" s="68"/>
      <c r="AE192" s="177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</row>
    <row r="193" spans="1:63" ht="13.8" x14ac:dyDescent="0.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176"/>
      <c r="V193" s="68"/>
      <c r="W193" s="68"/>
      <c r="X193" s="68"/>
      <c r="Y193" s="68"/>
      <c r="Z193" s="68"/>
      <c r="AA193" s="68"/>
      <c r="AB193" s="177"/>
      <c r="AC193" s="68"/>
      <c r="AD193" s="68"/>
      <c r="AE193" s="177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</row>
    <row r="194" spans="1:63" ht="13.8" x14ac:dyDescent="0.3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176"/>
      <c r="V194" s="68"/>
      <c r="W194" s="68"/>
      <c r="X194" s="68"/>
      <c r="Y194" s="68"/>
      <c r="Z194" s="68"/>
      <c r="AA194" s="68"/>
      <c r="AB194" s="177"/>
      <c r="AC194" s="68"/>
      <c r="AD194" s="68"/>
      <c r="AE194" s="177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</row>
    <row r="195" spans="1:63" ht="13.8" x14ac:dyDescent="0.3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176"/>
      <c r="V195" s="68"/>
      <c r="W195" s="68"/>
      <c r="X195" s="68"/>
      <c r="Y195" s="68"/>
      <c r="Z195" s="68"/>
      <c r="AA195" s="68"/>
      <c r="AB195" s="177"/>
      <c r="AC195" s="68"/>
      <c r="AD195" s="68"/>
      <c r="AE195" s="177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</row>
    <row r="196" spans="1:63" ht="13.8" x14ac:dyDescent="0.3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176"/>
      <c r="V196" s="68"/>
      <c r="W196" s="68"/>
      <c r="X196" s="68"/>
      <c r="Y196" s="68"/>
      <c r="Z196" s="68"/>
      <c r="AA196" s="68"/>
      <c r="AB196" s="177"/>
      <c r="AC196" s="68"/>
      <c r="AD196" s="68"/>
      <c r="AE196" s="177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</row>
    <row r="197" spans="1:63" ht="13.8" x14ac:dyDescent="0.3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176"/>
      <c r="V197" s="68"/>
      <c r="W197" s="68"/>
      <c r="X197" s="68"/>
      <c r="Y197" s="68"/>
      <c r="Z197" s="68"/>
      <c r="AA197" s="68"/>
      <c r="AB197" s="177"/>
      <c r="AC197" s="68"/>
      <c r="AD197" s="68"/>
      <c r="AE197" s="177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</row>
    <row r="198" spans="1:63" ht="13.8" x14ac:dyDescent="0.3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176"/>
      <c r="V198" s="68"/>
      <c r="W198" s="68"/>
      <c r="X198" s="68"/>
      <c r="Y198" s="68"/>
      <c r="Z198" s="68"/>
      <c r="AA198" s="68"/>
      <c r="AB198" s="177"/>
      <c r="AC198" s="68"/>
      <c r="AD198" s="68"/>
      <c r="AE198" s="177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</row>
    <row r="199" spans="1:63" ht="13.8" x14ac:dyDescent="0.3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176"/>
      <c r="V199" s="68"/>
      <c r="W199" s="68"/>
      <c r="X199" s="68"/>
      <c r="Y199" s="68"/>
      <c r="Z199" s="68"/>
      <c r="AA199" s="68"/>
      <c r="AB199" s="177"/>
      <c r="AC199" s="68"/>
      <c r="AD199" s="68"/>
      <c r="AE199" s="177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</row>
    <row r="200" spans="1:63" ht="13.8" x14ac:dyDescent="0.3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176"/>
      <c r="V200" s="68"/>
      <c r="W200" s="68"/>
      <c r="X200" s="68"/>
      <c r="Y200" s="68"/>
      <c r="Z200" s="68"/>
      <c r="AA200" s="68"/>
      <c r="AB200" s="177"/>
      <c r="AC200" s="68"/>
      <c r="AD200" s="68"/>
      <c r="AE200" s="177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</row>
    <row r="201" spans="1:63" ht="13.8" x14ac:dyDescent="0.3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176"/>
      <c r="V201" s="68"/>
      <c r="W201" s="68"/>
      <c r="X201" s="68"/>
      <c r="Y201" s="68"/>
      <c r="Z201" s="68"/>
      <c r="AA201" s="68"/>
      <c r="AB201" s="177"/>
      <c r="AC201" s="68"/>
      <c r="AD201" s="68"/>
      <c r="AE201" s="177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</row>
    <row r="202" spans="1:63" ht="13.8" x14ac:dyDescent="0.3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176"/>
      <c r="V202" s="68"/>
      <c r="W202" s="68"/>
      <c r="X202" s="68"/>
      <c r="Y202" s="68"/>
      <c r="Z202" s="68"/>
      <c r="AA202" s="68"/>
      <c r="AB202" s="177"/>
      <c r="AC202" s="68"/>
      <c r="AD202" s="68"/>
      <c r="AE202" s="177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</row>
    <row r="203" spans="1:63" ht="13.8" x14ac:dyDescent="0.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176"/>
      <c r="V203" s="68"/>
      <c r="W203" s="68"/>
      <c r="X203" s="68"/>
      <c r="Y203" s="68"/>
      <c r="Z203" s="68"/>
      <c r="AA203" s="68"/>
      <c r="AB203" s="177"/>
      <c r="AC203" s="68"/>
      <c r="AD203" s="68"/>
      <c r="AE203" s="177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</row>
    <row r="204" spans="1:63" ht="13.8" x14ac:dyDescent="0.3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176"/>
      <c r="V204" s="68"/>
      <c r="W204" s="68"/>
      <c r="X204" s="68"/>
      <c r="Y204" s="68"/>
      <c r="Z204" s="68"/>
      <c r="AA204" s="68"/>
      <c r="AB204" s="177"/>
      <c r="AC204" s="68"/>
      <c r="AD204" s="68"/>
      <c r="AE204" s="177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</row>
    <row r="205" spans="1:63" ht="13.8" x14ac:dyDescent="0.3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176"/>
      <c r="V205" s="68"/>
      <c r="W205" s="68"/>
      <c r="X205" s="68"/>
      <c r="Y205" s="68"/>
      <c r="Z205" s="68"/>
      <c r="AA205" s="68"/>
      <c r="AB205" s="177"/>
      <c r="AC205" s="68"/>
      <c r="AD205" s="68"/>
      <c r="AE205" s="177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</row>
    <row r="206" spans="1:63" ht="13.8" x14ac:dyDescent="0.3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176"/>
      <c r="V206" s="68"/>
      <c r="W206" s="68"/>
      <c r="X206" s="68"/>
      <c r="Y206" s="68"/>
      <c r="Z206" s="68"/>
      <c r="AA206" s="68"/>
      <c r="AB206" s="177"/>
      <c r="AC206" s="68"/>
      <c r="AD206" s="68"/>
      <c r="AE206" s="177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</row>
    <row r="207" spans="1:63" ht="13.8" x14ac:dyDescent="0.3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176"/>
      <c r="V207" s="68"/>
      <c r="W207" s="68"/>
      <c r="X207" s="68"/>
      <c r="Y207" s="68"/>
      <c r="Z207" s="68"/>
      <c r="AA207" s="68"/>
      <c r="AB207" s="177"/>
      <c r="AC207" s="68"/>
      <c r="AD207" s="68"/>
      <c r="AE207" s="177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</row>
    <row r="208" spans="1:63" ht="13.8" x14ac:dyDescent="0.3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176"/>
      <c r="V208" s="68"/>
      <c r="W208" s="68"/>
      <c r="X208" s="68"/>
      <c r="Y208" s="68"/>
      <c r="Z208" s="68"/>
      <c r="AA208" s="68"/>
      <c r="AB208" s="177"/>
      <c r="AC208" s="68"/>
      <c r="AD208" s="68"/>
      <c r="AE208" s="177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</row>
    <row r="209" spans="1:63" ht="13.8" x14ac:dyDescent="0.3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176"/>
      <c r="V209" s="68"/>
      <c r="W209" s="68"/>
      <c r="X209" s="68"/>
      <c r="Y209" s="68"/>
      <c r="Z209" s="68"/>
      <c r="AA209" s="68"/>
      <c r="AB209" s="177"/>
      <c r="AC209" s="68"/>
      <c r="AD209" s="68"/>
      <c r="AE209" s="177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</row>
    <row r="210" spans="1:63" ht="13.8" x14ac:dyDescent="0.3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176"/>
      <c r="V210" s="68"/>
      <c r="W210" s="68"/>
      <c r="X210" s="68"/>
      <c r="Y210" s="68"/>
      <c r="Z210" s="68"/>
      <c r="AA210" s="68"/>
      <c r="AB210" s="177"/>
      <c r="AC210" s="68"/>
      <c r="AD210" s="68"/>
      <c r="AE210" s="177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</row>
    <row r="211" spans="1:63" ht="13.8" x14ac:dyDescent="0.3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176"/>
      <c r="V211" s="68"/>
      <c r="W211" s="68"/>
      <c r="X211" s="68"/>
      <c r="Y211" s="68"/>
      <c r="Z211" s="68"/>
      <c r="AA211" s="68"/>
      <c r="AB211" s="177"/>
      <c r="AC211" s="68"/>
      <c r="AD211" s="68"/>
      <c r="AE211" s="177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</row>
    <row r="212" spans="1:63" ht="13.8" x14ac:dyDescent="0.3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176"/>
      <c r="V212" s="68"/>
      <c r="W212" s="68"/>
      <c r="X212" s="68"/>
      <c r="Y212" s="68"/>
      <c r="Z212" s="68"/>
      <c r="AA212" s="68"/>
      <c r="AB212" s="177"/>
      <c r="AC212" s="68"/>
      <c r="AD212" s="68"/>
      <c r="AE212" s="177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</row>
    <row r="213" spans="1:63" ht="13.8" x14ac:dyDescent="0.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176"/>
      <c r="V213" s="68"/>
      <c r="W213" s="68"/>
      <c r="X213" s="68"/>
      <c r="Y213" s="68"/>
      <c r="Z213" s="68"/>
      <c r="AA213" s="68"/>
      <c r="AB213" s="177"/>
      <c r="AC213" s="68"/>
      <c r="AD213" s="68"/>
      <c r="AE213" s="177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</row>
    <row r="214" spans="1:63" ht="13.8" x14ac:dyDescent="0.3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176"/>
      <c r="V214" s="68"/>
      <c r="W214" s="68"/>
      <c r="X214" s="68"/>
      <c r="Y214" s="68"/>
      <c r="Z214" s="68"/>
      <c r="AA214" s="68"/>
      <c r="AB214" s="177"/>
      <c r="AC214" s="68"/>
      <c r="AD214" s="68"/>
      <c r="AE214" s="177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</row>
    <row r="215" spans="1:63" ht="13.8" x14ac:dyDescent="0.3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176"/>
      <c r="V215" s="68"/>
      <c r="W215" s="68"/>
      <c r="X215" s="68"/>
      <c r="Y215" s="68"/>
      <c r="Z215" s="68"/>
      <c r="AA215" s="68"/>
      <c r="AB215" s="177"/>
      <c r="AC215" s="68"/>
      <c r="AD215" s="68"/>
      <c r="AE215" s="177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</row>
    <row r="216" spans="1:63" ht="13.8" x14ac:dyDescent="0.3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176"/>
      <c r="V216" s="68"/>
      <c r="W216" s="68"/>
      <c r="X216" s="68"/>
      <c r="Y216" s="68"/>
      <c r="Z216" s="68"/>
      <c r="AA216" s="68"/>
      <c r="AB216" s="177"/>
      <c r="AC216" s="68"/>
      <c r="AD216" s="68"/>
      <c r="AE216" s="177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</row>
    <row r="217" spans="1:63" ht="13.8" x14ac:dyDescent="0.3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176"/>
      <c r="V217" s="68"/>
      <c r="W217" s="68"/>
      <c r="X217" s="68"/>
      <c r="Y217" s="68"/>
      <c r="Z217" s="68"/>
      <c r="AA217" s="68"/>
      <c r="AB217" s="177"/>
      <c r="AC217" s="68"/>
      <c r="AD217" s="68"/>
      <c r="AE217" s="177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</row>
    <row r="218" spans="1:63" ht="13.8" x14ac:dyDescent="0.3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176"/>
      <c r="V218" s="68"/>
      <c r="W218" s="68"/>
      <c r="X218" s="68"/>
      <c r="Y218" s="68"/>
      <c r="Z218" s="68"/>
      <c r="AA218" s="68"/>
      <c r="AB218" s="177"/>
      <c r="AC218" s="68"/>
      <c r="AD218" s="68"/>
      <c r="AE218" s="177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</row>
    <row r="219" spans="1:63" ht="13.8" x14ac:dyDescent="0.3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176"/>
      <c r="V219" s="68"/>
      <c r="W219" s="68"/>
      <c r="X219" s="68"/>
      <c r="Y219" s="68"/>
      <c r="Z219" s="68"/>
      <c r="AA219" s="68"/>
      <c r="AB219" s="177"/>
      <c r="AC219" s="68"/>
      <c r="AD219" s="68"/>
      <c r="AE219" s="177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</row>
    <row r="220" spans="1:63" ht="13.8" x14ac:dyDescent="0.3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176"/>
      <c r="V220" s="68"/>
      <c r="W220" s="68"/>
      <c r="X220" s="68"/>
      <c r="Y220" s="68"/>
      <c r="Z220" s="68"/>
      <c r="AA220" s="68"/>
      <c r="AB220" s="177"/>
      <c r="AC220" s="68"/>
      <c r="AD220" s="68"/>
      <c r="AE220" s="177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</row>
    <row r="221" spans="1:63" ht="13.8" x14ac:dyDescent="0.3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176"/>
      <c r="V221" s="68"/>
      <c r="W221" s="68"/>
      <c r="X221" s="68"/>
      <c r="Y221" s="68"/>
      <c r="Z221" s="68"/>
      <c r="AA221" s="68"/>
      <c r="AB221" s="177"/>
      <c r="AC221" s="68"/>
      <c r="AD221" s="68"/>
      <c r="AE221" s="177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</row>
    <row r="222" spans="1:63" ht="13.8" x14ac:dyDescent="0.3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176"/>
      <c r="V222" s="68"/>
      <c r="W222" s="68"/>
      <c r="X222" s="68"/>
      <c r="Y222" s="68"/>
      <c r="Z222" s="68"/>
      <c r="AA222" s="68"/>
      <c r="AB222" s="177"/>
      <c r="AC222" s="68"/>
      <c r="AD222" s="68"/>
      <c r="AE222" s="177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</row>
    <row r="223" spans="1:63" ht="13.8" x14ac:dyDescent="0.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176"/>
      <c r="V223" s="68"/>
      <c r="W223" s="68"/>
      <c r="X223" s="68"/>
      <c r="Y223" s="68"/>
      <c r="Z223" s="68"/>
      <c r="AA223" s="68"/>
      <c r="AB223" s="177"/>
      <c r="AC223" s="68"/>
      <c r="AD223" s="68"/>
      <c r="AE223" s="177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</row>
    <row r="224" spans="1:63" ht="13.8" x14ac:dyDescent="0.3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176"/>
      <c r="V224" s="68"/>
      <c r="W224" s="68"/>
      <c r="X224" s="68"/>
      <c r="Y224" s="68"/>
      <c r="Z224" s="68"/>
      <c r="AA224" s="68"/>
      <c r="AB224" s="177"/>
      <c r="AC224" s="68"/>
      <c r="AD224" s="68"/>
      <c r="AE224" s="177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</row>
    <row r="225" spans="1:63" ht="13.8" x14ac:dyDescent="0.3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176"/>
      <c r="V225" s="68"/>
      <c r="W225" s="68"/>
      <c r="X225" s="68"/>
      <c r="Y225" s="68"/>
      <c r="Z225" s="68"/>
      <c r="AA225" s="68"/>
      <c r="AB225" s="177"/>
      <c r="AC225" s="68"/>
      <c r="AD225" s="68"/>
      <c r="AE225" s="177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</row>
    <row r="226" spans="1:63" ht="13.8" x14ac:dyDescent="0.3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176"/>
      <c r="V226" s="68"/>
      <c r="W226" s="68"/>
      <c r="X226" s="68"/>
      <c r="Y226" s="68"/>
      <c r="Z226" s="68"/>
      <c r="AA226" s="68"/>
      <c r="AB226" s="177"/>
      <c r="AC226" s="68"/>
      <c r="AD226" s="68"/>
      <c r="AE226" s="177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</row>
    <row r="227" spans="1:63" ht="13.8" x14ac:dyDescent="0.3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176"/>
      <c r="V227" s="68"/>
      <c r="W227" s="68"/>
      <c r="X227" s="68"/>
      <c r="Y227" s="68"/>
      <c r="Z227" s="68"/>
      <c r="AA227" s="68"/>
      <c r="AB227" s="177"/>
      <c r="AC227" s="68"/>
      <c r="AD227" s="68"/>
      <c r="AE227" s="177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</row>
    <row r="228" spans="1:63" ht="13.8" x14ac:dyDescent="0.3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176"/>
      <c r="V228" s="68"/>
      <c r="W228" s="68"/>
      <c r="X228" s="68"/>
      <c r="Y228" s="68"/>
      <c r="Z228" s="68"/>
      <c r="AA228" s="68"/>
      <c r="AB228" s="177"/>
      <c r="AC228" s="68"/>
      <c r="AD228" s="68"/>
      <c r="AE228" s="177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</row>
    <row r="229" spans="1:63" ht="13.8" x14ac:dyDescent="0.3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176"/>
      <c r="V229" s="68"/>
      <c r="W229" s="68"/>
      <c r="X229" s="68"/>
      <c r="Y229" s="68"/>
      <c r="Z229" s="68"/>
      <c r="AA229" s="68"/>
      <c r="AB229" s="177"/>
      <c r="AC229" s="68"/>
      <c r="AD229" s="68"/>
      <c r="AE229" s="177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</row>
    <row r="230" spans="1:63" ht="13.8" x14ac:dyDescent="0.3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176"/>
      <c r="V230" s="68"/>
      <c r="W230" s="68"/>
      <c r="X230" s="68"/>
      <c r="Y230" s="68"/>
      <c r="Z230" s="68"/>
      <c r="AA230" s="68"/>
      <c r="AB230" s="177"/>
      <c r="AC230" s="68"/>
      <c r="AD230" s="68"/>
      <c r="AE230" s="177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</row>
    <row r="231" spans="1:63" ht="13.8" x14ac:dyDescent="0.3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176"/>
      <c r="V231" s="68"/>
      <c r="W231" s="68"/>
      <c r="X231" s="68"/>
      <c r="Y231" s="68"/>
      <c r="Z231" s="68"/>
      <c r="AA231" s="68"/>
      <c r="AB231" s="177"/>
      <c r="AC231" s="68"/>
      <c r="AD231" s="68"/>
      <c r="AE231" s="177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</row>
    <row r="232" spans="1:63" ht="13.8" x14ac:dyDescent="0.3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176"/>
      <c r="V232" s="68"/>
      <c r="W232" s="68"/>
      <c r="X232" s="68"/>
      <c r="Y232" s="68"/>
      <c r="Z232" s="68"/>
      <c r="AA232" s="68"/>
      <c r="AB232" s="177"/>
      <c r="AC232" s="68"/>
      <c r="AD232" s="68"/>
      <c r="AE232" s="177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</row>
    <row r="233" spans="1:63" ht="13.8" x14ac:dyDescent="0.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176"/>
      <c r="V233" s="68"/>
      <c r="W233" s="68"/>
      <c r="X233" s="68"/>
      <c r="Y233" s="68"/>
      <c r="Z233" s="68"/>
      <c r="AA233" s="68"/>
      <c r="AB233" s="177"/>
      <c r="AC233" s="68"/>
      <c r="AD233" s="68"/>
      <c r="AE233" s="177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</row>
    <row r="234" spans="1:63" ht="13.8" x14ac:dyDescent="0.3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176"/>
      <c r="V234" s="68"/>
      <c r="W234" s="68"/>
      <c r="X234" s="68"/>
      <c r="Y234" s="68"/>
      <c r="Z234" s="68"/>
      <c r="AA234" s="68"/>
      <c r="AB234" s="177"/>
      <c r="AC234" s="68"/>
      <c r="AD234" s="68"/>
      <c r="AE234" s="177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</row>
    <row r="235" spans="1:63" ht="13.8" x14ac:dyDescent="0.3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176"/>
      <c r="V235" s="68"/>
      <c r="W235" s="68"/>
      <c r="X235" s="68"/>
      <c r="Y235" s="68"/>
      <c r="Z235" s="68"/>
      <c r="AA235" s="68"/>
      <c r="AB235" s="177"/>
      <c r="AC235" s="68"/>
      <c r="AD235" s="68"/>
      <c r="AE235" s="177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</row>
    <row r="236" spans="1:63" ht="13.8" x14ac:dyDescent="0.3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176"/>
      <c r="V236" s="68"/>
      <c r="W236" s="68"/>
      <c r="X236" s="68"/>
      <c r="Y236" s="68"/>
      <c r="Z236" s="68"/>
      <c r="AA236" s="68"/>
      <c r="AB236" s="177"/>
      <c r="AC236" s="68"/>
      <c r="AD236" s="68"/>
      <c r="AE236" s="177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</row>
    <row r="237" spans="1:63" ht="13.8" x14ac:dyDescent="0.3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176"/>
      <c r="V237" s="68"/>
      <c r="W237" s="68"/>
      <c r="X237" s="68"/>
      <c r="Y237" s="68"/>
      <c r="Z237" s="68"/>
      <c r="AA237" s="68"/>
      <c r="AB237" s="177"/>
      <c r="AC237" s="68"/>
      <c r="AD237" s="68"/>
      <c r="AE237" s="177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</row>
    <row r="238" spans="1:63" ht="13.8" x14ac:dyDescent="0.3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176"/>
      <c r="V238" s="68"/>
      <c r="W238" s="68"/>
      <c r="X238" s="68"/>
      <c r="Y238" s="68"/>
      <c r="Z238" s="68"/>
      <c r="AA238" s="68"/>
      <c r="AB238" s="177"/>
      <c r="AC238" s="68"/>
      <c r="AD238" s="68"/>
      <c r="AE238" s="177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</row>
    <row r="239" spans="1:63" ht="13.8" x14ac:dyDescent="0.3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176"/>
      <c r="V239" s="68"/>
      <c r="W239" s="68"/>
      <c r="X239" s="68"/>
      <c r="Y239" s="68"/>
      <c r="Z239" s="68"/>
      <c r="AA239" s="68"/>
      <c r="AB239" s="177"/>
      <c r="AC239" s="68"/>
      <c r="AD239" s="68"/>
      <c r="AE239" s="177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</row>
    <row r="240" spans="1:63" ht="13.8" x14ac:dyDescent="0.3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176"/>
      <c r="V240" s="68"/>
      <c r="W240" s="68"/>
      <c r="X240" s="68"/>
      <c r="Y240" s="68"/>
      <c r="Z240" s="68"/>
      <c r="AA240" s="68"/>
      <c r="AB240" s="177"/>
      <c r="AC240" s="68"/>
      <c r="AD240" s="68"/>
      <c r="AE240" s="177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</row>
    <row r="241" spans="1:63" ht="13.8" x14ac:dyDescent="0.3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176"/>
      <c r="V241" s="68"/>
      <c r="W241" s="68"/>
      <c r="X241" s="68"/>
      <c r="Y241" s="68"/>
      <c r="Z241" s="68"/>
      <c r="AA241" s="68"/>
      <c r="AB241" s="177"/>
      <c r="AC241" s="68"/>
      <c r="AD241" s="68"/>
      <c r="AE241" s="177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</row>
    <row r="242" spans="1:63" ht="13.8" x14ac:dyDescent="0.3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176"/>
      <c r="V242" s="68"/>
      <c r="W242" s="68"/>
      <c r="X242" s="68"/>
      <c r="Y242" s="68"/>
      <c r="Z242" s="68"/>
      <c r="AA242" s="68"/>
      <c r="AB242" s="177"/>
      <c r="AC242" s="68"/>
      <c r="AD242" s="68"/>
      <c r="AE242" s="177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</row>
    <row r="243" spans="1:63" ht="13.8" x14ac:dyDescent="0.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176"/>
      <c r="V243" s="68"/>
      <c r="W243" s="68"/>
      <c r="X243" s="68"/>
      <c r="Y243" s="68"/>
      <c r="Z243" s="68"/>
      <c r="AA243" s="68"/>
      <c r="AB243" s="177"/>
      <c r="AC243" s="68"/>
      <c r="AD243" s="68"/>
      <c r="AE243" s="177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</row>
    <row r="244" spans="1:63" ht="13.8" x14ac:dyDescent="0.3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176"/>
      <c r="V244" s="68"/>
      <c r="W244" s="68"/>
      <c r="X244" s="68"/>
      <c r="Y244" s="68"/>
      <c r="Z244" s="68"/>
      <c r="AA244" s="68"/>
      <c r="AB244" s="177"/>
      <c r="AC244" s="68"/>
      <c r="AD244" s="68"/>
      <c r="AE244" s="177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</row>
    <row r="245" spans="1:63" ht="13.8" x14ac:dyDescent="0.3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176"/>
      <c r="V245" s="68"/>
      <c r="W245" s="68"/>
      <c r="X245" s="68"/>
      <c r="Y245" s="68"/>
      <c r="Z245" s="68"/>
      <c r="AA245" s="68"/>
      <c r="AB245" s="177"/>
      <c r="AC245" s="68"/>
      <c r="AD245" s="68"/>
      <c r="AE245" s="177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</row>
    <row r="246" spans="1:63" ht="13.8" x14ac:dyDescent="0.3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176"/>
      <c r="V246" s="68"/>
      <c r="W246" s="68"/>
      <c r="X246" s="68"/>
      <c r="Y246" s="68"/>
      <c r="Z246" s="68"/>
      <c r="AA246" s="68"/>
      <c r="AB246" s="177"/>
      <c r="AC246" s="68"/>
      <c r="AD246" s="68"/>
      <c r="AE246" s="177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</row>
    <row r="247" spans="1:63" ht="13.8" x14ac:dyDescent="0.3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176"/>
      <c r="V247" s="68"/>
      <c r="W247" s="68"/>
      <c r="X247" s="68"/>
      <c r="Y247" s="68"/>
      <c r="Z247" s="68"/>
      <c r="AA247" s="68"/>
      <c r="AB247" s="177"/>
      <c r="AC247" s="68"/>
      <c r="AD247" s="68"/>
      <c r="AE247" s="177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</row>
    <row r="248" spans="1:63" ht="13.8" x14ac:dyDescent="0.3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176"/>
      <c r="V248" s="68"/>
      <c r="W248" s="68"/>
      <c r="X248" s="68"/>
      <c r="Y248" s="68"/>
      <c r="Z248" s="68"/>
      <c r="AA248" s="68"/>
      <c r="AB248" s="177"/>
      <c r="AC248" s="68"/>
      <c r="AD248" s="68"/>
      <c r="AE248" s="177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</row>
    <row r="249" spans="1:63" ht="13.8" x14ac:dyDescent="0.3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176"/>
      <c r="V249" s="68"/>
      <c r="W249" s="68"/>
      <c r="X249" s="68"/>
      <c r="Y249" s="68"/>
      <c r="Z249" s="68"/>
      <c r="AA249" s="68"/>
      <c r="AB249" s="177"/>
      <c r="AC249" s="68"/>
      <c r="AD249" s="68"/>
      <c r="AE249" s="177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</row>
    <row r="250" spans="1:63" ht="13.8" x14ac:dyDescent="0.3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176"/>
      <c r="V250" s="68"/>
      <c r="W250" s="68"/>
      <c r="X250" s="68"/>
      <c r="Y250" s="68"/>
      <c r="Z250" s="68"/>
      <c r="AA250" s="68"/>
      <c r="AB250" s="177"/>
      <c r="AC250" s="68"/>
      <c r="AD250" s="68"/>
      <c r="AE250" s="177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</row>
    <row r="251" spans="1:63" ht="13.8" x14ac:dyDescent="0.3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176"/>
      <c r="V251" s="68"/>
      <c r="W251" s="68"/>
      <c r="X251" s="68"/>
      <c r="Y251" s="68"/>
      <c r="Z251" s="68"/>
      <c r="AA251" s="68"/>
      <c r="AB251" s="177"/>
      <c r="AC251" s="68"/>
      <c r="AD251" s="68"/>
      <c r="AE251" s="177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</row>
    <row r="252" spans="1:63" ht="13.8" x14ac:dyDescent="0.3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176"/>
      <c r="V252" s="68"/>
      <c r="W252" s="68"/>
      <c r="X252" s="68"/>
      <c r="Y252" s="68"/>
      <c r="Z252" s="68"/>
      <c r="AA252" s="68"/>
      <c r="AB252" s="177"/>
      <c r="AC252" s="68"/>
      <c r="AD252" s="68"/>
      <c r="AE252" s="177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</row>
    <row r="253" spans="1:63" ht="13.8" x14ac:dyDescent="0.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176"/>
      <c r="V253" s="68"/>
      <c r="W253" s="68"/>
      <c r="X253" s="68"/>
      <c r="Y253" s="68"/>
      <c r="Z253" s="68"/>
      <c r="AA253" s="68"/>
      <c r="AB253" s="177"/>
      <c r="AC253" s="68"/>
      <c r="AD253" s="68"/>
      <c r="AE253" s="177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</row>
    <row r="254" spans="1:63" ht="13.8" x14ac:dyDescent="0.3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176"/>
      <c r="V254" s="68"/>
      <c r="W254" s="68"/>
      <c r="X254" s="68"/>
      <c r="Y254" s="68"/>
      <c r="Z254" s="68"/>
      <c r="AA254" s="68"/>
      <c r="AB254" s="177"/>
      <c r="AC254" s="68"/>
      <c r="AD254" s="68"/>
      <c r="AE254" s="177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</row>
    <row r="255" spans="1:63" ht="13.8" x14ac:dyDescent="0.3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176"/>
      <c r="V255" s="68"/>
      <c r="W255" s="68"/>
      <c r="X255" s="68"/>
      <c r="Y255" s="68"/>
      <c r="Z255" s="68"/>
      <c r="AA255" s="68"/>
      <c r="AB255" s="177"/>
      <c r="AC255" s="68"/>
      <c r="AD255" s="68"/>
      <c r="AE255" s="177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</row>
    <row r="256" spans="1:63" ht="13.8" x14ac:dyDescent="0.3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176"/>
      <c r="V256" s="68"/>
      <c r="W256" s="68"/>
      <c r="X256" s="68"/>
      <c r="Y256" s="68"/>
      <c r="Z256" s="68"/>
      <c r="AA256" s="68"/>
      <c r="AB256" s="177"/>
      <c r="AC256" s="68"/>
      <c r="AD256" s="68"/>
      <c r="AE256" s="177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</row>
    <row r="257" spans="1:63" ht="13.8" x14ac:dyDescent="0.3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176"/>
      <c r="V257" s="68"/>
      <c r="W257" s="68"/>
      <c r="X257" s="68"/>
      <c r="Y257" s="68"/>
      <c r="Z257" s="68"/>
      <c r="AA257" s="68"/>
      <c r="AB257" s="177"/>
      <c r="AC257" s="68"/>
      <c r="AD257" s="68"/>
      <c r="AE257" s="177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</row>
    <row r="258" spans="1:63" ht="13.8" x14ac:dyDescent="0.3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176"/>
      <c r="V258" s="68"/>
      <c r="W258" s="68"/>
      <c r="X258" s="68"/>
      <c r="Y258" s="68"/>
      <c r="Z258" s="68"/>
      <c r="AA258" s="68"/>
      <c r="AB258" s="177"/>
      <c r="AC258" s="68"/>
      <c r="AD258" s="68"/>
      <c r="AE258" s="177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</row>
    <row r="259" spans="1:63" ht="13.8" x14ac:dyDescent="0.3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176"/>
      <c r="V259" s="68"/>
      <c r="W259" s="68"/>
      <c r="X259" s="68"/>
      <c r="Y259" s="68"/>
      <c r="Z259" s="68"/>
      <c r="AA259" s="68"/>
      <c r="AB259" s="177"/>
      <c r="AC259" s="68"/>
      <c r="AD259" s="68"/>
      <c r="AE259" s="177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</row>
    <row r="260" spans="1:63" ht="13.8" x14ac:dyDescent="0.3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176"/>
      <c r="V260" s="68"/>
      <c r="W260" s="68"/>
      <c r="X260" s="68"/>
      <c r="Y260" s="68"/>
      <c r="Z260" s="68"/>
      <c r="AA260" s="68"/>
      <c r="AB260" s="177"/>
      <c r="AC260" s="68"/>
      <c r="AD260" s="68"/>
      <c r="AE260" s="177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</row>
    <row r="261" spans="1:63" ht="13.8" x14ac:dyDescent="0.3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176"/>
      <c r="V261" s="68"/>
      <c r="W261" s="68"/>
      <c r="X261" s="68"/>
      <c r="Y261" s="68"/>
      <c r="Z261" s="68"/>
      <c r="AA261" s="68"/>
      <c r="AB261" s="177"/>
      <c r="AC261" s="68"/>
      <c r="AD261" s="68"/>
      <c r="AE261" s="177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</row>
    <row r="262" spans="1:63" ht="13.8" x14ac:dyDescent="0.3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176"/>
      <c r="V262" s="68"/>
      <c r="W262" s="68"/>
      <c r="X262" s="68"/>
      <c r="Y262" s="68"/>
      <c r="Z262" s="68"/>
      <c r="AA262" s="68"/>
      <c r="AB262" s="177"/>
      <c r="AC262" s="68"/>
      <c r="AD262" s="68"/>
      <c r="AE262" s="177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</row>
    <row r="263" spans="1:63" ht="13.8" x14ac:dyDescent="0.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176"/>
      <c r="V263" s="68"/>
      <c r="W263" s="68"/>
      <c r="X263" s="68"/>
      <c r="Y263" s="68"/>
      <c r="Z263" s="68"/>
      <c r="AA263" s="68"/>
      <c r="AB263" s="177"/>
      <c r="AC263" s="68"/>
      <c r="AD263" s="68"/>
      <c r="AE263" s="177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</row>
    <row r="264" spans="1:63" ht="13.8" x14ac:dyDescent="0.3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176"/>
      <c r="V264" s="68"/>
      <c r="W264" s="68"/>
      <c r="X264" s="68"/>
      <c r="Y264" s="68"/>
      <c r="Z264" s="68"/>
      <c r="AA264" s="68"/>
      <c r="AB264" s="177"/>
      <c r="AC264" s="68"/>
      <c r="AD264" s="68"/>
      <c r="AE264" s="177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</row>
    <row r="265" spans="1:63" ht="13.8" x14ac:dyDescent="0.3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176"/>
      <c r="V265" s="68"/>
      <c r="W265" s="68"/>
      <c r="X265" s="68"/>
      <c r="Y265" s="68"/>
      <c r="Z265" s="68"/>
      <c r="AA265" s="68"/>
      <c r="AB265" s="177"/>
      <c r="AC265" s="68"/>
      <c r="AD265" s="68"/>
      <c r="AE265" s="177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</row>
    <row r="266" spans="1:63" ht="13.8" x14ac:dyDescent="0.3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176"/>
      <c r="V266" s="68"/>
      <c r="W266" s="68"/>
      <c r="X266" s="68"/>
      <c r="Y266" s="68"/>
      <c r="Z266" s="68"/>
      <c r="AA266" s="68"/>
      <c r="AB266" s="177"/>
      <c r="AC266" s="68"/>
      <c r="AD266" s="68"/>
      <c r="AE266" s="177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</row>
    <row r="267" spans="1:63" ht="13.8" x14ac:dyDescent="0.3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176"/>
      <c r="V267" s="68"/>
      <c r="W267" s="68"/>
      <c r="X267" s="68"/>
      <c r="Y267" s="68"/>
      <c r="Z267" s="68"/>
      <c r="AA267" s="68"/>
      <c r="AB267" s="177"/>
      <c r="AC267" s="68"/>
      <c r="AD267" s="68"/>
      <c r="AE267" s="177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</row>
    <row r="268" spans="1:63" ht="13.8" x14ac:dyDescent="0.3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176"/>
      <c r="V268" s="68"/>
      <c r="W268" s="68"/>
      <c r="X268" s="68"/>
      <c r="Y268" s="68"/>
      <c r="Z268" s="68"/>
      <c r="AA268" s="68"/>
      <c r="AB268" s="177"/>
      <c r="AC268" s="68"/>
      <c r="AD268" s="68"/>
      <c r="AE268" s="177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</row>
    <row r="269" spans="1:63" ht="13.8" x14ac:dyDescent="0.3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176"/>
      <c r="V269" s="68"/>
      <c r="W269" s="68"/>
      <c r="X269" s="68"/>
      <c r="Y269" s="68"/>
      <c r="Z269" s="68"/>
      <c r="AA269" s="68"/>
      <c r="AB269" s="177"/>
      <c r="AC269" s="68"/>
      <c r="AD269" s="68"/>
      <c r="AE269" s="177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</row>
    <row r="270" spans="1:63" ht="13.8" x14ac:dyDescent="0.3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176"/>
      <c r="V270" s="68"/>
      <c r="W270" s="68"/>
      <c r="X270" s="68"/>
      <c r="Y270" s="68"/>
      <c r="Z270" s="68"/>
      <c r="AA270" s="68"/>
      <c r="AB270" s="177"/>
      <c r="AC270" s="68"/>
      <c r="AD270" s="68"/>
      <c r="AE270" s="177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</row>
    <row r="271" spans="1:63" ht="13.8" x14ac:dyDescent="0.3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176"/>
      <c r="V271" s="68"/>
      <c r="W271" s="68"/>
      <c r="X271" s="68"/>
      <c r="Y271" s="68"/>
      <c r="Z271" s="68"/>
      <c r="AA271" s="68"/>
      <c r="AB271" s="177"/>
      <c r="AC271" s="68"/>
      <c r="AD271" s="68"/>
      <c r="AE271" s="177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</row>
    <row r="272" spans="1:63" ht="13.8" x14ac:dyDescent="0.3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176"/>
      <c r="V272" s="68"/>
      <c r="W272" s="68"/>
      <c r="X272" s="68"/>
      <c r="Y272" s="68"/>
      <c r="Z272" s="68"/>
      <c r="AA272" s="68"/>
      <c r="AB272" s="177"/>
      <c r="AC272" s="68"/>
      <c r="AD272" s="68"/>
      <c r="AE272" s="177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</row>
    <row r="273" spans="1:63" ht="13.8" x14ac:dyDescent="0.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176"/>
      <c r="V273" s="68"/>
      <c r="W273" s="68"/>
      <c r="X273" s="68"/>
      <c r="Y273" s="68"/>
      <c r="Z273" s="68"/>
      <c r="AA273" s="68"/>
      <c r="AB273" s="177"/>
      <c r="AC273" s="68"/>
      <c r="AD273" s="68"/>
      <c r="AE273" s="177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</row>
    <row r="274" spans="1:63" ht="13.8" x14ac:dyDescent="0.3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176"/>
      <c r="V274" s="68"/>
      <c r="W274" s="68"/>
      <c r="X274" s="68"/>
      <c r="Y274" s="68"/>
      <c r="Z274" s="68"/>
      <c r="AA274" s="68"/>
      <c r="AB274" s="177"/>
      <c r="AC274" s="68"/>
      <c r="AD274" s="68"/>
      <c r="AE274" s="177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</row>
    <row r="275" spans="1:63" ht="13.8" x14ac:dyDescent="0.3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176"/>
      <c r="V275" s="68"/>
      <c r="W275" s="68"/>
      <c r="X275" s="68"/>
      <c r="Y275" s="68"/>
      <c r="Z275" s="68"/>
      <c r="AA275" s="68"/>
      <c r="AB275" s="177"/>
      <c r="AC275" s="68"/>
      <c r="AD275" s="68"/>
      <c r="AE275" s="177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</row>
    <row r="276" spans="1:63" ht="13.8" x14ac:dyDescent="0.3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176"/>
      <c r="V276" s="68"/>
      <c r="W276" s="68"/>
      <c r="X276" s="68"/>
      <c r="Y276" s="68"/>
      <c r="Z276" s="68"/>
      <c r="AA276" s="68"/>
      <c r="AB276" s="177"/>
      <c r="AC276" s="68"/>
      <c r="AD276" s="68"/>
      <c r="AE276" s="177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</row>
    <row r="277" spans="1:63" ht="13.8" x14ac:dyDescent="0.3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176"/>
      <c r="V277" s="68"/>
      <c r="W277" s="68"/>
      <c r="X277" s="68"/>
      <c r="Y277" s="68"/>
      <c r="Z277" s="68"/>
      <c r="AA277" s="68"/>
      <c r="AB277" s="177"/>
      <c r="AC277" s="68"/>
      <c r="AD277" s="68"/>
      <c r="AE277" s="177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</row>
    <row r="278" spans="1:63" ht="13.8" x14ac:dyDescent="0.3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176"/>
      <c r="V278" s="68"/>
      <c r="W278" s="68"/>
      <c r="X278" s="68"/>
      <c r="Y278" s="68"/>
      <c r="Z278" s="68"/>
      <c r="AA278" s="68"/>
      <c r="AB278" s="177"/>
      <c r="AC278" s="68"/>
      <c r="AD278" s="68"/>
      <c r="AE278" s="177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</row>
    <row r="279" spans="1:63" ht="13.8" x14ac:dyDescent="0.3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176"/>
      <c r="V279" s="68"/>
      <c r="W279" s="68"/>
      <c r="X279" s="68"/>
      <c r="Y279" s="68"/>
      <c r="Z279" s="68"/>
      <c r="AA279" s="68"/>
      <c r="AB279" s="177"/>
      <c r="AC279" s="68"/>
      <c r="AD279" s="68"/>
      <c r="AE279" s="177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</row>
    <row r="280" spans="1:63" ht="13.8" x14ac:dyDescent="0.3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176"/>
      <c r="V280" s="68"/>
      <c r="W280" s="68"/>
      <c r="X280" s="68"/>
      <c r="Y280" s="68"/>
      <c r="Z280" s="68"/>
      <c r="AA280" s="68"/>
      <c r="AB280" s="177"/>
      <c r="AC280" s="68"/>
      <c r="AD280" s="68"/>
      <c r="AE280" s="177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</row>
    <row r="281" spans="1:63" ht="13.8" x14ac:dyDescent="0.3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176"/>
      <c r="V281" s="68"/>
      <c r="W281" s="68"/>
      <c r="X281" s="68"/>
      <c r="Y281" s="68"/>
      <c r="Z281" s="68"/>
      <c r="AA281" s="68"/>
      <c r="AB281" s="177"/>
      <c r="AC281" s="68"/>
      <c r="AD281" s="68"/>
      <c r="AE281" s="177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</row>
    <row r="282" spans="1:63" ht="13.8" x14ac:dyDescent="0.3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176"/>
      <c r="V282" s="68"/>
      <c r="W282" s="68"/>
      <c r="X282" s="68"/>
      <c r="Y282" s="68"/>
      <c r="Z282" s="68"/>
      <c r="AA282" s="68"/>
      <c r="AB282" s="177"/>
      <c r="AC282" s="68"/>
      <c r="AD282" s="68"/>
      <c r="AE282" s="177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</row>
    <row r="283" spans="1:63" ht="13.8" x14ac:dyDescent="0.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176"/>
      <c r="V283" s="68"/>
      <c r="W283" s="68"/>
      <c r="X283" s="68"/>
      <c r="Y283" s="68"/>
      <c r="Z283" s="68"/>
      <c r="AA283" s="68"/>
      <c r="AB283" s="177"/>
      <c r="AC283" s="68"/>
      <c r="AD283" s="68"/>
      <c r="AE283" s="177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</row>
    <row r="284" spans="1:63" ht="13.8" x14ac:dyDescent="0.3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176"/>
      <c r="V284" s="68"/>
      <c r="W284" s="68"/>
      <c r="X284" s="68"/>
      <c r="Y284" s="68"/>
      <c r="Z284" s="68"/>
      <c r="AA284" s="68"/>
      <c r="AB284" s="177"/>
      <c r="AC284" s="68"/>
      <c r="AD284" s="68"/>
      <c r="AE284" s="177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</row>
    <row r="285" spans="1:63" ht="13.8" x14ac:dyDescent="0.3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176"/>
      <c r="V285" s="68"/>
      <c r="W285" s="68"/>
      <c r="X285" s="68"/>
      <c r="Y285" s="68"/>
      <c r="Z285" s="68"/>
      <c r="AA285" s="68"/>
      <c r="AB285" s="177"/>
      <c r="AC285" s="68"/>
      <c r="AD285" s="68"/>
      <c r="AE285" s="177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</row>
    <row r="286" spans="1:63" ht="13.8" x14ac:dyDescent="0.3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176"/>
      <c r="V286" s="68"/>
      <c r="W286" s="68"/>
      <c r="X286" s="68"/>
      <c r="Y286" s="68"/>
      <c r="Z286" s="68"/>
      <c r="AA286" s="68"/>
      <c r="AB286" s="177"/>
      <c r="AC286" s="68"/>
      <c r="AD286" s="68"/>
      <c r="AE286" s="177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</row>
    <row r="287" spans="1:63" ht="13.8" x14ac:dyDescent="0.3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176"/>
      <c r="V287" s="68"/>
      <c r="W287" s="68"/>
      <c r="X287" s="68"/>
      <c r="Y287" s="68"/>
      <c r="Z287" s="68"/>
      <c r="AA287" s="68"/>
      <c r="AB287" s="177"/>
      <c r="AC287" s="68"/>
      <c r="AD287" s="68"/>
      <c r="AE287" s="177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</row>
    <row r="288" spans="1:63" ht="13.8" x14ac:dyDescent="0.3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176"/>
      <c r="V288" s="68"/>
      <c r="W288" s="68"/>
      <c r="X288" s="68"/>
      <c r="Y288" s="68"/>
      <c r="Z288" s="68"/>
      <c r="AA288" s="68"/>
      <c r="AB288" s="177"/>
      <c r="AC288" s="68"/>
      <c r="AD288" s="68"/>
      <c r="AE288" s="177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</row>
    <row r="289" spans="1:63" ht="13.8" x14ac:dyDescent="0.3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176"/>
      <c r="V289" s="68"/>
      <c r="W289" s="68"/>
      <c r="X289" s="68"/>
      <c r="Y289" s="68"/>
      <c r="Z289" s="68"/>
      <c r="AA289" s="68"/>
      <c r="AB289" s="177"/>
      <c r="AC289" s="68"/>
      <c r="AD289" s="68"/>
      <c r="AE289" s="177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</row>
    <row r="290" spans="1:63" ht="13.8" x14ac:dyDescent="0.3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176"/>
      <c r="V290" s="68"/>
      <c r="W290" s="68"/>
      <c r="X290" s="68"/>
      <c r="Y290" s="68"/>
      <c r="Z290" s="68"/>
      <c r="AA290" s="68"/>
      <c r="AB290" s="177"/>
      <c r="AC290" s="68"/>
      <c r="AD290" s="68"/>
      <c r="AE290" s="177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</row>
    <row r="291" spans="1:63" ht="13.8" x14ac:dyDescent="0.3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176"/>
      <c r="V291" s="68"/>
      <c r="W291" s="68"/>
      <c r="X291" s="68"/>
      <c r="Y291" s="68"/>
      <c r="Z291" s="68"/>
      <c r="AA291" s="68"/>
      <c r="AB291" s="177"/>
      <c r="AC291" s="68"/>
      <c r="AD291" s="68"/>
      <c r="AE291" s="177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</row>
    <row r="292" spans="1:63" ht="13.8" x14ac:dyDescent="0.3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176"/>
      <c r="V292" s="68"/>
      <c r="W292" s="68"/>
      <c r="X292" s="68"/>
      <c r="Y292" s="68"/>
      <c r="Z292" s="68"/>
      <c r="AA292" s="68"/>
      <c r="AB292" s="177"/>
      <c r="AC292" s="68"/>
      <c r="AD292" s="68"/>
      <c r="AE292" s="177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</row>
    <row r="293" spans="1:63" ht="13.8" x14ac:dyDescent="0.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176"/>
      <c r="V293" s="68"/>
      <c r="W293" s="68"/>
      <c r="X293" s="68"/>
      <c r="Y293" s="68"/>
      <c r="Z293" s="68"/>
      <c r="AA293" s="68"/>
      <c r="AB293" s="177"/>
      <c r="AC293" s="68"/>
      <c r="AD293" s="68"/>
      <c r="AE293" s="177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</row>
    <row r="294" spans="1:63" ht="13.8" x14ac:dyDescent="0.3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176"/>
      <c r="V294" s="68"/>
      <c r="W294" s="68"/>
      <c r="X294" s="68"/>
      <c r="Y294" s="68"/>
      <c r="Z294" s="68"/>
      <c r="AA294" s="68"/>
      <c r="AB294" s="177"/>
      <c r="AC294" s="68"/>
      <c r="AD294" s="68"/>
      <c r="AE294" s="177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</row>
    <row r="295" spans="1:63" ht="13.8" x14ac:dyDescent="0.3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176"/>
      <c r="V295" s="68"/>
      <c r="W295" s="68"/>
      <c r="X295" s="68"/>
      <c r="Y295" s="68"/>
      <c r="Z295" s="68"/>
      <c r="AA295" s="68"/>
      <c r="AB295" s="177"/>
      <c r="AC295" s="68"/>
      <c r="AD295" s="68"/>
      <c r="AE295" s="177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</row>
    <row r="296" spans="1:63" ht="13.8" x14ac:dyDescent="0.3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176"/>
      <c r="V296" s="68"/>
      <c r="W296" s="68"/>
      <c r="X296" s="68"/>
      <c r="Y296" s="68"/>
      <c r="Z296" s="68"/>
      <c r="AA296" s="68"/>
      <c r="AB296" s="177"/>
      <c r="AC296" s="68"/>
      <c r="AD296" s="68"/>
      <c r="AE296" s="177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</row>
    <row r="297" spans="1:63" ht="13.8" x14ac:dyDescent="0.3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176"/>
      <c r="V297" s="68"/>
      <c r="W297" s="68"/>
      <c r="X297" s="68"/>
      <c r="Y297" s="68"/>
      <c r="Z297" s="68"/>
      <c r="AA297" s="68"/>
      <c r="AB297" s="177"/>
      <c r="AC297" s="68"/>
      <c r="AD297" s="68"/>
      <c r="AE297" s="177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</row>
    <row r="298" spans="1:63" ht="13.8" x14ac:dyDescent="0.3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176"/>
      <c r="V298" s="68"/>
      <c r="W298" s="68"/>
      <c r="X298" s="68"/>
      <c r="Y298" s="68"/>
      <c r="Z298" s="68"/>
      <c r="AA298" s="68"/>
      <c r="AB298" s="177"/>
      <c r="AC298" s="68"/>
      <c r="AD298" s="68"/>
      <c r="AE298" s="177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</row>
    <row r="299" spans="1:63" ht="13.8" x14ac:dyDescent="0.3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176"/>
      <c r="V299" s="68"/>
      <c r="W299" s="68"/>
      <c r="X299" s="68"/>
      <c r="Y299" s="68"/>
      <c r="Z299" s="68"/>
      <c r="AA299" s="68"/>
      <c r="AB299" s="177"/>
      <c r="AC299" s="68"/>
      <c r="AD299" s="68"/>
      <c r="AE299" s="177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</row>
    <row r="300" spans="1:63" ht="13.8" x14ac:dyDescent="0.3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176"/>
      <c r="V300" s="68"/>
      <c r="W300" s="68"/>
      <c r="X300" s="68"/>
      <c r="Y300" s="68"/>
      <c r="Z300" s="68"/>
      <c r="AA300" s="68"/>
      <c r="AB300" s="177"/>
      <c r="AC300" s="68"/>
      <c r="AD300" s="68"/>
      <c r="AE300" s="177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</row>
    <row r="301" spans="1:63" ht="13.8" x14ac:dyDescent="0.3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176"/>
      <c r="V301" s="68"/>
      <c r="W301" s="68"/>
      <c r="X301" s="68"/>
      <c r="Y301" s="68"/>
      <c r="Z301" s="68"/>
      <c r="AA301" s="68"/>
      <c r="AB301" s="177"/>
      <c r="AC301" s="68"/>
      <c r="AD301" s="68"/>
      <c r="AE301" s="177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</row>
    <row r="302" spans="1:63" ht="13.8" x14ac:dyDescent="0.3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176"/>
      <c r="V302" s="68"/>
      <c r="W302" s="68"/>
      <c r="X302" s="68"/>
      <c r="Y302" s="68"/>
      <c r="Z302" s="68"/>
      <c r="AA302" s="68"/>
      <c r="AB302" s="177"/>
      <c r="AC302" s="68"/>
      <c r="AD302" s="68"/>
      <c r="AE302" s="177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</row>
    <row r="303" spans="1:63" ht="13.8" x14ac:dyDescent="0.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176"/>
      <c r="V303" s="68"/>
      <c r="W303" s="68"/>
      <c r="X303" s="68"/>
      <c r="Y303" s="68"/>
      <c r="Z303" s="68"/>
      <c r="AA303" s="68"/>
      <c r="AB303" s="177"/>
      <c r="AC303" s="68"/>
      <c r="AD303" s="68"/>
      <c r="AE303" s="177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</row>
    <row r="304" spans="1:63" ht="13.8" x14ac:dyDescent="0.3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176"/>
      <c r="V304" s="68"/>
      <c r="W304" s="68"/>
      <c r="X304" s="68"/>
      <c r="Y304" s="68"/>
      <c r="Z304" s="68"/>
      <c r="AA304" s="68"/>
      <c r="AB304" s="177"/>
      <c r="AC304" s="68"/>
      <c r="AD304" s="68"/>
      <c r="AE304" s="177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</row>
    <row r="305" spans="1:63" ht="13.8" x14ac:dyDescent="0.3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176"/>
      <c r="V305" s="68"/>
      <c r="W305" s="68"/>
      <c r="X305" s="68"/>
      <c r="Y305" s="68"/>
      <c r="Z305" s="68"/>
      <c r="AA305" s="68"/>
      <c r="AB305" s="177"/>
      <c r="AC305" s="68"/>
      <c r="AD305" s="68"/>
      <c r="AE305" s="177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</row>
    <row r="306" spans="1:63" ht="13.8" x14ac:dyDescent="0.3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176"/>
      <c r="V306" s="68"/>
      <c r="W306" s="68"/>
      <c r="X306" s="68"/>
      <c r="Y306" s="68"/>
      <c r="Z306" s="68"/>
      <c r="AA306" s="68"/>
      <c r="AB306" s="177"/>
      <c r="AC306" s="68"/>
      <c r="AD306" s="68"/>
      <c r="AE306" s="177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</row>
    <row r="307" spans="1:63" ht="13.8" x14ac:dyDescent="0.3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176"/>
      <c r="V307" s="68"/>
      <c r="W307" s="68"/>
      <c r="X307" s="68"/>
      <c r="Y307" s="68"/>
      <c r="Z307" s="68"/>
      <c r="AA307" s="68"/>
      <c r="AB307" s="177"/>
      <c r="AC307" s="68"/>
      <c r="AD307" s="68"/>
      <c r="AE307" s="177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</row>
    <row r="308" spans="1:63" ht="13.8" x14ac:dyDescent="0.3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176"/>
      <c r="V308" s="68"/>
      <c r="W308" s="68"/>
      <c r="X308" s="68"/>
      <c r="Y308" s="68"/>
      <c r="Z308" s="68"/>
      <c r="AA308" s="68"/>
      <c r="AB308" s="177"/>
      <c r="AC308" s="68"/>
      <c r="AD308" s="68"/>
      <c r="AE308" s="177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</row>
    <row r="309" spans="1:63" ht="13.8" x14ac:dyDescent="0.3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176"/>
      <c r="V309" s="68"/>
      <c r="W309" s="68"/>
      <c r="X309" s="68"/>
      <c r="Y309" s="68"/>
      <c r="Z309" s="68"/>
      <c r="AA309" s="68"/>
      <c r="AB309" s="177"/>
      <c r="AC309" s="68"/>
      <c r="AD309" s="68"/>
      <c r="AE309" s="177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</row>
    <row r="310" spans="1:63" ht="13.8" x14ac:dyDescent="0.3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176"/>
      <c r="V310" s="68"/>
      <c r="W310" s="68"/>
      <c r="X310" s="68"/>
      <c r="Y310" s="68"/>
      <c r="Z310" s="68"/>
      <c r="AA310" s="68"/>
      <c r="AB310" s="177"/>
      <c r="AC310" s="68"/>
      <c r="AD310" s="68"/>
      <c r="AE310" s="177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</row>
    <row r="311" spans="1:63" ht="13.8" x14ac:dyDescent="0.3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176"/>
      <c r="V311" s="68"/>
      <c r="W311" s="68"/>
      <c r="X311" s="68"/>
      <c r="Y311" s="68"/>
      <c r="Z311" s="68"/>
      <c r="AA311" s="68"/>
      <c r="AB311" s="177"/>
      <c r="AC311" s="68"/>
      <c r="AD311" s="68"/>
      <c r="AE311" s="177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</row>
    <row r="312" spans="1:63" ht="13.8" x14ac:dyDescent="0.3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176"/>
      <c r="V312" s="68"/>
      <c r="W312" s="68"/>
      <c r="X312" s="68"/>
      <c r="Y312" s="68"/>
      <c r="Z312" s="68"/>
      <c r="AA312" s="68"/>
      <c r="AB312" s="177"/>
      <c r="AC312" s="68"/>
      <c r="AD312" s="68"/>
      <c r="AE312" s="177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</row>
    <row r="313" spans="1:63" ht="13.8" x14ac:dyDescent="0.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176"/>
      <c r="V313" s="68"/>
      <c r="W313" s="68"/>
      <c r="X313" s="68"/>
      <c r="Y313" s="68"/>
      <c r="Z313" s="68"/>
      <c r="AA313" s="68"/>
      <c r="AB313" s="177"/>
      <c r="AC313" s="68"/>
      <c r="AD313" s="68"/>
      <c r="AE313" s="177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</row>
    <row r="314" spans="1:63" ht="13.8" x14ac:dyDescent="0.3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176"/>
      <c r="V314" s="68"/>
      <c r="W314" s="68"/>
      <c r="X314" s="68"/>
      <c r="Y314" s="68"/>
      <c r="Z314" s="68"/>
      <c r="AA314" s="68"/>
      <c r="AB314" s="177"/>
      <c r="AC314" s="68"/>
      <c r="AD314" s="68"/>
      <c r="AE314" s="177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</row>
    <row r="315" spans="1:63" ht="13.8" x14ac:dyDescent="0.3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176"/>
      <c r="V315" s="68"/>
      <c r="W315" s="68"/>
      <c r="X315" s="68"/>
      <c r="Y315" s="68"/>
      <c r="Z315" s="68"/>
      <c r="AA315" s="68"/>
      <c r="AB315" s="177"/>
      <c r="AC315" s="68"/>
      <c r="AD315" s="68"/>
      <c r="AE315" s="177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</row>
    <row r="316" spans="1:63" ht="13.8" x14ac:dyDescent="0.3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176"/>
      <c r="V316" s="68"/>
      <c r="W316" s="68"/>
      <c r="X316" s="68"/>
      <c r="Y316" s="68"/>
      <c r="Z316" s="68"/>
      <c r="AA316" s="68"/>
      <c r="AB316" s="177"/>
      <c r="AC316" s="68"/>
      <c r="AD316" s="68"/>
      <c r="AE316" s="177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</row>
    <row r="317" spans="1:63" ht="13.8" x14ac:dyDescent="0.3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176"/>
      <c r="V317" s="68"/>
      <c r="W317" s="68"/>
      <c r="X317" s="68"/>
      <c r="Y317" s="68"/>
      <c r="Z317" s="68"/>
      <c r="AA317" s="68"/>
      <c r="AB317" s="177"/>
      <c r="AC317" s="68"/>
      <c r="AD317" s="68"/>
      <c r="AE317" s="177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</row>
    <row r="318" spans="1:63" ht="13.8" x14ac:dyDescent="0.3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176"/>
      <c r="V318" s="68"/>
      <c r="W318" s="68"/>
      <c r="X318" s="68"/>
      <c r="Y318" s="68"/>
      <c r="Z318" s="68"/>
      <c r="AA318" s="68"/>
      <c r="AB318" s="177"/>
      <c r="AC318" s="68"/>
      <c r="AD318" s="68"/>
      <c r="AE318" s="177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</row>
    <row r="319" spans="1:63" ht="13.8" x14ac:dyDescent="0.3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176"/>
      <c r="V319" s="68"/>
      <c r="W319" s="68"/>
      <c r="X319" s="68"/>
      <c r="Y319" s="68"/>
      <c r="Z319" s="68"/>
      <c r="AA319" s="68"/>
      <c r="AB319" s="177"/>
      <c r="AC319" s="68"/>
      <c r="AD319" s="68"/>
      <c r="AE319" s="177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</row>
    <row r="320" spans="1:63" ht="13.8" x14ac:dyDescent="0.3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176"/>
      <c r="V320" s="68"/>
      <c r="W320" s="68"/>
      <c r="X320" s="68"/>
      <c r="Y320" s="68"/>
      <c r="Z320" s="68"/>
      <c r="AA320" s="68"/>
      <c r="AB320" s="177"/>
      <c r="AC320" s="68"/>
      <c r="AD320" s="68"/>
      <c r="AE320" s="177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</row>
    <row r="321" spans="1:63" ht="13.8" x14ac:dyDescent="0.3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176"/>
      <c r="V321" s="68"/>
      <c r="W321" s="68"/>
      <c r="X321" s="68"/>
      <c r="Y321" s="68"/>
      <c r="Z321" s="68"/>
      <c r="AA321" s="68"/>
      <c r="AB321" s="177"/>
      <c r="AC321" s="68"/>
      <c r="AD321" s="68"/>
      <c r="AE321" s="177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</row>
    <row r="322" spans="1:63" ht="13.8" x14ac:dyDescent="0.3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176"/>
      <c r="V322" s="68"/>
      <c r="W322" s="68"/>
      <c r="X322" s="68"/>
      <c r="Y322" s="68"/>
      <c r="Z322" s="68"/>
      <c r="AA322" s="68"/>
      <c r="AB322" s="177"/>
      <c r="AC322" s="68"/>
      <c r="AD322" s="68"/>
      <c r="AE322" s="177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</row>
    <row r="323" spans="1:63" ht="13.8" x14ac:dyDescent="0.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176"/>
      <c r="V323" s="68"/>
      <c r="W323" s="68"/>
      <c r="X323" s="68"/>
      <c r="Y323" s="68"/>
      <c r="Z323" s="68"/>
      <c r="AA323" s="68"/>
      <c r="AB323" s="177"/>
      <c r="AC323" s="68"/>
      <c r="AD323" s="68"/>
      <c r="AE323" s="177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</row>
    <row r="324" spans="1:63" ht="13.8" x14ac:dyDescent="0.3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176"/>
      <c r="V324" s="68"/>
      <c r="W324" s="68"/>
      <c r="X324" s="68"/>
      <c r="Y324" s="68"/>
      <c r="Z324" s="68"/>
      <c r="AA324" s="68"/>
      <c r="AB324" s="177"/>
      <c r="AC324" s="68"/>
      <c r="AD324" s="68"/>
      <c r="AE324" s="177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</row>
    <row r="325" spans="1:63" ht="13.8" x14ac:dyDescent="0.3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176"/>
      <c r="V325" s="68"/>
      <c r="W325" s="68"/>
      <c r="X325" s="68"/>
      <c r="Y325" s="68"/>
      <c r="Z325" s="68"/>
      <c r="AA325" s="68"/>
      <c r="AB325" s="177"/>
      <c r="AC325" s="68"/>
      <c r="AD325" s="68"/>
      <c r="AE325" s="177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</row>
    <row r="326" spans="1:63" ht="13.8" x14ac:dyDescent="0.3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176"/>
      <c r="V326" s="68"/>
      <c r="W326" s="68"/>
      <c r="X326" s="68"/>
      <c r="Y326" s="68"/>
      <c r="Z326" s="68"/>
      <c r="AA326" s="68"/>
      <c r="AB326" s="177"/>
      <c r="AC326" s="68"/>
      <c r="AD326" s="68"/>
      <c r="AE326" s="177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</row>
    <row r="327" spans="1:63" ht="13.8" x14ac:dyDescent="0.3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176"/>
      <c r="V327" s="68"/>
      <c r="W327" s="68"/>
      <c r="X327" s="68"/>
      <c r="Y327" s="68"/>
      <c r="Z327" s="68"/>
      <c r="AA327" s="68"/>
      <c r="AB327" s="177"/>
      <c r="AC327" s="68"/>
      <c r="AD327" s="68"/>
      <c r="AE327" s="177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</row>
    <row r="328" spans="1:63" ht="13.8" x14ac:dyDescent="0.3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176"/>
      <c r="V328" s="68"/>
      <c r="W328" s="68"/>
      <c r="X328" s="68"/>
      <c r="Y328" s="68"/>
      <c r="Z328" s="68"/>
      <c r="AA328" s="68"/>
      <c r="AB328" s="177"/>
      <c r="AC328" s="68"/>
      <c r="AD328" s="68"/>
      <c r="AE328" s="177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</row>
    <row r="329" spans="1:63" ht="13.8" x14ac:dyDescent="0.3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176"/>
      <c r="V329" s="68"/>
      <c r="W329" s="68"/>
      <c r="X329" s="68"/>
      <c r="Y329" s="68"/>
      <c r="Z329" s="68"/>
      <c r="AA329" s="68"/>
      <c r="AB329" s="177"/>
      <c r="AC329" s="68"/>
      <c r="AD329" s="68"/>
      <c r="AE329" s="177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</row>
    <row r="330" spans="1:63" ht="13.8" x14ac:dyDescent="0.3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176"/>
      <c r="V330" s="68"/>
      <c r="W330" s="68"/>
      <c r="X330" s="68"/>
      <c r="Y330" s="68"/>
      <c r="Z330" s="68"/>
      <c r="AA330" s="68"/>
      <c r="AB330" s="177"/>
      <c r="AC330" s="68"/>
      <c r="AD330" s="68"/>
      <c r="AE330" s="177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</row>
    <row r="331" spans="1:63" ht="13.8" x14ac:dyDescent="0.3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176"/>
      <c r="V331" s="68"/>
      <c r="W331" s="68"/>
      <c r="X331" s="68"/>
      <c r="Y331" s="68"/>
      <c r="Z331" s="68"/>
      <c r="AA331" s="68"/>
      <c r="AB331" s="177"/>
      <c r="AC331" s="68"/>
      <c r="AD331" s="68"/>
      <c r="AE331" s="177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</row>
    <row r="332" spans="1:63" ht="13.8" x14ac:dyDescent="0.3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176"/>
      <c r="V332" s="68"/>
      <c r="W332" s="68"/>
      <c r="X332" s="68"/>
      <c r="Y332" s="68"/>
      <c r="Z332" s="68"/>
      <c r="AA332" s="68"/>
      <c r="AB332" s="177"/>
      <c r="AC332" s="68"/>
      <c r="AD332" s="68"/>
      <c r="AE332" s="177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</row>
    <row r="333" spans="1:63" ht="13.8" x14ac:dyDescent="0.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176"/>
      <c r="V333" s="68"/>
      <c r="W333" s="68"/>
      <c r="X333" s="68"/>
      <c r="Y333" s="68"/>
      <c r="Z333" s="68"/>
      <c r="AA333" s="68"/>
      <c r="AB333" s="177"/>
      <c r="AC333" s="68"/>
      <c r="AD333" s="68"/>
      <c r="AE333" s="177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</row>
    <row r="334" spans="1:63" ht="13.8" x14ac:dyDescent="0.3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176"/>
      <c r="V334" s="68"/>
      <c r="W334" s="68"/>
      <c r="X334" s="68"/>
      <c r="Y334" s="68"/>
      <c r="Z334" s="68"/>
      <c r="AA334" s="68"/>
      <c r="AB334" s="177"/>
      <c r="AC334" s="68"/>
      <c r="AD334" s="68"/>
      <c r="AE334" s="177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</row>
    <row r="335" spans="1:63" ht="13.8" x14ac:dyDescent="0.3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176"/>
      <c r="V335" s="68"/>
      <c r="W335" s="68"/>
      <c r="X335" s="68"/>
      <c r="Y335" s="68"/>
      <c r="Z335" s="68"/>
      <c r="AA335" s="68"/>
      <c r="AB335" s="177"/>
      <c r="AC335" s="68"/>
      <c r="AD335" s="68"/>
      <c r="AE335" s="177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</row>
    <row r="336" spans="1:63" ht="13.8" x14ac:dyDescent="0.3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176"/>
      <c r="V336" s="68"/>
      <c r="W336" s="68"/>
      <c r="X336" s="68"/>
      <c r="Y336" s="68"/>
      <c r="Z336" s="68"/>
      <c r="AA336" s="68"/>
      <c r="AB336" s="177"/>
      <c r="AC336" s="68"/>
      <c r="AD336" s="68"/>
      <c r="AE336" s="177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</row>
    <row r="337" spans="1:63" ht="13.8" x14ac:dyDescent="0.3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176"/>
      <c r="V337" s="68"/>
      <c r="W337" s="68"/>
      <c r="X337" s="68"/>
      <c r="Y337" s="68"/>
      <c r="Z337" s="68"/>
      <c r="AA337" s="68"/>
      <c r="AB337" s="177"/>
      <c r="AC337" s="68"/>
      <c r="AD337" s="68"/>
      <c r="AE337" s="177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</row>
    <row r="338" spans="1:63" ht="13.8" x14ac:dyDescent="0.3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176"/>
      <c r="V338" s="68"/>
      <c r="W338" s="68"/>
      <c r="X338" s="68"/>
      <c r="Y338" s="68"/>
      <c r="Z338" s="68"/>
      <c r="AA338" s="68"/>
      <c r="AB338" s="177"/>
      <c r="AC338" s="68"/>
      <c r="AD338" s="68"/>
      <c r="AE338" s="177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</row>
    <row r="339" spans="1:63" ht="13.8" x14ac:dyDescent="0.3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176"/>
      <c r="V339" s="68"/>
      <c r="W339" s="68"/>
      <c r="X339" s="68"/>
      <c r="Y339" s="68"/>
      <c r="Z339" s="68"/>
      <c r="AA339" s="68"/>
      <c r="AB339" s="177"/>
      <c r="AC339" s="68"/>
      <c r="AD339" s="68"/>
      <c r="AE339" s="177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</row>
    <row r="340" spans="1:63" ht="13.8" x14ac:dyDescent="0.3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176"/>
      <c r="V340" s="68"/>
      <c r="W340" s="68"/>
      <c r="X340" s="68"/>
      <c r="Y340" s="68"/>
      <c r="Z340" s="68"/>
      <c r="AA340" s="68"/>
      <c r="AB340" s="177"/>
      <c r="AC340" s="68"/>
      <c r="AD340" s="68"/>
      <c r="AE340" s="177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</row>
    <row r="341" spans="1:63" ht="13.8" x14ac:dyDescent="0.3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176"/>
      <c r="V341" s="68"/>
      <c r="W341" s="68"/>
      <c r="X341" s="68"/>
      <c r="Y341" s="68"/>
      <c r="Z341" s="68"/>
      <c r="AA341" s="68"/>
      <c r="AB341" s="177"/>
      <c r="AC341" s="68"/>
      <c r="AD341" s="68"/>
      <c r="AE341" s="177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</row>
    <row r="342" spans="1:63" ht="13.8" x14ac:dyDescent="0.3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176"/>
      <c r="V342" s="68"/>
      <c r="W342" s="68"/>
      <c r="X342" s="68"/>
      <c r="Y342" s="68"/>
      <c r="Z342" s="68"/>
      <c r="AA342" s="68"/>
      <c r="AB342" s="177"/>
      <c r="AC342" s="68"/>
      <c r="AD342" s="68"/>
      <c r="AE342" s="177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</row>
    <row r="343" spans="1:63" ht="13.8" x14ac:dyDescent="0.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176"/>
      <c r="V343" s="68"/>
      <c r="W343" s="68"/>
      <c r="X343" s="68"/>
      <c r="Y343" s="68"/>
      <c r="Z343" s="68"/>
      <c r="AA343" s="68"/>
      <c r="AB343" s="177"/>
      <c r="AC343" s="68"/>
      <c r="AD343" s="68"/>
      <c r="AE343" s="177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</row>
    <row r="344" spans="1:63" ht="13.8" x14ac:dyDescent="0.3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176"/>
      <c r="V344" s="68"/>
      <c r="W344" s="68"/>
      <c r="X344" s="68"/>
      <c r="Y344" s="68"/>
      <c r="Z344" s="68"/>
      <c r="AA344" s="68"/>
      <c r="AB344" s="177"/>
      <c r="AC344" s="68"/>
      <c r="AD344" s="68"/>
      <c r="AE344" s="177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</row>
    <row r="345" spans="1:63" ht="13.8" x14ac:dyDescent="0.3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176"/>
      <c r="V345" s="68"/>
      <c r="W345" s="68"/>
      <c r="X345" s="68"/>
      <c r="Y345" s="68"/>
      <c r="Z345" s="68"/>
      <c r="AA345" s="68"/>
      <c r="AB345" s="177"/>
      <c r="AC345" s="68"/>
      <c r="AD345" s="68"/>
      <c r="AE345" s="177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</row>
    <row r="346" spans="1:63" ht="13.8" x14ac:dyDescent="0.3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176"/>
      <c r="V346" s="68"/>
      <c r="W346" s="68"/>
      <c r="X346" s="68"/>
      <c r="Y346" s="68"/>
      <c r="Z346" s="68"/>
      <c r="AA346" s="68"/>
      <c r="AB346" s="177"/>
      <c r="AC346" s="68"/>
      <c r="AD346" s="68"/>
      <c r="AE346" s="177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</row>
    <row r="347" spans="1:63" ht="13.8" x14ac:dyDescent="0.3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176"/>
      <c r="V347" s="68"/>
      <c r="W347" s="68"/>
      <c r="X347" s="68"/>
      <c r="Y347" s="68"/>
      <c r="Z347" s="68"/>
      <c r="AA347" s="68"/>
      <c r="AB347" s="177"/>
      <c r="AC347" s="68"/>
      <c r="AD347" s="68"/>
      <c r="AE347" s="177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</row>
    <row r="348" spans="1:63" ht="13.8" x14ac:dyDescent="0.3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176"/>
      <c r="V348" s="68"/>
      <c r="W348" s="68"/>
      <c r="X348" s="68"/>
      <c r="Y348" s="68"/>
      <c r="Z348" s="68"/>
      <c r="AA348" s="68"/>
      <c r="AB348" s="177"/>
      <c r="AC348" s="68"/>
      <c r="AD348" s="68"/>
      <c r="AE348" s="177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</row>
    <row r="349" spans="1:63" ht="13.8" x14ac:dyDescent="0.3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176"/>
      <c r="V349" s="68"/>
      <c r="W349" s="68"/>
      <c r="X349" s="68"/>
      <c r="Y349" s="68"/>
      <c r="Z349" s="68"/>
      <c r="AA349" s="68"/>
      <c r="AB349" s="177"/>
      <c r="AC349" s="68"/>
      <c r="AD349" s="68"/>
      <c r="AE349" s="177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</row>
    <row r="350" spans="1:63" ht="13.8" x14ac:dyDescent="0.3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176"/>
      <c r="V350" s="68"/>
      <c r="W350" s="68"/>
      <c r="X350" s="68"/>
      <c r="Y350" s="68"/>
      <c r="Z350" s="68"/>
      <c r="AA350" s="68"/>
      <c r="AB350" s="177"/>
      <c r="AC350" s="68"/>
      <c r="AD350" s="68"/>
      <c r="AE350" s="177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</row>
    <row r="351" spans="1:63" ht="13.8" x14ac:dyDescent="0.3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176"/>
      <c r="V351" s="68"/>
      <c r="W351" s="68"/>
      <c r="X351" s="68"/>
      <c r="Y351" s="68"/>
      <c r="Z351" s="68"/>
      <c r="AA351" s="68"/>
      <c r="AB351" s="177"/>
      <c r="AC351" s="68"/>
      <c r="AD351" s="68"/>
      <c r="AE351" s="177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</row>
    <row r="352" spans="1:63" ht="13.8" x14ac:dyDescent="0.3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176"/>
      <c r="V352" s="68"/>
      <c r="W352" s="68"/>
      <c r="X352" s="68"/>
      <c r="Y352" s="68"/>
      <c r="Z352" s="68"/>
      <c r="AA352" s="68"/>
      <c r="AB352" s="177"/>
      <c r="AC352" s="68"/>
      <c r="AD352" s="68"/>
      <c r="AE352" s="177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</row>
    <row r="353" spans="1:63" ht="13.8" x14ac:dyDescent="0.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176"/>
      <c r="V353" s="68"/>
      <c r="W353" s="68"/>
      <c r="X353" s="68"/>
      <c r="Y353" s="68"/>
      <c r="Z353" s="68"/>
      <c r="AA353" s="68"/>
      <c r="AB353" s="177"/>
      <c r="AC353" s="68"/>
      <c r="AD353" s="68"/>
      <c r="AE353" s="177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</row>
    <row r="354" spans="1:63" ht="13.8" x14ac:dyDescent="0.3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176"/>
      <c r="V354" s="68"/>
      <c r="W354" s="68"/>
      <c r="X354" s="68"/>
      <c r="Y354" s="68"/>
      <c r="Z354" s="68"/>
      <c r="AA354" s="68"/>
      <c r="AB354" s="177"/>
      <c r="AC354" s="68"/>
      <c r="AD354" s="68"/>
      <c r="AE354" s="177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</row>
    <row r="355" spans="1:63" ht="13.8" x14ac:dyDescent="0.3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176"/>
      <c r="V355" s="68"/>
      <c r="W355" s="68"/>
      <c r="X355" s="68"/>
      <c r="Y355" s="68"/>
      <c r="Z355" s="68"/>
      <c r="AA355" s="68"/>
      <c r="AB355" s="177"/>
      <c r="AC355" s="68"/>
      <c r="AD355" s="68"/>
      <c r="AE355" s="177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</row>
    <row r="356" spans="1:63" ht="13.8" x14ac:dyDescent="0.3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176"/>
      <c r="V356" s="68"/>
      <c r="W356" s="68"/>
      <c r="X356" s="68"/>
      <c r="Y356" s="68"/>
      <c r="Z356" s="68"/>
      <c r="AA356" s="68"/>
      <c r="AB356" s="177"/>
      <c r="AC356" s="68"/>
      <c r="AD356" s="68"/>
      <c r="AE356" s="177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</row>
    <row r="357" spans="1:63" ht="13.8" x14ac:dyDescent="0.3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176"/>
      <c r="V357" s="68"/>
      <c r="W357" s="68"/>
      <c r="X357" s="68"/>
      <c r="Y357" s="68"/>
      <c r="Z357" s="68"/>
      <c r="AA357" s="68"/>
      <c r="AB357" s="177"/>
      <c r="AC357" s="68"/>
      <c r="AD357" s="68"/>
      <c r="AE357" s="177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</row>
    <row r="358" spans="1:63" ht="13.8" x14ac:dyDescent="0.3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176"/>
      <c r="V358" s="68"/>
      <c r="W358" s="68"/>
      <c r="X358" s="68"/>
      <c r="Y358" s="68"/>
      <c r="Z358" s="68"/>
      <c r="AA358" s="68"/>
      <c r="AB358" s="177"/>
      <c r="AC358" s="68"/>
      <c r="AD358" s="68"/>
      <c r="AE358" s="177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</row>
    <row r="359" spans="1:63" ht="13.8" x14ac:dyDescent="0.3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176"/>
      <c r="V359" s="68"/>
      <c r="W359" s="68"/>
      <c r="X359" s="68"/>
      <c r="Y359" s="68"/>
      <c r="Z359" s="68"/>
      <c r="AA359" s="68"/>
      <c r="AB359" s="177"/>
      <c r="AC359" s="68"/>
      <c r="AD359" s="68"/>
      <c r="AE359" s="177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</row>
    <row r="360" spans="1:63" ht="13.8" x14ac:dyDescent="0.3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176"/>
      <c r="V360" s="68"/>
      <c r="W360" s="68"/>
      <c r="X360" s="68"/>
      <c r="Y360" s="68"/>
      <c r="Z360" s="68"/>
      <c r="AA360" s="68"/>
      <c r="AB360" s="177"/>
      <c r="AC360" s="68"/>
      <c r="AD360" s="68"/>
      <c r="AE360" s="177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</row>
    <row r="361" spans="1:63" ht="13.8" x14ac:dyDescent="0.3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176"/>
      <c r="V361" s="68"/>
      <c r="W361" s="68"/>
      <c r="X361" s="68"/>
      <c r="Y361" s="68"/>
      <c r="Z361" s="68"/>
      <c r="AA361" s="68"/>
      <c r="AB361" s="177"/>
      <c r="AC361" s="68"/>
      <c r="AD361" s="68"/>
      <c r="AE361" s="177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</row>
    <row r="362" spans="1:63" ht="13.8" x14ac:dyDescent="0.3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176"/>
      <c r="V362" s="68"/>
      <c r="W362" s="68"/>
      <c r="X362" s="68"/>
      <c r="Y362" s="68"/>
      <c r="Z362" s="68"/>
      <c r="AA362" s="68"/>
      <c r="AB362" s="177"/>
      <c r="AC362" s="68"/>
      <c r="AD362" s="68"/>
      <c r="AE362" s="177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</row>
    <row r="363" spans="1:63" ht="13.8" x14ac:dyDescent="0.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176"/>
      <c r="V363" s="68"/>
      <c r="W363" s="68"/>
      <c r="X363" s="68"/>
      <c r="Y363" s="68"/>
      <c r="Z363" s="68"/>
      <c r="AA363" s="68"/>
      <c r="AB363" s="177"/>
      <c r="AC363" s="68"/>
      <c r="AD363" s="68"/>
      <c r="AE363" s="177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</row>
    <row r="364" spans="1:63" ht="13.8" x14ac:dyDescent="0.3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176"/>
      <c r="V364" s="68"/>
      <c r="W364" s="68"/>
      <c r="X364" s="68"/>
      <c r="Y364" s="68"/>
      <c r="Z364" s="68"/>
      <c r="AA364" s="68"/>
      <c r="AB364" s="177"/>
      <c r="AC364" s="68"/>
      <c r="AD364" s="68"/>
      <c r="AE364" s="177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</row>
    <row r="365" spans="1:63" ht="13.8" x14ac:dyDescent="0.3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176"/>
      <c r="V365" s="68"/>
      <c r="W365" s="68"/>
      <c r="X365" s="68"/>
      <c r="Y365" s="68"/>
      <c r="Z365" s="68"/>
      <c r="AA365" s="68"/>
      <c r="AB365" s="177"/>
      <c r="AC365" s="68"/>
      <c r="AD365" s="68"/>
      <c r="AE365" s="177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</row>
    <row r="366" spans="1:63" ht="13.8" x14ac:dyDescent="0.3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176"/>
      <c r="V366" s="68"/>
      <c r="W366" s="68"/>
      <c r="X366" s="68"/>
      <c r="Y366" s="68"/>
      <c r="Z366" s="68"/>
      <c r="AA366" s="68"/>
      <c r="AB366" s="177"/>
      <c r="AC366" s="68"/>
      <c r="AD366" s="68"/>
      <c r="AE366" s="177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</row>
    <row r="367" spans="1:63" ht="13.8" x14ac:dyDescent="0.3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176"/>
      <c r="V367" s="68"/>
      <c r="W367" s="68"/>
      <c r="X367" s="68"/>
      <c r="Y367" s="68"/>
      <c r="Z367" s="68"/>
      <c r="AA367" s="68"/>
      <c r="AB367" s="177"/>
      <c r="AC367" s="68"/>
      <c r="AD367" s="68"/>
      <c r="AE367" s="177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</row>
    <row r="368" spans="1:63" ht="13.8" x14ac:dyDescent="0.3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176"/>
      <c r="V368" s="68"/>
      <c r="W368" s="68"/>
      <c r="X368" s="68"/>
      <c r="Y368" s="68"/>
      <c r="Z368" s="68"/>
      <c r="AA368" s="68"/>
      <c r="AB368" s="177"/>
      <c r="AC368" s="68"/>
      <c r="AD368" s="68"/>
      <c r="AE368" s="177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</row>
    <row r="369" spans="1:63" ht="13.8" x14ac:dyDescent="0.3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176"/>
      <c r="V369" s="68"/>
      <c r="W369" s="68"/>
      <c r="X369" s="68"/>
      <c r="Y369" s="68"/>
      <c r="Z369" s="68"/>
      <c r="AA369" s="68"/>
      <c r="AB369" s="177"/>
      <c r="AC369" s="68"/>
      <c r="AD369" s="68"/>
      <c r="AE369" s="177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</row>
    <row r="370" spans="1:63" ht="13.8" x14ac:dyDescent="0.3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176"/>
      <c r="V370" s="68"/>
      <c r="W370" s="68"/>
      <c r="X370" s="68"/>
      <c r="Y370" s="68"/>
      <c r="Z370" s="68"/>
      <c r="AA370" s="68"/>
      <c r="AB370" s="177"/>
      <c r="AC370" s="68"/>
      <c r="AD370" s="68"/>
      <c r="AE370" s="177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</row>
    <row r="371" spans="1:63" ht="13.8" x14ac:dyDescent="0.3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176"/>
      <c r="V371" s="68"/>
      <c r="W371" s="68"/>
      <c r="X371" s="68"/>
      <c r="Y371" s="68"/>
      <c r="Z371" s="68"/>
      <c r="AA371" s="68"/>
      <c r="AB371" s="177"/>
      <c r="AC371" s="68"/>
      <c r="AD371" s="68"/>
      <c r="AE371" s="177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</row>
    <row r="372" spans="1:63" ht="13.8" x14ac:dyDescent="0.3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176"/>
      <c r="V372" s="68"/>
      <c r="W372" s="68"/>
      <c r="X372" s="68"/>
      <c r="Y372" s="68"/>
      <c r="Z372" s="68"/>
      <c r="AA372" s="68"/>
      <c r="AB372" s="177"/>
      <c r="AC372" s="68"/>
      <c r="AD372" s="68"/>
      <c r="AE372" s="177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</row>
    <row r="373" spans="1:63" ht="13.8" x14ac:dyDescent="0.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176"/>
      <c r="V373" s="68"/>
      <c r="W373" s="68"/>
      <c r="X373" s="68"/>
      <c r="Y373" s="68"/>
      <c r="Z373" s="68"/>
      <c r="AA373" s="68"/>
      <c r="AB373" s="177"/>
      <c r="AC373" s="68"/>
      <c r="AD373" s="68"/>
      <c r="AE373" s="177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</row>
    <row r="374" spans="1:63" ht="13.8" x14ac:dyDescent="0.3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176"/>
      <c r="V374" s="68"/>
      <c r="W374" s="68"/>
      <c r="X374" s="68"/>
      <c r="Y374" s="68"/>
      <c r="Z374" s="68"/>
      <c r="AA374" s="68"/>
      <c r="AB374" s="177"/>
      <c r="AC374" s="68"/>
      <c r="AD374" s="68"/>
      <c r="AE374" s="177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</row>
    <row r="375" spans="1:63" ht="13.8" x14ac:dyDescent="0.3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176"/>
      <c r="V375" s="68"/>
      <c r="W375" s="68"/>
      <c r="X375" s="68"/>
      <c r="Y375" s="68"/>
      <c r="Z375" s="68"/>
      <c r="AA375" s="68"/>
      <c r="AB375" s="177"/>
      <c r="AC375" s="68"/>
      <c r="AD375" s="68"/>
      <c r="AE375" s="177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</row>
    <row r="376" spans="1:63" ht="13.8" x14ac:dyDescent="0.3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176"/>
      <c r="V376" s="68"/>
      <c r="W376" s="68"/>
      <c r="X376" s="68"/>
      <c r="Y376" s="68"/>
      <c r="Z376" s="68"/>
      <c r="AA376" s="68"/>
      <c r="AB376" s="177"/>
      <c r="AC376" s="68"/>
      <c r="AD376" s="68"/>
      <c r="AE376" s="177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</row>
    <row r="377" spans="1:63" ht="13.8" x14ac:dyDescent="0.3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176"/>
      <c r="V377" s="68"/>
      <c r="W377" s="68"/>
      <c r="X377" s="68"/>
      <c r="Y377" s="68"/>
      <c r="Z377" s="68"/>
      <c r="AA377" s="68"/>
      <c r="AB377" s="177"/>
      <c r="AC377" s="68"/>
      <c r="AD377" s="68"/>
      <c r="AE377" s="177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</row>
    <row r="378" spans="1:63" ht="13.8" x14ac:dyDescent="0.3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176"/>
      <c r="V378" s="68"/>
      <c r="W378" s="68"/>
      <c r="X378" s="68"/>
      <c r="Y378" s="68"/>
      <c r="Z378" s="68"/>
      <c r="AA378" s="68"/>
      <c r="AB378" s="177"/>
      <c r="AC378" s="68"/>
      <c r="AD378" s="68"/>
      <c r="AE378" s="177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</row>
    <row r="379" spans="1:63" ht="13.8" x14ac:dyDescent="0.3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176"/>
      <c r="V379" s="68"/>
      <c r="W379" s="68"/>
      <c r="X379" s="68"/>
      <c r="Y379" s="68"/>
      <c r="Z379" s="68"/>
      <c r="AA379" s="68"/>
      <c r="AB379" s="177"/>
      <c r="AC379" s="68"/>
      <c r="AD379" s="68"/>
      <c r="AE379" s="177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</row>
    <row r="380" spans="1:63" ht="13.8" x14ac:dyDescent="0.3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176"/>
      <c r="V380" s="68"/>
      <c r="W380" s="68"/>
      <c r="X380" s="68"/>
      <c r="Y380" s="68"/>
      <c r="Z380" s="68"/>
      <c r="AA380" s="68"/>
      <c r="AB380" s="177"/>
      <c r="AC380" s="68"/>
      <c r="AD380" s="68"/>
      <c r="AE380" s="177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</row>
    <row r="381" spans="1:63" ht="13.8" x14ac:dyDescent="0.3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176"/>
      <c r="V381" s="68"/>
      <c r="W381" s="68"/>
      <c r="X381" s="68"/>
      <c r="Y381" s="68"/>
      <c r="Z381" s="68"/>
      <c r="AA381" s="68"/>
      <c r="AB381" s="177"/>
      <c r="AC381" s="68"/>
      <c r="AD381" s="68"/>
      <c r="AE381" s="177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</row>
    <row r="382" spans="1:63" ht="13.8" x14ac:dyDescent="0.3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176"/>
      <c r="V382" s="68"/>
      <c r="W382" s="68"/>
      <c r="X382" s="68"/>
      <c r="Y382" s="68"/>
      <c r="Z382" s="68"/>
      <c r="AA382" s="68"/>
      <c r="AB382" s="177"/>
      <c r="AC382" s="68"/>
      <c r="AD382" s="68"/>
      <c r="AE382" s="177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</row>
    <row r="383" spans="1:63" ht="13.8" x14ac:dyDescent="0.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176"/>
      <c r="V383" s="68"/>
      <c r="W383" s="68"/>
      <c r="X383" s="68"/>
      <c r="Y383" s="68"/>
      <c r="Z383" s="68"/>
      <c r="AA383" s="68"/>
      <c r="AB383" s="177"/>
      <c r="AC383" s="68"/>
      <c r="AD383" s="68"/>
      <c r="AE383" s="177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</row>
    <row r="384" spans="1:63" ht="13.8" x14ac:dyDescent="0.3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176"/>
      <c r="V384" s="68"/>
      <c r="W384" s="68"/>
      <c r="X384" s="68"/>
      <c r="Y384" s="68"/>
      <c r="Z384" s="68"/>
      <c r="AA384" s="68"/>
      <c r="AB384" s="177"/>
      <c r="AC384" s="68"/>
      <c r="AD384" s="68"/>
      <c r="AE384" s="177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</row>
    <row r="385" spans="1:63" ht="13.8" x14ac:dyDescent="0.3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176"/>
      <c r="V385" s="68"/>
      <c r="W385" s="68"/>
      <c r="X385" s="68"/>
      <c r="Y385" s="68"/>
      <c r="Z385" s="68"/>
      <c r="AA385" s="68"/>
      <c r="AB385" s="177"/>
      <c r="AC385" s="68"/>
      <c r="AD385" s="68"/>
      <c r="AE385" s="177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</row>
    <row r="386" spans="1:63" ht="13.8" x14ac:dyDescent="0.3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176"/>
      <c r="V386" s="68"/>
      <c r="W386" s="68"/>
      <c r="X386" s="68"/>
      <c r="Y386" s="68"/>
      <c r="Z386" s="68"/>
      <c r="AA386" s="68"/>
      <c r="AB386" s="177"/>
      <c r="AC386" s="68"/>
      <c r="AD386" s="68"/>
      <c r="AE386" s="177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</row>
    <row r="387" spans="1:63" ht="13.8" x14ac:dyDescent="0.3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176"/>
      <c r="V387" s="68"/>
      <c r="W387" s="68"/>
      <c r="X387" s="68"/>
      <c r="Y387" s="68"/>
      <c r="Z387" s="68"/>
      <c r="AA387" s="68"/>
      <c r="AB387" s="177"/>
      <c r="AC387" s="68"/>
      <c r="AD387" s="68"/>
      <c r="AE387" s="177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</row>
    <row r="388" spans="1:63" ht="13.8" x14ac:dyDescent="0.3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176"/>
      <c r="V388" s="68"/>
      <c r="W388" s="68"/>
      <c r="X388" s="68"/>
      <c r="Y388" s="68"/>
      <c r="Z388" s="68"/>
      <c r="AA388" s="68"/>
      <c r="AB388" s="177"/>
      <c r="AC388" s="68"/>
      <c r="AD388" s="68"/>
      <c r="AE388" s="177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</row>
    <row r="389" spans="1:63" ht="13.8" x14ac:dyDescent="0.3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176"/>
      <c r="V389" s="68"/>
      <c r="W389" s="68"/>
      <c r="X389" s="68"/>
      <c r="Y389" s="68"/>
      <c r="Z389" s="68"/>
      <c r="AA389" s="68"/>
      <c r="AB389" s="177"/>
      <c r="AC389" s="68"/>
      <c r="AD389" s="68"/>
      <c r="AE389" s="177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</row>
    <row r="390" spans="1:63" ht="13.8" x14ac:dyDescent="0.3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176"/>
      <c r="V390" s="68"/>
      <c r="W390" s="68"/>
      <c r="X390" s="68"/>
      <c r="Y390" s="68"/>
      <c r="Z390" s="68"/>
      <c r="AA390" s="68"/>
      <c r="AB390" s="177"/>
      <c r="AC390" s="68"/>
      <c r="AD390" s="68"/>
      <c r="AE390" s="177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</row>
    <row r="391" spans="1:63" ht="13.8" x14ac:dyDescent="0.3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176"/>
      <c r="V391" s="68"/>
      <c r="W391" s="68"/>
      <c r="X391" s="68"/>
      <c r="Y391" s="68"/>
      <c r="Z391" s="68"/>
      <c r="AA391" s="68"/>
      <c r="AB391" s="177"/>
      <c r="AC391" s="68"/>
      <c r="AD391" s="68"/>
      <c r="AE391" s="177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</row>
    <row r="392" spans="1:63" ht="13.8" x14ac:dyDescent="0.3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176"/>
      <c r="V392" s="68"/>
      <c r="W392" s="68"/>
      <c r="X392" s="68"/>
      <c r="Y392" s="68"/>
      <c r="Z392" s="68"/>
      <c r="AA392" s="68"/>
      <c r="AB392" s="177"/>
      <c r="AC392" s="68"/>
      <c r="AD392" s="68"/>
      <c r="AE392" s="177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</row>
    <row r="393" spans="1:63" ht="13.8" x14ac:dyDescent="0.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176"/>
      <c r="V393" s="68"/>
      <c r="W393" s="68"/>
      <c r="X393" s="68"/>
      <c r="Y393" s="68"/>
      <c r="Z393" s="68"/>
      <c r="AA393" s="68"/>
      <c r="AB393" s="177"/>
      <c r="AC393" s="68"/>
      <c r="AD393" s="68"/>
      <c r="AE393" s="177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</row>
    <row r="394" spans="1:63" ht="13.8" x14ac:dyDescent="0.3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176"/>
      <c r="V394" s="68"/>
      <c r="W394" s="68"/>
      <c r="X394" s="68"/>
      <c r="Y394" s="68"/>
      <c r="Z394" s="68"/>
      <c r="AA394" s="68"/>
      <c r="AB394" s="177"/>
      <c r="AC394" s="68"/>
      <c r="AD394" s="68"/>
      <c r="AE394" s="177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</row>
    <row r="395" spans="1:63" ht="13.8" x14ac:dyDescent="0.3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176"/>
      <c r="V395" s="68"/>
      <c r="W395" s="68"/>
      <c r="X395" s="68"/>
      <c r="Y395" s="68"/>
      <c r="Z395" s="68"/>
      <c r="AA395" s="68"/>
      <c r="AB395" s="177"/>
      <c r="AC395" s="68"/>
      <c r="AD395" s="68"/>
      <c r="AE395" s="177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</row>
    <row r="396" spans="1:63" ht="13.8" x14ac:dyDescent="0.3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176"/>
      <c r="V396" s="68"/>
      <c r="W396" s="68"/>
      <c r="X396" s="68"/>
      <c r="Y396" s="68"/>
      <c r="Z396" s="68"/>
      <c r="AA396" s="68"/>
      <c r="AB396" s="177"/>
      <c r="AC396" s="68"/>
      <c r="AD396" s="68"/>
      <c r="AE396" s="177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</row>
    <row r="397" spans="1:63" ht="13.8" x14ac:dyDescent="0.3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176"/>
      <c r="V397" s="68"/>
      <c r="W397" s="68"/>
      <c r="X397" s="68"/>
      <c r="Y397" s="68"/>
      <c r="Z397" s="68"/>
      <c r="AA397" s="68"/>
      <c r="AB397" s="177"/>
      <c r="AC397" s="68"/>
      <c r="AD397" s="68"/>
      <c r="AE397" s="177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</row>
    <row r="398" spans="1:63" ht="13.8" x14ac:dyDescent="0.3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176"/>
      <c r="V398" s="68"/>
      <c r="W398" s="68"/>
      <c r="X398" s="68"/>
      <c r="Y398" s="68"/>
      <c r="Z398" s="68"/>
      <c r="AA398" s="68"/>
      <c r="AB398" s="177"/>
      <c r="AC398" s="68"/>
      <c r="AD398" s="68"/>
      <c r="AE398" s="177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</row>
    <row r="399" spans="1:63" ht="13.8" x14ac:dyDescent="0.3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176"/>
      <c r="V399" s="68"/>
      <c r="W399" s="68"/>
      <c r="X399" s="68"/>
      <c r="Y399" s="68"/>
      <c r="Z399" s="68"/>
      <c r="AA399" s="68"/>
      <c r="AB399" s="177"/>
      <c r="AC399" s="68"/>
      <c r="AD399" s="68"/>
      <c r="AE399" s="177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</row>
    <row r="400" spans="1:63" ht="13.8" x14ac:dyDescent="0.3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176"/>
      <c r="V400" s="68"/>
      <c r="W400" s="68"/>
      <c r="X400" s="68"/>
      <c r="Y400" s="68"/>
      <c r="Z400" s="68"/>
      <c r="AA400" s="68"/>
      <c r="AB400" s="177"/>
      <c r="AC400" s="68"/>
      <c r="AD400" s="68"/>
      <c r="AE400" s="177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</row>
    <row r="401" spans="1:63" ht="13.8" x14ac:dyDescent="0.3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176"/>
      <c r="V401" s="68"/>
      <c r="W401" s="68"/>
      <c r="X401" s="68"/>
      <c r="Y401" s="68"/>
      <c r="Z401" s="68"/>
      <c r="AA401" s="68"/>
      <c r="AB401" s="177"/>
      <c r="AC401" s="68"/>
      <c r="AD401" s="68"/>
      <c r="AE401" s="177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</row>
    <row r="402" spans="1:63" ht="13.8" x14ac:dyDescent="0.3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176"/>
      <c r="V402" s="68"/>
      <c r="W402" s="68"/>
      <c r="X402" s="68"/>
      <c r="Y402" s="68"/>
      <c r="Z402" s="68"/>
      <c r="AA402" s="68"/>
      <c r="AB402" s="177"/>
      <c r="AC402" s="68"/>
      <c r="AD402" s="68"/>
      <c r="AE402" s="177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</row>
    <row r="403" spans="1:63" ht="13.8" x14ac:dyDescent="0.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176"/>
      <c r="V403" s="68"/>
      <c r="W403" s="68"/>
      <c r="X403" s="68"/>
      <c r="Y403" s="68"/>
      <c r="Z403" s="68"/>
      <c r="AA403" s="68"/>
      <c r="AB403" s="177"/>
      <c r="AC403" s="68"/>
      <c r="AD403" s="68"/>
      <c r="AE403" s="177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</row>
    <row r="404" spans="1:63" ht="13.8" x14ac:dyDescent="0.3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176"/>
      <c r="V404" s="68"/>
      <c r="W404" s="68"/>
      <c r="X404" s="68"/>
      <c r="Y404" s="68"/>
      <c r="Z404" s="68"/>
      <c r="AA404" s="68"/>
      <c r="AB404" s="177"/>
      <c r="AC404" s="68"/>
      <c r="AD404" s="68"/>
      <c r="AE404" s="177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</row>
    <row r="405" spans="1:63" ht="13.8" x14ac:dyDescent="0.3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176"/>
      <c r="V405" s="68"/>
      <c r="W405" s="68"/>
      <c r="X405" s="68"/>
      <c r="Y405" s="68"/>
      <c r="Z405" s="68"/>
      <c r="AA405" s="68"/>
      <c r="AB405" s="177"/>
      <c r="AC405" s="68"/>
      <c r="AD405" s="68"/>
      <c r="AE405" s="177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</row>
    <row r="406" spans="1:63" ht="13.8" x14ac:dyDescent="0.3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176"/>
      <c r="V406" s="68"/>
      <c r="W406" s="68"/>
      <c r="X406" s="68"/>
      <c r="Y406" s="68"/>
      <c r="Z406" s="68"/>
      <c r="AA406" s="68"/>
      <c r="AB406" s="177"/>
      <c r="AC406" s="68"/>
      <c r="AD406" s="68"/>
      <c r="AE406" s="177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</row>
    <row r="407" spans="1:63" ht="13.8" x14ac:dyDescent="0.3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176"/>
      <c r="V407" s="68"/>
      <c r="W407" s="68"/>
      <c r="X407" s="68"/>
      <c r="Y407" s="68"/>
      <c r="Z407" s="68"/>
      <c r="AA407" s="68"/>
      <c r="AB407" s="177"/>
      <c r="AC407" s="68"/>
      <c r="AD407" s="68"/>
      <c r="AE407" s="177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</row>
    <row r="408" spans="1:63" ht="13.8" x14ac:dyDescent="0.3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176"/>
      <c r="V408" s="68"/>
      <c r="W408" s="68"/>
      <c r="X408" s="68"/>
      <c r="Y408" s="68"/>
      <c r="Z408" s="68"/>
      <c r="AA408" s="68"/>
      <c r="AB408" s="177"/>
      <c r="AC408" s="68"/>
      <c r="AD408" s="68"/>
      <c r="AE408" s="177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</row>
    <row r="409" spans="1:63" ht="13.8" x14ac:dyDescent="0.3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176"/>
      <c r="V409" s="68"/>
      <c r="W409" s="68"/>
      <c r="X409" s="68"/>
      <c r="Y409" s="68"/>
      <c r="Z409" s="68"/>
      <c r="AA409" s="68"/>
      <c r="AB409" s="177"/>
      <c r="AC409" s="68"/>
      <c r="AD409" s="68"/>
      <c r="AE409" s="177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</row>
    <row r="410" spans="1:63" ht="13.8" x14ac:dyDescent="0.3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176"/>
      <c r="V410" s="68"/>
      <c r="W410" s="68"/>
      <c r="X410" s="68"/>
      <c r="Y410" s="68"/>
      <c r="Z410" s="68"/>
      <c r="AA410" s="68"/>
      <c r="AB410" s="177"/>
      <c r="AC410" s="68"/>
      <c r="AD410" s="68"/>
      <c r="AE410" s="177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</row>
    <row r="411" spans="1:63" ht="13.8" x14ac:dyDescent="0.3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176"/>
      <c r="V411" s="68"/>
      <c r="W411" s="68"/>
      <c r="X411" s="68"/>
      <c r="Y411" s="68"/>
      <c r="Z411" s="68"/>
      <c r="AA411" s="68"/>
      <c r="AB411" s="177"/>
      <c r="AC411" s="68"/>
      <c r="AD411" s="68"/>
      <c r="AE411" s="177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</row>
    <row r="412" spans="1:63" ht="13.8" x14ac:dyDescent="0.3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176"/>
      <c r="V412" s="68"/>
      <c r="W412" s="68"/>
      <c r="X412" s="68"/>
      <c r="Y412" s="68"/>
      <c r="Z412" s="68"/>
      <c r="AA412" s="68"/>
      <c r="AB412" s="177"/>
      <c r="AC412" s="68"/>
      <c r="AD412" s="68"/>
      <c r="AE412" s="177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</row>
    <row r="413" spans="1:63" ht="13.8" x14ac:dyDescent="0.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176"/>
      <c r="V413" s="68"/>
      <c r="W413" s="68"/>
      <c r="X413" s="68"/>
      <c r="Y413" s="68"/>
      <c r="Z413" s="68"/>
      <c r="AA413" s="68"/>
      <c r="AB413" s="177"/>
      <c r="AC413" s="68"/>
      <c r="AD413" s="68"/>
      <c r="AE413" s="177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</row>
    <row r="414" spans="1:63" ht="13.8" x14ac:dyDescent="0.3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176"/>
      <c r="V414" s="68"/>
      <c r="W414" s="68"/>
      <c r="X414" s="68"/>
      <c r="Y414" s="68"/>
      <c r="Z414" s="68"/>
      <c r="AA414" s="68"/>
      <c r="AB414" s="177"/>
      <c r="AC414" s="68"/>
      <c r="AD414" s="68"/>
      <c r="AE414" s="177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</row>
    <row r="415" spans="1:63" ht="13.8" x14ac:dyDescent="0.3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176"/>
      <c r="V415" s="68"/>
      <c r="W415" s="68"/>
      <c r="X415" s="68"/>
      <c r="Y415" s="68"/>
      <c r="Z415" s="68"/>
      <c r="AA415" s="68"/>
      <c r="AB415" s="177"/>
      <c r="AC415" s="68"/>
      <c r="AD415" s="68"/>
      <c r="AE415" s="177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</row>
    <row r="416" spans="1:63" ht="13.8" x14ac:dyDescent="0.3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176"/>
      <c r="V416" s="68"/>
      <c r="W416" s="68"/>
      <c r="X416" s="68"/>
      <c r="Y416" s="68"/>
      <c r="Z416" s="68"/>
      <c r="AA416" s="68"/>
      <c r="AB416" s="177"/>
      <c r="AC416" s="68"/>
      <c r="AD416" s="68"/>
      <c r="AE416" s="177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</row>
    <row r="417" spans="1:63" ht="13.8" x14ac:dyDescent="0.3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176"/>
      <c r="V417" s="68"/>
      <c r="W417" s="68"/>
      <c r="X417" s="68"/>
      <c r="Y417" s="68"/>
      <c r="Z417" s="68"/>
      <c r="AA417" s="68"/>
      <c r="AB417" s="177"/>
      <c r="AC417" s="68"/>
      <c r="AD417" s="68"/>
      <c r="AE417" s="177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</row>
    <row r="418" spans="1:63" ht="13.8" x14ac:dyDescent="0.3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176"/>
      <c r="V418" s="68"/>
      <c r="W418" s="68"/>
      <c r="X418" s="68"/>
      <c r="Y418" s="68"/>
      <c r="Z418" s="68"/>
      <c r="AA418" s="68"/>
      <c r="AB418" s="177"/>
      <c r="AC418" s="68"/>
      <c r="AD418" s="68"/>
      <c r="AE418" s="177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</row>
    <row r="419" spans="1:63" ht="13.8" x14ac:dyDescent="0.3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176"/>
      <c r="V419" s="68"/>
      <c r="W419" s="68"/>
      <c r="X419" s="68"/>
      <c r="Y419" s="68"/>
      <c r="Z419" s="68"/>
      <c r="AA419" s="68"/>
      <c r="AB419" s="177"/>
      <c r="AC419" s="68"/>
      <c r="AD419" s="68"/>
      <c r="AE419" s="177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</row>
    <row r="420" spans="1:63" ht="13.8" x14ac:dyDescent="0.3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176"/>
      <c r="V420" s="68"/>
      <c r="W420" s="68"/>
      <c r="X420" s="68"/>
      <c r="Y420" s="68"/>
      <c r="Z420" s="68"/>
      <c r="AA420" s="68"/>
      <c r="AB420" s="177"/>
      <c r="AC420" s="68"/>
      <c r="AD420" s="68"/>
      <c r="AE420" s="177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</row>
    <row r="421" spans="1:63" ht="13.8" x14ac:dyDescent="0.3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176"/>
      <c r="V421" s="68"/>
      <c r="W421" s="68"/>
      <c r="X421" s="68"/>
      <c r="Y421" s="68"/>
      <c r="Z421" s="68"/>
      <c r="AA421" s="68"/>
      <c r="AB421" s="177"/>
      <c r="AC421" s="68"/>
      <c r="AD421" s="68"/>
      <c r="AE421" s="177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</row>
    <row r="422" spans="1:63" ht="13.8" x14ac:dyDescent="0.3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176"/>
      <c r="V422" s="68"/>
      <c r="W422" s="68"/>
      <c r="X422" s="68"/>
      <c r="Y422" s="68"/>
      <c r="Z422" s="68"/>
      <c r="AA422" s="68"/>
      <c r="AB422" s="177"/>
      <c r="AC422" s="68"/>
      <c r="AD422" s="68"/>
      <c r="AE422" s="177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</row>
    <row r="423" spans="1:63" ht="13.8" x14ac:dyDescent="0.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176"/>
      <c r="V423" s="68"/>
      <c r="W423" s="68"/>
      <c r="X423" s="68"/>
      <c r="Y423" s="68"/>
      <c r="Z423" s="68"/>
      <c r="AA423" s="68"/>
      <c r="AB423" s="177"/>
      <c r="AC423" s="68"/>
      <c r="AD423" s="68"/>
      <c r="AE423" s="177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</row>
    <row r="424" spans="1:63" ht="13.8" x14ac:dyDescent="0.3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176"/>
      <c r="V424" s="68"/>
      <c r="W424" s="68"/>
      <c r="X424" s="68"/>
      <c r="Y424" s="68"/>
      <c r="Z424" s="68"/>
      <c r="AA424" s="68"/>
      <c r="AB424" s="177"/>
      <c r="AC424" s="68"/>
      <c r="AD424" s="68"/>
      <c r="AE424" s="177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</row>
    <row r="425" spans="1:63" ht="13.8" x14ac:dyDescent="0.3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176"/>
      <c r="V425" s="68"/>
      <c r="W425" s="68"/>
      <c r="X425" s="68"/>
      <c r="Y425" s="68"/>
      <c r="Z425" s="68"/>
      <c r="AA425" s="68"/>
      <c r="AB425" s="177"/>
      <c r="AC425" s="68"/>
      <c r="AD425" s="68"/>
      <c r="AE425" s="177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</row>
    <row r="426" spans="1:63" ht="13.8" x14ac:dyDescent="0.3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176"/>
      <c r="V426" s="68"/>
      <c r="W426" s="68"/>
      <c r="X426" s="68"/>
      <c r="Y426" s="68"/>
      <c r="Z426" s="68"/>
      <c r="AA426" s="68"/>
      <c r="AB426" s="177"/>
      <c r="AC426" s="68"/>
      <c r="AD426" s="68"/>
      <c r="AE426" s="177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</row>
    <row r="427" spans="1:63" ht="13.8" x14ac:dyDescent="0.3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176"/>
      <c r="V427" s="68"/>
      <c r="W427" s="68"/>
      <c r="X427" s="68"/>
      <c r="Y427" s="68"/>
      <c r="Z427" s="68"/>
      <c r="AA427" s="68"/>
      <c r="AB427" s="177"/>
      <c r="AC427" s="68"/>
      <c r="AD427" s="68"/>
      <c r="AE427" s="177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</row>
    <row r="428" spans="1:63" ht="13.8" x14ac:dyDescent="0.3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176"/>
      <c r="V428" s="68"/>
      <c r="W428" s="68"/>
      <c r="X428" s="68"/>
      <c r="Y428" s="68"/>
      <c r="Z428" s="68"/>
      <c r="AA428" s="68"/>
      <c r="AB428" s="177"/>
      <c r="AC428" s="68"/>
      <c r="AD428" s="68"/>
      <c r="AE428" s="177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</row>
    <row r="429" spans="1:63" ht="13.8" x14ac:dyDescent="0.3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176"/>
      <c r="V429" s="68"/>
      <c r="W429" s="68"/>
      <c r="X429" s="68"/>
      <c r="Y429" s="68"/>
      <c r="Z429" s="68"/>
      <c r="AA429" s="68"/>
      <c r="AB429" s="177"/>
      <c r="AC429" s="68"/>
      <c r="AD429" s="68"/>
      <c r="AE429" s="177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</row>
    <row r="430" spans="1:63" ht="13.8" x14ac:dyDescent="0.3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176"/>
      <c r="V430" s="68"/>
      <c r="W430" s="68"/>
      <c r="X430" s="68"/>
      <c r="Y430" s="68"/>
      <c r="Z430" s="68"/>
      <c r="AA430" s="68"/>
      <c r="AB430" s="177"/>
      <c r="AC430" s="68"/>
      <c r="AD430" s="68"/>
      <c r="AE430" s="177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</row>
    <row r="431" spans="1:63" ht="13.8" x14ac:dyDescent="0.3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176"/>
      <c r="V431" s="68"/>
      <c r="W431" s="68"/>
      <c r="X431" s="68"/>
      <c r="Y431" s="68"/>
      <c r="Z431" s="68"/>
      <c r="AA431" s="68"/>
      <c r="AB431" s="177"/>
      <c r="AC431" s="68"/>
      <c r="AD431" s="68"/>
      <c r="AE431" s="177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</row>
    <row r="432" spans="1:63" ht="13.8" x14ac:dyDescent="0.3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176"/>
      <c r="V432" s="68"/>
      <c r="W432" s="68"/>
      <c r="X432" s="68"/>
      <c r="Y432" s="68"/>
      <c r="Z432" s="68"/>
      <c r="AA432" s="68"/>
      <c r="AB432" s="177"/>
      <c r="AC432" s="68"/>
      <c r="AD432" s="68"/>
      <c r="AE432" s="177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</row>
    <row r="433" spans="1:63" ht="13.8" x14ac:dyDescent="0.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176"/>
      <c r="V433" s="68"/>
      <c r="W433" s="68"/>
      <c r="X433" s="68"/>
      <c r="Y433" s="68"/>
      <c r="Z433" s="68"/>
      <c r="AA433" s="68"/>
      <c r="AB433" s="177"/>
      <c r="AC433" s="68"/>
      <c r="AD433" s="68"/>
      <c r="AE433" s="177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</row>
    <row r="434" spans="1:63" ht="13.8" x14ac:dyDescent="0.3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176"/>
      <c r="V434" s="68"/>
      <c r="W434" s="68"/>
      <c r="X434" s="68"/>
      <c r="Y434" s="68"/>
      <c r="Z434" s="68"/>
      <c r="AA434" s="68"/>
      <c r="AB434" s="177"/>
      <c r="AC434" s="68"/>
      <c r="AD434" s="68"/>
      <c r="AE434" s="177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</row>
    <row r="435" spans="1:63" ht="13.8" x14ac:dyDescent="0.3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176"/>
      <c r="V435" s="68"/>
      <c r="W435" s="68"/>
      <c r="X435" s="68"/>
      <c r="Y435" s="68"/>
      <c r="Z435" s="68"/>
      <c r="AA435" s="68"/>
      <c r="AB435" s="177"/>
      <c r="AC435" s="68"/>
      <c r="AD435" s="68"/>
      <c r="AE435" s="177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</row>
    <row r="436" spans="1:63" ht="13.8" x14ac:dyDescent="0.3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176"/>
      <c r="V436" s="68"/>
      <c r="W436" s="68"/>
      <c r="X436" s="68"/>
      <c r="Y436" s="68"/>
      <c r="Z436" s="68"/>
      <c r="AA436" s="68"/>
      <c r="AB436" s="177"/>
      <c r="AC436" s="68"/>
      <c r="AD436" s="68"/>
      <c r="AE436" s="177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</row>
    <row r="437" spans="1:63" ht="13.8" x14ac:dyDescent="0.3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176"/>
      <c r="V437" s="68"/>
      <c r="W437" s="68"/>
      <c r="X437" s="68"/>
      <c r="Y437" s="68"/>
      <c r="Z437" s="68"/>
      <c r="AA437" s="68"/>
      <c r="AB437" s="177"/>
      <c r="AC437" s="68"/>
      <c r="AD437" s="68"/>
      <c r="AE437" s="177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</row>
    <row r="438" spans="1:63" ht="13.8" x14ac:dyDescent="0.3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176"/>
      <c r="V438" s="68"/>
      <c r="W438" s="68"/>
      <c r="X438" s="68"/>
      <c r="Y438" s="68"/>
      <c r="Z438" s="68"/>
      <c r="AA438" s="68"/>
      <c r="AB438" s="177"/>
      <c r="AC438" s="68"/>
      <c r="AD438" s="68"/>
      <c r="AE438" s="177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</row>
    <row r="439" spans="1:63" ht="13.8" x14ac:dyDescent="0.3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176"/>
      <c r="V439" s="68"/>
      <c r="W439" s="68"/>
      <c r="X439" s="68"/>
      <c r="Y439" s="68"/>
      <c r="Z439" s="68"/>
      <c r="AA439" s="68"/>
      <c r="AB439" s="177"/>
      <c r="AC439" s="68"/>
      <c r="AD439" s="68"/>
      <c r="AE439" s="177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</row>
    <row r="440" spans="1:63" ht="13.8" x14ac:dyDescent="0.3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176"/>
      <c r="V440" s="68"/>
      <c r="W440" s="68"/>
      <c r="X440" s="68"/>
      <c r="Y440" s="68"/>
      <c r="Z440" s="68"/>
      <c r="AA440" s="68"/>
      <c r="AB440" s="177"/>
      <c r="AC440" s="68"/>
      <c r="AD440" s="68"/>
      <c r="AE440" s="177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</row>
    <row r="441" spans="1:63" ht="13.8" x14ac:dyDescent="0.3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176"/>
      <c r="V441" s="68"/>
      <c r="W441" s="68"/>
      <c r="X441" s="68"/>
      <c r="Y441" s="68"/>
      <c r="Z441" s="68"/>
      <c r="AA441" s="68"/>
      <c r="AB441" s="177"/>
      <c r="AC441" s="68"/>
      <c r="AD441" s="68"/>
      <c r="AE441" s="177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</row>
    <row r="442" spans="1:63" ht="13.8" x14ac:dyDescent="0.3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176"/>
      <c r="V442" s="68"/>
      <c r="W442" s="68"/>
      <c r="X442" s="68"/>
      <c r="Y442" s="68"/>
      <c r="Z442" s="68"/>
      <c r="AA442" s="68"/>
      <c r="AB442" s="177"/>
      <c r="AC442" s="68"/>
      <c r="AD442" s="68"/>
      <c r="AE442" s="177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</row>
    <row r="443" spans="1:63" ht="13.8" x14ac:dyDescent="0.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176"/>
      <c r="V443" s="68"/>
      <c r="W443" s="68"/>
      <c r="X443" s="68"/>
      <c r="Y443" s="68"/>
      <c r="Z443" s="68"/>
      <c r="AA443" s="68"/>
      <c r="AB443" s="177"/>
      <c r="AC443" s="68"/>
      <c r="AD443" s="68"/>
      <c r="AE443" s="177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</row>
    <row r="444" spans="1:63" ht="13.8" x14ac:dyDescent="0.3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176"/>
      <c r="V444" s="68"/>
      <c r="W444" s="68"/>
      <c r="X444" s="68"/>
      <c r="Y444" s="68"/>
      <c r="Z444" s="68"/>
      <c r="AA444" s="68"/>
      <c r="AB444" s="177"/>
      <c r="AC444" s="68"/>
      <c r="AD444" s="68"/>
      <c r="AE444" s="177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</row>
    <row r="445" spans="1:63" ht="13.8" x14ac:dyDescent="0.3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176"/>
      <c r="V445" s="68"/>
      <c r="W445" s="68"/>
      <c r="X445" s="68"/>
      <c r="Y445" s="68"/>
      <c r="Z445" s="68"/>
      <c r="AA445" s="68"/>
      <c r="AB445" s="177"/>
      <c r="AC445" s="68"/>
      <c r="AD445" s="68"/>
      <c r="AE445" s="177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</row>
    <row r="446" spans="1:63" ht="13.8" x14ac:dyDescent="0.3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176"/>
      <c r="V446" s="68"/>
      <c r="W446" s="68"/>
      <c r="X446" s="68"/>
      <c r="Y446" s="68"/>
      <c r="Z446" s="68"/>
      <c r="AA446" s="68"/>
      <c r="AB446" s="177"/>
      <c r="AC446" s="68"/>
      <c r="AD446" s="68"/>
      <c r="AE446" s="177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</row>
    <row r="447" spans="1:63" ht="13.8" x14ac:dyDescent="0.3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176"/>
      <c r="V447" s="68"/>
      <c r="W447" s="68"/>
      <c r="X447" s="68"/>
      <c r="Y447" s="68"/>
      <c r="Z447" s="68"/>
      <c r="AA447" s="68"/>
      <c r="AB447" s="177"/>
      <c r="AC447" s="68"/>
      <c r="AD447" s="68"/>
      <c r="AE447" s="177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</row>
    <row r="448" spans="1:63" ht="13.8" x14ac:dyDescent="0.3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176"/>
      <c r="V448" s="68"/>
      <c r="W448" s="68"/>
      <c r="X448" s="68"/>
      <c r="Y448" s="68"/>
      <c r="Z448" s="68"/>
      <c r="AA448" s="68"/>
      <c r="AB448" s="177"/>
      <c r="AC448" s="68"/>
      <c r="AD448" s="68"/>
      <c r="AE448" s="177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</row>
    <row r="449" spans="1:63" ht="13.8" x14ac:dyDescent="0.3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176"/>
      <c r="V449" s="68"/>
      <c r="W449" s="68"/>
      <c r="X449" s="68"/>
      <c r="Y449" s="68"/>
      <c r="Z449" s="68"/>
      <c r="AA449" s="68"/>
      <c r="AB449" s="177"/>
      <c r="AC449" s="68"/>
      <c r="AD449" s="68"/>
      <c r="AE449" s="177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</row>
    <row r="450" spans="1:63" ht="13.8" x14ac:dyDescent="0.3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176"/>
      <c r="V450" s="68"/>
      <c r="W450" s="68"/>
      <c r="X450" s="68"/>
      <c r="Y450" s="68"/>
      <c r="Z450" s="68"/>
      <c r="AA450" s="68"/>
      <c r="AB450" s="177"/>
      <c r="AC450" s="68"/>
      <c r="AD450" s="68"/>
      <c r="AE450" s="177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</row>
    <row r="451" spans="1:63" ht="13.8" x14ac:dyDescent="0.3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176"/>
      <c r="V451" s="68"/>
      <c r="W451" s="68"/>
      <c r="X451" s="68"/>
      <c r="Y451" s="68"/>
      <c r="Z451" s="68"/>
      <c r="AA451" s="68"/>
      <c r="AB451" s="177"/>
      <c r="AC451" s="68"/>
      <c r="AD451" s="68"/>
      <c r="AE451" s="177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</row>
    <row r="452" spans="1:63" ht="13.8" x14ac:dyDescent="0.3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176"/>
      <c r="V452" s="68"/>
      <c r="W452" s="68"/>
      <c r="X452" s="68"/>
      <c r="Y452" s="68"/>
      <c r="Z452" s="68"/>
      <c r="AA452" s="68"/>
      <c r="AB452" s="177"/>
      <c r="AC452" s="68"/>
      <c r="AD452" s="68"/>
      <c r="AE452" s="177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</row>
    <row r="453" spans="1:63" ht="13.8" x14ac:dyDescent="0.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176"/>
      <c r="V453" s="68"/>
      <c r="W453" s="68"/>
      <c r="X453" s="68"/>
      <c r="Y453" s="68"/>
      <c r="Z453" s="68"/>
      <c r="AA453" s="68"/>
      <c r="AB453" s="177"/>
      <c r="AC453" s="68"/>
      <c r="AD453" s="68"/>
      <c r="AE453" s="177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</row>
    <row r="454" spans="1:63" ht="13.8" x14ac:dyDescent="0.3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176"/>
      <c r="V454" s="68"/>
      <c r="W454" s="68"/>
      <c r="X454" s="68"/>
      <c r="Y454" s="68"/>
      <c r="Z454" s="68"/>
      <c r="AA454" s="68"/>
      <c r="AB454" s="177"/>
      <c r="AC454" s="68"/>
      <c r="AD454" s="68"/>
      <c r="AE454" s="177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</row>
    <row r="455" spans="1:63" ht="13.8" x14ac:dyDescent="0.3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176"/>
      <c r="V455" s="68"/>
      <c r="W455" s="68"/>
      <c r="X455" s="68"/>
      <c r="Y455" s="68"/>
      <c r="Z455" s="68"/>
      <c r="AA455" s="68"/>
      <c r="AB455" s="177"/>
      <c r="AC455" s="68"/>
      <c r="AD455" s="68"/>
      <c r="AE455" s="177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</row>
    <row r="456" spans="1:63" ht="13.8" x14ac:dyDescent="0.3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176"/>
      <c r="V456" s="68"/>
      <c r="W456" s="68"/>
      <c r="X456" s="68"/>
      <c r="Y456" s="68"/>
      <c r="Z456" s="68"/>
      <c r="AA456" s="68"/>
      <c r="AB456" s="177"/>
      <c r="AC456" s="68"/>
      <c r="AD456" s="68"/>
      <c r="AE456" s="177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</row>
    <row r="457" spans="1:63" ht="13.8" x14ac:dyDescent="0.3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176"/>
      <c r="V457" s="68"/>
      <c r="W457" s="68"/>
      <c r="X457" s="68"/>
      <c r="Y457" s="68"/>
      <c r="Z457" s="68"/>
      <c r="AA457" s="68"/>
      <c r="AB457" s="177"/>
      <c r="AC457" s="68"/>
      <c r="AD457" s="68"/>
      <c r="AE457" s="177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</row>
    <row r="458" spans="1:63" ht="13.8" x14ac:dyDescent="0.3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176"/>
      <c r="V458" s="68"/>
      <c r="W458" s="68"/>
      <c r="X458" s="68"/>
      <c r="Y458" s="68"/>
      <c r="Z458" s="68"/>
      <c r="AA458" s="68"/>
      <c r="AB458" s="177"/>
      <c r="AC458" s="68"/>
      <c r="AD458" s="68"/>
      <c r="AE458" s="177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</row>
    <row r="459" spans="1:63" ht="13.8" x14ac:dyDescent="0.3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176"/>
      <c r="V459" s="68"/>
      <c r="W459" s="68"/>
      <c r="X459" s="68"/>
      <c r="Y459" s="68"/>
      <c r="Z459" s="68"/>
      <c r="AA459" s="68"/>
      <c r="AB459" s="177"/>
      <c r="AC459" s="68"/>
      <c r="AD459" s="68"/>
      <c r="AE459" s="177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</row>
    <row r="460" spans="1:63" ht="13.8" x14ac:dyDescent="0.3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176"/>
      <c r="V460" s="68"/>
      <c r="W460" s="68"/>
      <c r="X460" s="68"/>
      <c r="Y460" s="68"/>
      <c r="Z460" s="68"/>
      <c r="AA460" s="68"/>
      <c r="AB460" s="177"/>
      <c r="AC460" s="68"/>
      <c r="AD460" s="68"/>
      <c r="AE460" s="177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</row>
    <row r="461" spans="1:63" ht="13.8" x14ac:dyDescent="0.3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176"/>
      <c r="V461" s="68"/>
      <c r="W461" s="68"/>
      <c r="X461" s="68"/>
      <c r="Y461" s="68"/>
      <c r="Z461" s="68"/>
      <c r="AA461" s="68"/>
      <c r="AB461" s="177"/>
      <c r="AC461" s="68"/>
      <c r="AD461" s="68"/>
      <c r="AE461" s="177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</row>
    <row r="462" spans="1:63" ht="13.8" x14ac:dyDescent="0.3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176"/>
      <c r="V462" s="68"/>
      <c r="W462" s="68"/>
      <c r="X462" s="68"/>
      <c r="Y462" s="68"/>
      <c r="Z462" s="68"/>
      <c r="AA462" s="68"/>
      <c r="AB462" s="177"/>
      <c r="AC462" s="68"/>
      <c r="AD462" s="68"/>
      <c r="AE462" s="177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</row>
    <row r="463" spans="1:63" ht="13.8" x14ac:dyDescent="0.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176"/>
      <c r="V463" s="68"/>
      <c r="W463" s="68"/>
      <c r="X463" s="68"/>
      <c r="Y463" s="68"/>
      <c r="Z463" s="68"/>
      <c r="AA463" s="68"/>
      <c r="AB463" s="177"/>
      <c r="AC463" s="68"/>
      <c r="AD463" s="68"/>
      <c r="AE463" s="177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</row>
    <row r="464" spans="1:63" ht="13.8" x14ac:dyDescent="0.3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176"/>
      <c r="V464" s="68"/>
      <c r="W464" s="68"/>
      <c r="X464" s="68"/>
      <c r="Y464" s="68"/>
      <c r="Z464" s="68"/>
      <c r="AA464" s="68"/>
      <c r="AB464" s="177"/>
      <c r="AC464" s="68"/>
      <c r="AD464" s="68"/>
      <c r="AE464" s="177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</row>
    <row r="465" spans="1:63" ht="13.8" x14ac:dyDescent="0.3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176"/>
      <c r="V465" s="68"/>
      <c r="W465" s="68"/>
      <c r="X465" s="68"/>
      <c r="Y465" s="68"/>
      <c r="Z465" s="68"/>
      <c r="AA465" s="68"/>
      <c r="AB465" s="177"/>
      <c r="AC465" s="68"/>
      <c r="AD465" s="68"/>
      <c r="AE465" s="177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</row>
    <row r="466" spans="1:63" ht="13.8" x14ac:dyDescent="0.3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176"/>
      <c r="V466" s="68"/>
      <c r="W466" s="68"/>
      <c r="X466" s="68"/>
      <c r="Y466" s="68"/>
      <c r="Z466" s="68"/>
      <c r="AA466" s="68"/>
      <c r="AB466" s="177"/>
      <c r="AC466" s="68"/>
      <c r="AD466" s="68"/>
      <c r="AE466" s="177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</row>
    <row r="467" spans="1:63" ht="13.8" x14ac:dyDescent="0.3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176"/>
      <c r="V467" s="68"/>
      <c r="W467" s="68"/>
      <c r="X467" s="68"/>
      <c r="Y467" s="68"/>
      <c r="Z467" s="68"/>
      <c r="AA467" s="68"/>
      <c r="AB467" s="177"/>
      <c r="AC467" s="68"/>
      <c r="AD467" s="68"/>
      <c r="AE467" s="177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</row>
    <row r="468" spans="1:63" ht="13.8" x14ac:dyDescent="0.3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176"/>
      <c r="V468" s="68"/>
      <c r="W468" s="68"/>
      <c r="X468" s="68"/>
      <c r="Y468" s="68"/>
      <c r="Z468" s="68"/>
      <c r="AA468" s="68"/>
      <c r="AB468" s="177"/>
      <c r="AC468" s="68"/>
      <c r="AD468" s="68"/>
      <c r="AE468" s="177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</row>
    <row r="469" spans="1:63" ht="13.8" x14ac:dyDescent="0.3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176"/>
      <c r="V469" s="68"/>
      <c r="W469" s="68"/>
      <c r="X469" s="68"/>
      <c r="Y469" s="68"/>
      <c r="Z469" s="68"/>
      <c r="AA469" s="68"/>
      <c r="AB469" s="177"/>
      <c r="AC469" s="68"/>
      <c r="AD469" s="68"/>
      <c r="AE469" s="177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</row>
    <row r="470" spans="1:63" ht="13.8" x14ac:dyDescent="0.3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176"/>
      <c r="V470" s="68"/>
      <c r="W470" s="68"/>
      <c r="X470" s="68"/>
      <c r="Y470" s="68"/>
      <c r="Z470" s="68"/>
      <c r="AA470" s="68"/>
      <c r="AB470" s="177"/>
      <c r="AC470" s="68"/>
      <c r="AD470" s="68"/>
      <c r="AE470" s="177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</row>
    <row r="471" spans="1:63" ht="13.8" x14ac:dyDescent="0.3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176"/>
      <c r="V471" s="68"/>
      <c r="W471" s="68"/>
      <c r="X471" s="68"/>
      <c r="Y471" s="68"/>
      <c r="Z471" s="68"/>
      <c r="AA471" s="68"/>
      <c r="AB471" s="177"/>
      <c r="AC471" s="68"/>
      <c r="AD471" s="68"/>
      <c r="AE471" s="177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</row>
    <row r="472" spans="1:63" ht="13.8" x14ac:dyDescent="0.3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176"/>
      <c r="V472" s="68"/>
      <c r="W472" s="68"/>
      <c r="X472" s="68"/>
      <c r="Y472" s="68"/>
      <c r="Z472" s="68"/>
      <c r="AA472" s="68"/>
      <c r="AB472" s="177"/>
      <c r="AC472" s="68"/>
      <c r="AD472" s="68"/>
      <c r="AE472" s="177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</row>
    <row r="473" spans="1:63" ht="13.8" x14ac:dyDescent="0.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176"/>
      <c r="V473" s="68"/>
      <c r="W473" s="68"/>
      <c r="X473" s="68"/>
      <c r="Y473" s="68"/>
      <c r="Z473" s="68"/>
      <c r="AA473" s="68"/>
      <c r="AB473" s="177"/>
      <c r="AC473" s="68"/>
      <c r="AD473" s="68"/>
      <c r="AE473" s="177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</row>
    <row r="474" spans="1:63" ht="13.8" x14ac:dyDescent="0.3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176"/>
      <c r="V474" s="68"/>
      <c r="W474" s="68"/>
      <c r="X474" s="68"/>
      <c r="Y474" s="68"/>
      <c r="Z474" s="68"/>
      <c r="AA474" s="68"/>
      <c r="AB474" s="177"/>
      <c r="AC474" s="68"/>
      <c r="AD474" s="68"/>
      <c r="AE474" s="177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</row>
    <row r="475" spans="1:63" ht="13.8" x14ac:dyDescent="0.3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176"/>
      <c r="V475" s="68"/>
      <c r="W475" s="68"/>
      <c r="X475" s="68"/>
      <c r="Y475" s="68"/>
      <c r="Z475" s="68"/>
      <c r="AA475" s="68"/>
      <c r="AB475" s="177"/>
      <c r="AC475" s="68"/>
      <c r="AD475" s="68"/>
      <c r="AE475" s="177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</row>
    <row r="476" spans="1:63" ht="13.8" x14ac:dyDescent="0.3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176"/>
      <c r="V476" s="68"/>
      <c r="W476" s="68"/>
      <c r="X476" s="68"/>
      <c r="Y476" s="68"/>
      <c r="Z476" s="68"/>
      <c r="AA476" s="68"/>
      <c r="AB476" s="177"/>
      <c r="AC476" s="68"/>
      <c r="AD476" s="68"/>
      <c r="AE476" s="177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</row>
    <row r="477" spans="1:63" ht="13.8" x14ac:dyDescent="0.3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176"/>
      <c r="V477" s="68"/>
      <c r="W477" s="68"/>
      <c r="X477" s="68"/>
      <c r="Y477" s="68"/>
      <c r="Z477" s="68"/>
      <c r="AA477" s="68"/>
      <c r="AB477" s="177"/>
      <c r="AC477" s="68"/>
      <c r="AD477" s="68"/>
      <c r="AE477" s="177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</row>
    <row r="478" spans="1:63" ht="13.8" x14ac:dyDescent="0.3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176"/>
      <c r="V478" s="68"/>
      <c r="W478" s="68"/>
      <c r="X478" s="68"/>
      <c r="Y478" s="68"/>
      <c r="Z478" s="68"/>
      <c r="AA478" s="68"/>
      <c r="AB478" s="177"/>
      <c r="AC478" s="68"/>
      <c r="AD478" s="68"/>
      <c r="AE478" s="177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</row>
    <row r="479" spans="1:63" ht="13.8" x14ac:dyDescent="0.3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176"/>
      <c r="V479" s="68"/>
      <c r="W479" s="68"/>
      <c r="X479" s="68"/>
      <c r="Y479" s="68"/>
      <c r="Z479" s="68"/>
      <c r="AA479" s="68"/>
      <c r="AB479" s="177"/>
      <c r="AC479" s="68"/>
      <c r="AD479" s="68"/>
      <c r="AE479" s="177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</row>
    <row r="480" spans="1:63" ht="13.8" x14ac:dyDescent="0.3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176"/>
      <c r="V480" s="68"/>
      <c r="W480" s="68"/>
      <c r="X480" s="68"/>
      <c r="Y480" s="68"/>
      <c r="Z480" s="68"/>
      <c r="AA480" s="68"/>
      <c r="AB480" s="177"/>
      <c r="AC480" s="68"/>
      <c r="AD480" s="68"/>
      <c r="AE480" s="177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</row>
    <row r="481" spans="1:63" ht="13.8" x14ac:dyDescent="0.3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176"/>
      <c r="V481" s="68"/>
      <c r="W481" s="68"/>
      <c r="X481" s="68"/>
      <c r="Y481" s="68"/>
      <c r="Z481" s="68"/>
      <c r="AA481" s="68"/>
      <c r="AB481" s="177"/>
      <c r="AC481" s="68"/>
      <c r="AD481" s="68"/>
      <c r="AE481" s="177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</row>
    <row r="482" spans="1:63" ht="13.8" x14ac:dyDescent="0.3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176"/>
      <c r="V482" s="68"/>
      <c r="W482" s="68"/>
      <c r="X482" s="68"/>
      <c r="Y482" s="68"/>
      <c r="Z482" s="68"/>
      <c r="AA482" s="68"/>
      <c r="AB482" s="177"/>
      <c r="AC482" s="68"/>
      <c r="AD482" s="68"/>
      <c r="AE482" s="177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</row>
    <row r="483" spans="1:63" ht="13.8" x14ac:dyDescent="0.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176"/>
      <c r="V483" s="68"/>
      <c r="W483" s="68"/>
      <c r="X483" s="68"/>
      <c r="Y483" s="68"/>
      <c r="Z483" s="68"/>
      <c r="AA483" s="68"/>
      <c r="AB483" s="177"/>
      <c r="AC483" s="68"/>
      <c r="AD483" s="68"/>
      <c r="AE483" s="177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</row>
    <row r="484" spans="1:63" ht="13.8" x14ac:dyDescent="0.3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176"/>
      <c r="V484" s="68"/>
      <c r="W484" s="68"/>
      <c r="X484" s="68"/>
      <c r="Y484" s="68"/>
      <c r="Z484" s="68"/>
      <c r="AA484" s="68"/>
      <c r="AB484" s="177"/>
      <c r="AC484" s="68"/>
      <c r="AD484" s="68"/>
      <c r="AE484" s="177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</row>
    <row r="485" spans="1:63" ht="13.8" x14ac:dyDescent="0.3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176"/>
      <c r="V485" s="68"/>
      <c r="W485" s="68"/>
      <c r="X485" s="68"/>
      <c r="Y485" s="68"/>
      <c r="Z485" s="68"/>
      <c r="AA485" s="68"/>
      <c r="AB485" s="177"/>
      <c r="AC485" s="68"/>
      <c r="AD485" s="68"/>
      <c r="AE485" s="177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</row>
    <row r="486" spans="1:63" ht="13.8" x14ac:dyDescent="0.3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176"/>
      <c r="V486" s="68"/>
      <c r="W486" s="68"/>
      <c r="X486" s="68"/>
      <c r="Y486" s="68"/>
      <c r="Z486" s="68"/>
      <c r="AA486" s="68"/>
      <c r="AB486" s="177"/>
      <c r="AC486" s="68"/>
      <c r="AD486" s="68"/>
      <c r="AE486" s="177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</row>
    <row r="487" spans="1:63" ht="13.8" x14ac:dyDescent="0.3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176"/>
      <c r="V487" s="68"/>
      <c r="W487" s="68"/>
      <c r="X487" s="68"/>
      <c r="Y487" s="68"/>
      <c r="Z487" s="68"/>
      <c r="AA487" s="68"/>
      <c r="AB487" s="177"/>
      <c r="AC487" s="68"/>
      <c r="AD487" s="68"/>
      <c r="AE487" s="177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</row>
    <row r="488" spans="1:63" ht="13.8" x14ac:dyDescent="0.3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176"/>
      <c r="V488" s="68"/>
      <c r="W488" s="68"/>
      <c r="X488" s="68"/>
      <c r="Y488" s="68"/>
      <c r="Z488" s="68"/>
      <c r="AA488" s="68"/>
      <c r="AB488" s="177"/>
      <c r="AC488" s="68"/>
      <c r="AD488" s="68"/>
      <c r="AE488" s="177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</row>
    <row r="489" spans="1:63" ht="13.8" x14ac:dyDescent="0.3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176"/>
      <c r="V489" s="68"/>
      <c r="W489" s="68"/>
      <c r="X489" s="68"/>
      <c r="Y489" s="68"/>
      <c r="Z489" s="68"/>
      <c r="AA489" s="68"/>
      <c r="AB489" s="177"/>
      <c r="AC489" s="68"/>
      <c r="AD489" s="68"/>
      <c r="AE489" s="177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</row>
    <row r="490" spans="1:63" ht="13.8" x14ac:dyDescent="0.3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176"/>
      <c r="V490" s="68"/>
      <c r="W490" s="68"/>
      <c r="X490" s="68"/>
      <c r="Y490" s="68"/>
      <c r="Z490" s="68"/>
      <c r="AA490" s="68"/>
      <c r="AB490" s="177"/>
      <c r="AC490" s="68"/>
      <c r="AD490" s="68"/>
      <c r="AE490" s="177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</row>
    <row r="491" spans="1:63" ht="13.8" x14ac:dyDescent="0.3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176"/>
      <c r="V491" s="68"/>
      <c r="W491" s="68"/>
      <c r="X491" s="68"/>
      <c r="Y491" s="68"/>
      <c r="Z491" s="68"/>
      <c r="AA491" s="68"/>
      <c r="AB491" s="177"/>
      <c r="AC491" s="68"/>
      <c r="AD491" s="68"/>
      <c r="AE491" s="177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</row>
    <row r="492" spans="1:63" ht="13.8" x14ac:dyDescent="0.3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176"/>
      <c r="V492" s="68"/>
      <c r="W492" s="68"/>
      <c r="X492" s="68"/>
      <c r="Y492" s="68"/>
      <c r="Z492" s="68"/>
      <c r="AA492" s="68"/>
      <c r="AB492" s="177"/>
      <c r="AC492" s="68"/>
      <c r="AD492" s="68"/>
      <c r="AE492" s="177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</row>
    <row r="493" spans="1:63" ht="13.8" x14ac:dyDescent="0.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176"/>
      <c r="V493" s="68"/>
      <c r="W493" s="68"/>
      <c r="X493" s="68"/>
      <c r="Y493" s="68"/>
      <c r="Z493" s="68"/>
      <c r="AA493" s="68"/>
      <c r="AB493" s="177"/>
      <c r="AC493" s="68"/>
      <c r="AD493" s="68"/>
      <c r="AE493" s="177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</row>
    <row r="494" spans="1:63" ht="13.8" x14ac:dyDescent="0.3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176"/>
      <c r="V494" s="68"/>
      <c r="W494" s="68"/>
      <c r="X494" s="68"/>
      <c r="Y494" s="68"/>
      <c r="Z494" s="68"/>
      <c r="AA494" s="68"/>
      <c r="AB494" s="177"/>
      <c r="AC494" s="68"/>
      <c r="AD494" s="68"/>
      <c r="AE494" s="177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</row>
    <row r="495" spans="1:63" ht="13.8" x14ac:dyDescent="0.3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176"/>
      <c r="V495" s="68"/>
      <c r="W495" s="68"/>
      <c r="X495" s="68"/>
      <c r="Y495" s="68"/>
      <c r="Z495" s="68"/>
      <c r="AA495" s="68"/>
      <c r="AB495" s="177"/>
      <c r="AC495" s="68"/>
      <c r="AD495" s="68"/>
      <c r="AE495" s="177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</row>
    <row r="496" spans="1:63" ht="13.8" x14ac:dyDescent="0.3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176"/>
      <c r="V496" s="68"/>
      <c r="W496" s="68"/>
      <c r="X496" s="68"/>
      <c r="Y496" s="68"/>
      <c r="Z496" s="68"/>
      <c r="AA496" s="68"/>
      <c r="AB496" s="177"/>
      <c r="AC496" s="68"/>
      <c r="AD496" s="68"/>
      <c r="AE496" s="177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</row>
    <row r="497" spans="1:63" ht="13.8" x14ac:dyDescent="0.3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176"/>
      <c r="V497" s="68"/>
      <c r="W497" s="68"/>
      <c r="X497" s="68"/>
      <c r="Y497" s="68"/>
      <c r="Z497" s="68"/>
      <c r="AA497" s="68"/>
      <c r="AB497" s="177"/>
      <c r="AC497" s="68"/>
      <c r="AD497" s="68"/>
      <c r="AE497" s="177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</row>
    <row r="498" spans="1:63" ht="13.8" x14ac:dyDescent="0.3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176"/>
      <c r="V498" s="68"/>
      <c r="W498" s="68"/>
      <c r="X498" s="68"/>
      <c r="Y498" s="68"/>
      <c r="Z498" s="68"/>
      <c r="AA498" s="68"/>
      <c r="AB498" s="177"/>
      <c r="AC498" s="68"/>
      <c r="AD498" s="68"/>
      <c r="AE498" s="177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</row>
    <row r="499" spans="1:63" ht="13.8" x14ac:dyDescent="0.3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176"/>
      <c r="V499" s="68"/>
      <c r="W499" s="68"/>
      <c r="X499" s="68"/>
      <c r="Y499" s="68"/>
      <c r="Z499" s="68"/>
      <c r="AA499" s="68"/>
      <c r="AB499" s="177"/>
      <c r="AC499" s="68"/>
      <c r="AD499" s="68"/>
      <c r="AE499" s="177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</row>
    <row r="500" spans="1:63" ht="13.8" x14ac:dyDescent="0.3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176"/>
      <c r="V500" s="68"/>
      <c r="W500" s="68"/>
      <c r="X500" s="68"/>
      <c r="Y500" s="68"/>
      <c r="Z500" s="68"/>
      <c r="AA500" s="68"/>
      <c r="AB500" s="177"/>
      <c r="AC500" s="68"/>
      <c r="AD500" s="68"/>
      <c r="AE500" s="177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</row>
    <row r="501" spans="1:63" ht="13.8" x14ac:dyDescent="0.3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176"/>
      <c r="V501" s="68"/>
      <c r="W501" s="68"/>
      <c r="X501" s="68"/>
      <c r="Y501" s="68"/>
      <c r="Z501" s="68"/>
      <c r="AA501" s="68"/>
      <c r="AB501" s="177"/>
      <c r="AC501" s="68"/>
      <c r="AD501" s="68"/>
      <c r="AE501" s="177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</row>
    <row r="502" spans="1:63" ht="13.8" x14ac:dyDescent="0.3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176"/>
      <c r="V502" s="68"/>
      <c r="W502" s="68"/>
      <c r="X502" s="68"/>
      <c r="Y502" s="68"/>
      <c r="Z502" s="68"/>
      <c r="AA502" s="68"/>
      <c r="AB502" s="177"/>
      <c r="AC502" s="68"/>
      <c r="AD502" s="68"/>
      <c r="AE502" s="177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</row>
    <row r="503" spans="1:63" ht="13.8" x14ac:dyDescent="0.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176"/>
      <c r="V503" s="68"/>
      <c r="W503" s="68"/>
      <c r="X503" s="68"/>
      <c r="Y503" s="68"/>
      <c r="Z503" s="68"/>
      <c r="AA503" s="68"/>
      <c r="AB503" s="177"/>
      <c r="AC503" s="68"/>
      <c r="AD503" s="68"/>
      <c r="AE503" s="177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</row>
    <row r="504" spans="1:63" ht="13.8" x14ac:dyDescent="0.3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176"/>
      <c r="V504" s="68"/>
      <c r="W504" s="68"/>
      <c r="X504" s="68"/>
      <c r="Y504" s="68"/>
      <c r="Z504" s="68"/>
      <c r="AA504" s="68"/>
      <c r="AB504" s="177"/>
      <c r="AC504" s="68"/>
      <c r="AD504" s="68"/>
      <c r="AE504" s="177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</row>
    <row r="505" spans="1:63" ht="13.8" x14ac:dyDescent="0.3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176"/>
      <c r="V505" s="68"/>
      <c r="W505" s="68"/>
      <c r="X505" s="68"/>
      <c r="Y505" s="68"/>
      <c r="Z505" s="68"/>
      <c r="AA505" s="68"/>
      <c r="AB505" s="177"/>
      <c r="AC505" s="68"/>
      <c r="AD505" s="68"/>
      <c r="AE505" s="177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</row>
    <row r="506" spans="1:63" ht="13.8" x14ac:dyDescent="0.3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176"/>
      <c r="V506" s="68"/>
      <c r="W506" s="68"/>
      <c r="X506" s="68"/>
      <c r="Y506" s="68"/>
      <c r="Z506" s="68"/>
      <c r="AA506" s="68"/>
      <c r="AB506" s="177"/>
      <c r="AC506" s="68"/>
      <c r="AD506" s="68"/>
      <c r="AE506" s="177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</row>
    <row r="507" spans="1:63" ht="13.8" x14ac:dyDescent="0.3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176"/>
      <c r="V507" s="68"/>
      <c r="W507" s="68"/>
      <c r="X507" s="68"/>
      <c r="Y507" s="68"/>
      <c r="Z507" s="68"/>
      <c r="AA507" s="68"/>
      <c r="AB507" s="177"/>
      <c r="AC507" s="68"/>
      <c r="AD507" s="68"/>
      <c r="AE507" s="177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</row>
    <row r="508" spans="1:63" ht="13.8" x14ac:dyDescent="0.3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176"/>
      <c r="V508" s="68"/>
      <c r="W508" s="68"/>
      <c r="X508" s="68"/>
      <c r="Y508" s="68"/>
      <c r="Z508" s="68"/>
      <c r="AA508" s="68"/>
      <c r="AB508" s="177"/>
      <c r="AC508" s="68"/>
      <c r="AD508" s="68"/>
      <c r="AE508" s="177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</row>
    <row r="509" spans="1:63" ht="13.8" x14ac:dyDescent="0.3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176"/>
      <c r="V509" s="68"/>
      <c r="W509" s="68"/>
      <c r="X509" s="68"/>
      <c r="Y509" s="68"/>
      <c r="Z509" s="68"/>
      <c r="AA509" s="68"/>
      <c r="AB509" s="177"/>
      <c r="AC509" s="68"/>
      <c r="AD509" s="68"/>
      <c r="AE509" s="177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</row>
    <row r="510" spans="1:63" ht="13.8" x14ac:dyDescent="0.3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176"/>
      <c r="V510" s="68"/>
      <c r="W510" s="68"/>
      <c r="X510" s="68"/>
      <c r="Y510" s="68"/>
      <c r="Z510" s="68"/>
      <c r="AA510" s="68"/>
      <c r="AB510" s="177"/>
      <c r="AC510" s="68"/>
      <c r="AD510" s="68"/>
      <c r="AE510" s="177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</row>
    <row r="511" spans="1:63" ht="13.8" x14ac:dyDescent="0.3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176"/>
      <c r="V511" s="68"/>
      <c r="W511" s="68"/>
      <c r="X511" s="68"/>
      <c r="Y511" s="68"/>
      <c r="Z511" s="68"/>
      <c r="AA511" s="68"/>
      <c r="AB511" s="177"/>
      <c r="AC511" s="68"/>
      <c r="AD511" s="68"/>
      <c r="AE511" s="177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</row>
    <row r="512" spans="1:63" ht="13.8" x14ac:dyDescent="0.3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176"/>
      <c r="V512" s="68"/>
      <c r="W512" s="68"/>
      <c r="X512" s="68"/>
      <c r="Y512" s="68"/>
      <c r="Z512" s="68"/>
      <c r="AA512" s="68"/>
      <c r="AB512" s="177"/>
      <c r="AC512" s="68"/>
      <c r="AD512" s="68"/>
      <c r="AE512" s="177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</row>
    <row r="513" spans="1:63" ht="13.8" x14ac:dyDescent="0.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176"/>
      <c r="V513" s="68"/>
      <c r="W513" s="68"/>
      <c r="X513" s="68"/>
      <c r="Y513" s="68"/>
      <c r="Z513" s="68"/>
      <c r="AA513" s="68"/>
      <c r="AB513" s="177"/>
      <c r="AC513" s="68"/>
      <c r="AD513" s="68"/>
      <c r="AE513" s="177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</row>
    <row r="514" spans="1:63" ht="13.8" x14ac:dyDescent="0.3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176"/>
      <c r="V514" s="68"/>
      <c r="W514" s="68"/>
      <c r="X514" s="68"/>
      <c r="Y514" s="68"/>
      <c r="Z514" s="68"/>
      <c r="AA514" s="68"/>
      <c r="AB514" s="177"/>
      <c r="AC514" s="68"/>
      <c r="AD514" s="68"/>
      <c r="AE514" s="177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</row>
    <row r="515" spans="1:63" ht="13.8" x14ac:dyDescent="0.3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176"/>
      <c r="V515" s="68"/>
      <c r="W515" s="68"/>
      <c r="X515" s="68"/>
      <c r="Y515" s="68"/>
      <c r="Z515" s="68"/>
      <c r="AA515" s="68"/>
      <c r="AB515" s="177"/>
      <c r="AC515" s="68"/>
      <c r="AD515" s="68"/>
      <c r="AE515" s="177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</row>
    <row r="516" spans="1:63" ht="13.8" x14ac:dyDescent="0.3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176"/>
      <c r="V516" s="68"/>
      <c r="W516" s="68"/>
      <c r="X516" s="68"/>
      <c r="Y516" s="68"/>
      <c r="Z516" s="68"/>
      <c r="AA516" s="68"/>
      <c r="AB516" s="177"/>
      <c r="AC516" s="68"/>
      <c r="AD516" s="68"/>
      <c r="AE516" s="177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</row>
    <row r="517" spans="1:63" ht="13.8" x14ac:dyDescent="0.3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176"/>
      <c r="V517" s="68"/>
      <c r="W517" s="68"/>
      <c r="X517" s="68"/>
      <c r="Y517" s="68"/>
      <c r="Z517" s="68"/>
      <c r="AA517" s="68"/>
      <c r="AB517" s="177"/>
      <c r="AC517" s="68"/>
      <c r="AD517" s="68"/>
      <c r="AE517" s="177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</row>
    <row r="518" spans="1:63" ht="13.8" x14ac:dyDescent="0.3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176"/>
      <c r="V518" s="68"/>
      <c r="W518" s="68"/>
      <c r="X518" s="68"/>
      <c r="Y518" s="68"/>
      <c r="Z518" s="68"/>
      <c r="AA518" s="68"/>
      <c r="AB518" s="177"/>
      <c r="AC518" s="68"/>
      <c r="AD518" s="68"/>
      <c r="AE518" s="177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</row>
    <row r="519" spans="1:63" ht="13.8" x14ac:dyDescent="0.3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176"/>
      <c r="V519" s="68"/>
      <c r="W519" s="68"/>
      <c r="X519" s="68"/>
      <c r="Y519" s="68"/>
      <c r="Z519" s="68"/>
      <c r="AA519" s="68"/>
      <c r="AB519" s="177"/>
      <c r="AC519" s="68"/>
      <c r="AD519" s="68"/>
      <c r="AE519" s="177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</row>
    <row r="520" spans="1:63" ht="13.8" x14ac:dyDescent="0.3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176"/>
      <c r="V520" s="68"/>
      <c r="W520" s="68"/>
      <c r="X520" s="68"/>
      <c r="Y520" s="68"/>
      <c r="Z520" s="68"/>
      <c r="AA520" s="68"/>
      <c r="AB520" s="177"/>
      <c r="AC520" s="68"/>
      <c r="AD520" s="68"/>
      <c r="AE520" s="177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</row>
    <row r="521" spans="1:63" ht="13.8" x14ac:dyDescent="0.3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176"/>
      <c r="V521" s="68"/>
      <c r="W521" s="68"/>
      <c r="X521" s="68"/>
      <c r="Y521" s="68"/>
      <c r="Z521" s="68"/>
      <c r="AA521" s="68"/>
      <c r="AB521" s="177"/>
      <c r="AC521" s="68"/>
      <c r="AD521" s="68"/>
      <c r="AE521" s="177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</row>
    <row r="522" spans="1:63" ht="13.8" x14ac:dyDescent="0.3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176"/>
      <c r="V522" s="68"/>
      <c r="W522" s="68"/>
      <c r="X522" s="68"/>
      <c r="Y522" s="68"/>
      <c r="Z522" s="68"/>
      <c r="AA522" s="68"/>
      <c r="AB522" s="177"/>
      <c r="AC522" s="68"/>
      <c r="AD522" s="68"/>
      <c r="AE522" s="177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</row>
    <row r="523" spans="1:63" ht="13.8" x14ac:dyDescent="0.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176"/>
      <c r="V523" s="68"/>
      <c r="W523" s="68"/>
      <c r="X523" s="68"/>
      <c r="Y523" s="68"/>
      <c r="Z523" s="68"/>
      <c r="AA523" s="68"/>
      <c r="AB523" s="177"/>
      <c r="AC523" s="68"/>
      <c r="AD523" s="68"/>
      <c r="AE523" s="177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</row>
    <row r="524" spans="1:63" ht="13.8" x14ac:dyDescent="0.3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176"/>
      <c r="V524" s="68"/>
      <c r="W524" s="68"/>
      <c r="X524" s="68"/>
      <c r="Y524" s="68"/>
      <c r="Z524" s="68"/>
      <c r="AA524" s="68"/>
      <c r="AB524" s="177"/>
      <c r="AC524" s="68"/>
      <c r="AD524" s="68"/>
      <c r="AE524" s="177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</row>
    <row r="525" spans="1:63" ht="13.8" x14ac:dyDescent="0.3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176"/>
      <c r="V525" s="68"/>
      <c r="W525" s="68"/>
      <c r="X525" s="68"/>
      <c r="Y525" s="68"/>
      <c r="Z525" s="68"/>
      <c r="AA525" s="68"/>
      <c r="AB525" s="177"/>
      <c r="AC525" s="68"/>
      <c r="AD525" s="68"/>
      <c r="AE525" s="177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</row>
    <row r="526" spans="1:63" ht="13.8" x14ac:dyDescent="0.3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176"/>
      <c r="V526" s="68"/>
      <c r="W526" s="68"/>
      <c r="X526" s="68"/>
      <c r="Y526" s="68"/>
      <c r="Z526" s="68"/>
      <c r="AA526" s="68"/>
      <c r="AB526" s="177"/>
      <c r="AC526" s="68"/>
      <c r="AD526" s="68"/>
      <c r="AE526" s="177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</row>
    <row r="527" spans="1:63" ht="13.8" x14ac:dyDescent="0.3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176"/>
      <c r="V527" s="68"/>
      <c r="W527" s="68"/>
      <c r="X527" s="68"/>
      <c r="Y527" s="68"/>
      <c r="Z527" s="68"/>
      <c r="AA527" s="68"/>
      <c r="AB527" s="177"/>
      <c r="AC527" s="68"/>
      <c r="AD527" s="68"/>
      <c r="AE527" s="177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</row>
    <row r="528" spans="1:63" ht="13.8" x14ac:dyDescent="0.3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176"/>
      <c r="V528" s="68"/>
      <c r="W528" s="68"/>
      <c r="X528" s="68"/>
      <c r="Y528" s="68"/>
      <c r="Z528" s="68"/>
      <c r="AA528" s="68"/>
      <c r="AB528" s="177"/>
      <c r="AC528" s="68"/>
      <c r="AD528" s="68"/>
      <c r="AE528" s="177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</row>
    <row r="529" spans="1:63" ht="13.8" x14ac:dyDescent="0.3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176"/>
      <c r="V529" s="68"/>
      <c r="W529" s="68"/>
      <c r="X529" s="68"/>
      <c r="Y529" s="68"/>
      <c r="Z529" s="68"/>
      <c r="AA529" s="68"/>
      <c r="AB529" s="177"/>
      <c r="AC529" s="68"/>
      <c r="AD529" s="68"/>
      <c r="AE529" s="177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</row>
    <row r="530" spans="1:63" ht="13.8" x14ac:dyDescent="0.3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176"/>
      <c r="V530" s="68"/>
      <c r="W530" s="68"/>
      <c r="X530" s="68"/>
      <c r="Y530" s="68"/>
      <c r="Z530" s="68"/>
      <c r="AA530" s="68"/>
      <c r="AB530" s="177"/>
      <c r="AC530" s="68"/>
      <c r="AD530" s="68"/>
      <c r="AE530" s="177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</row>
    <row r="531" spans="1:63" ht="13.8" x14ac:dyDescent="0.3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176"/>
      <c r="V531" s="68"/>
      <c r="W531" s="68"/>
      <c r="X531" s="68"/>
      <c r="Y531" s="68"/>
      <c r="Z531" s="68"/>
      <c r="AA531" s="68"/>
      <c r="AB531" s="177"/>
      <c r="AC531" s="68"/>
      <c r="AD531" s="68"/>
      <c r="AE531" s="177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</row>
    <row r="532" spans="1:63" ht="13.8" x14ac:dyDescent="0.3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176"/>
      <c r="V532" s="68"/>
      <c r="W532" s="68"/>
      <c r="X532" s="68"/>
      <c r="Y532" s="68"/>
      <c r="Z532" s="68"/>
      <c r="AA532" s="68"/>
      <c r="AB532" s="177"/>
      <c r="AC532" s="68"/>
      <c r="AD532" s="68"/>
      <c r="AE532" s="177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</row>
    <row r="533" spans="1:63" ht="13.8" x14ac:dyDescent="0.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176"/>
      <c r="V533" s="68"/>
      <c r="W533" s="68"/>
      <c r="X533" s="68"/>
      <c r="Y533" s="68"/>
      <c r="Z533" s="68"/>
      <c r="AA533" s="68"/>
      <c r="AB533" s="177"/>
      <c r="AC533" s="68"/>
      <c r="AD533" s="68"/>
      <c r="AE533" s="177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</row>
    <row r="534" spans="1:63" ht="13.8" x14ac:dyDescent="0.3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176"/>
      <c r="V534" s="68"/>
      <c r="W534" s="68"/>
      <c r="X534" s="68"/>
      <c r="Y534" s="68"/>
      <c r="Z534" s="68"/>
      <c r="AA534" s="68"/>
      <c r="AB534" s="177"/>
      <c r="AC534" s="68"/>
      <c r="AD534" s="68"/>
      <c r="AE534" s="177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</row>
    <row r="535" spans="1:63" ht="13.8" x14ac:dyDescent="0.3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176"/>
      <c r="V535" s="68"/>
      <c r="W535" s="68"/>
      <c r="X535" s="68"/>
      <c r="Y535" s="68"/>
      <c r="Z535" s="68"/>
      <c r="AA535" s="68"/>
      <c r="AB535" s="177"/>
      <c r="AC535" s="68"/>
      <c r="AD535" s="68"/>
      <c r="AE535" s="177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</row>
    <row r="536" spans="1:63" ht="13.8" x14ac:dyDescent="0.3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176"/>
      <c r="V536" s="68"/>
      <c r="W536" s="68"/>
      <c r="X536" s="68"/>
      <c r="Y536" s="68"/>
      <c r="Z536" s="68"/>
      <c r="AA536" s="68"/>
      <c r="AB536" s="177"/>
      <c r="AC536" s="68"/>
      <c r="AD536" s="68"/>
      <c r="AE536" s="177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</row>
    <row r="537" spans="1:63" ht="13.8" x14ac:dyDescent="0.3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176"/>
      <c r="V537" s="68"/>
      <c r="W537" s="68"/>
      <c r="X537" s="68"/>
      <c r="Y537" s="68"/>
      <c r="Z537" s="68"/>
      <c r="AA537" s="68"/>
      <c r="AB537" s="177"/>
      <c r="AC537" s="68"/>
      <c r="AD537" s="68"/>
      <c r="AE537" s="177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</row>
    <row r="538" spans="1:63" ht="13.8" x14ac:dyDescent="0.3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176"/>
      <c r="V538" s="68"/>
      <c r="W538" s="68"/>
      <c r="X538" s="68"/>
      <c r="Y538" s="68"/>
      <c r="Z538" s="68"/>
      <c r="AA538" s="68"/>
      <c r="AB538" s="177"/>
      <c r="AC538" s="68"/>
      <c r="AD538" s="68"/>
      <c r="AE538" s="177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</row>
    <row r="539" spans="1:63" ht="13.8" x14ac:dyDescent="0.3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176"/>
      <c r="V539" s="68"/>
      <c r="W539" s="68"/>
      <c r="X539" s="68"/>
      <c r="Y539" s="68"/>
      <c r="Z539" s="68"/>
      <c r="AA539" s="68"/>
      <c r="AB539" s="177"/>
      <c r="AC539" s="68"/>
      <c r="AD539" s="68"/>
      <c r="AE539" s="177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</row>
    <row r="540" spans="1:63" ht="13.8" x14ac:dyDescent="0.3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176"/>
      <c r="V540" s="68"/>
      <c r="W540" s="68"/>
      <c r="X540" s="68"/>
      <c r="Y540" s="68"/>
      <c r="Z540" s="68"/>
      <c r="AA540" s="68"/>
      <c r="AB540" s="177"/>
      <c r="AC540" s="68"/>
      <c r="AD540" s="68"/>
      <c r="AE540" s="177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</row>
    <row r="541" spans="1:63" ht="13.8" x14ac:dyDescent="0.3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176"/>
      <c r="V541" s="68"/>
      <c r="W541" s="68"/>
      <c r="X541" s="68"/>
      <c r="Y541" s="68"/>
      <c r="Z541" s="68"/>
      <c r="AA541" s="68"/>
      <c r="AB541" s="177"/>
      <c r="AC541" s="68"/>
      <c r="AD541" s="68"/>
      <c r="AE541" s="177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</row>
    <row r="542" spans="1:63" ht="13.8" x14ac:dyDescent="0.3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176"/>
      <c r="V542" s="68"/>
      <c r="W542" s="68"/>
      <c r="X542" s="68"/>
      <c r="Y542" s="68"/>
      <c r="Z542" s="68"/>
      <c r="AA542" s="68"/>
      <c r="AB542" s="177"/>
      <c r="AC542" s="68"/>
      <c r="AD542" s="68"/>
      <c r="AE542" s="177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</row>
    <row r="543" spans="1:63" ht="13.8" x14ac:dyDescent="0.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176"/>
      <c r="V543" s="68"/>
      <c r="W543" s="68"/>
      <c r="X543" s="68"/>
      <c r="Y543" s="68"/>
      <c r="Z543" s="68"/>
      <c r="AA543" s="68"/>
      <c r="AB543" s="177"/>
      <c r="AC543" s="68"/>
      <c r="AD543" s="68"/>
      <c r="AE543" s="177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</row>
    <row r="544" spans="1:63" ht="13.8" x14ac:dyDescent="0.3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176"/>
      <c r="V544" s="68"/>
      <c r="W544" s="68"/>
      <c r="X544" s="68"/>
      <c r="Y544" s="68"/>
      <c r="Z544" s="68"/>
      <c r="AA544" s="68"/>
      <c r="AB544" s="177"/>
      <c r="AC544" s="68"/>
      <c r="AD544" s="68"/>
      <c r="AE544" s="177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</row>
    <row r="545" spans="1:63" ht="13.8" x14ac:dyDescent="0.3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176"/>
      <c r="V545" s="68"/>
      <c r="W545" s="68"/>
      <c r="X545" s="68"/>
      <c r="Y545" s="68"/>
      <c r="Z545" s="68"/>
      <c r="AA545" s="68"/>
      <c r="AB545" s="177"/>
      <c r="AC545" s="68"/>
      <c r="AD545" s="68"/>
      <c r="AE545" s="177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</row>
    <row r="546" spans="1:63" ht="13.8" x14ac:dyDescent="0.3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176"/>
      <c r="V546" s="68"/>
      <c r="W546" s="68"/>
      <c r="X546" s="68"/>
      <c r="Y546" s="68"/>
      <c r="Z546" s="68"/>
      <c r="AA546" s="68"/>
      <c r="AB546" s="177"/>
      <c r="AC546" s="68"/>
      <c r="AD546" s="68"/>
      <c r="AE546" s="177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</row>
    <row r="547" spans="1:63" ht="13.8" x14ac:dyDescent="0.3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176"/>
      <c r="V547" s="68"/>
      <c r="W547" s="68"/>
      <c r="X547" s="68"/>
      <c r="Y547" s="68"/>
      <c r="Z547" s="68"/>
      <c r="AA547" s="68"/>
      <c r="AB547" s="177"/>
      <c r="AC547" s="68"/>
      <c r="AD547" s="68"/>
      <c r="AE547" s="177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</row>
    <row r="548" spans="1:63" ht="13.8" x14ac:dyDescent="0.3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176"/>
      <c r="V548" s="68"/>
      <c r="W548" s="68"/>
      <c r="X548" s="68"/>
      <c r="Y548" s="68"/>
      <c r="Z548" s="68"/>
      <c r="AA548" s="68"/>
      <c r="AB548" s="177"/>
      <c r="AC548" s="68"/>
      <c r="AD548" s="68"/>
      <c r="AE548" s="177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</row>
    <row r="549" spans="1:63" ht="13.8" x14ac:dyDescent="0.3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176"/>
      <c r="V549" s="68"/>
      <c r="W549" s="68"/>
      <c r="X549" s="68"/>
      <c r="Y549" s="68"/>
      <c r="Z549" s="68"/>
      <c r="AA549" s="68"/>
      <c r="AB549" s="177"/>
      <c r="AC549" s="68"/>
      <c r="AD549" s="68"/>
      <c r="AE549" s="177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</row>
    <row r="550" spans="1:63" ht="13.8" x14ac:dyDescent="0.3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176"/>
      <c r="V550" s="68"/>
      <c r="W550" s="68"/>
      <c r="X550" s="68"/>
      <c r="Y550" s="68"/>
      <c r="Z550" s="68"/>
      <c r="AA550" s="68"/>
      <c r="AB550" s="177"/>
      <c r="AC550" s="68"/>
      <c r="AD550" s="68"/>
      <c r="AE550" s="177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</row>
    <row r="551" spans="1:63" ht="13.8" x14ac:dyDescent="0.3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176"/>
      <c r="V551" s="68"/>
      <c r="W551" s="68"/>
      <c r="X551" s="68"/>
      <c r="Y551" s="68"/>
      <c r="Z551" s="68"/>
      <c r="AA551" s="68"/>
      <c r="AB551" s="177"/>
      <c r="AC551" s="68"/>
      <c r="AD551" s="68"/>
      <c r="AE551" s="177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</row>
    <row r="552" spans="1:63" ht="13.8" x14ac:dyDescent="0.3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176"/>
      <c r="V552" s="68"/>
      <c r="W552" s="68"/>
      <c r="X552" s="68"/>
      <c r="Y552" s="68"/>
      <c r="Z552" s="68"/>
      <c r="AA552" s="68"/>
      <c r="AB552" s="177"/>
      <c r="AC552" s="68"/>
      <c r="AD552" s="68"/>
      <c r="AE552" s="177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</row>
    <row r="553" spans="1:63" ht="13.8" x14ac:dyDescent="0.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176"/>
      <c r="V553" s="68"/>
      <c r="W553" s="68"/>
      <c r="X553" s="68"/>
      <c r="Y553" s="68"/>
      <c r="Z553" s="68"/>
      <c r="AA553" s="68"/>
      <c r="AB553" s="177"/>
      <c r="AC553" s="68"/>
      <c r="AD553" s="68"/>
      <c r="AE553" s="177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</row>
    <row r="554" spans="1:63" ht="13.8" x14ac:dyDescent="0.3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176"/>
      <c r="V554" s="68"/>
      <c r="W554" s="68"/>
      <c r="X554" s="68"/>
      <c r="Y554" s="68"/>
      <c r="Z554" s="68"/>
      <c r="AA554" s="68"/>
      <c r="AB554" s="177"/>
      <c r="AC554" s="68"/>
      <c r="AD554" s="68"/>
      <c r="AE554" s="177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</row>
    <row r="555" spans="1:63" ht="13.8" x14ac:dyDescent="0.3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176"/>
      <c r="V555" s="68"/>
      <c r="W555" s="68"/>
      <c r="X555" s="68"/>
      <c r="Y555" s="68"/>
      <c r="Z555" s="68"/>
      <c r="AA555" s="68"/>
      <c r="AB555" s="177"/>
      <c r="AC555" s="68"/>
      <c r="AD555" s="68"/>
      <c r="AE555" s="177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</row>
    <row r="556" spans="1:63" ht="13.8" x14ac:dyDescent="0.3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176"/>
      <c r="V556" s="68"/>
      <c r="W556" s="68"/>
      <c r="X556" s="68"/>
      <c r="Y556" s="68"/>
      <c r="Z556" s="68"/>
      <c r="AA556" s="68"/>
      <c r="AB556" s="177"/>
      <c r="AC556" s="68"/>
      <c r="AD556" s="68"/>
      <c r="AE556" s="177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</row>
    <row r="557" spans="1:63" ht="13.8" x14ac:dyDescent="0.3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176"/>
      <c r="V557" s="68"/>
      <c r="W557" s="68"/>
      <c r="X557" s="68"/>
      <c r="Y557" s="68"/>
      <c r="Z557" s="68"/>
      <c r="AA557" s="68"/>
      <c r="AB557" s="177"/>
      <c r="AC557" s="68"/>
      <c r="AD557" s="68"/>
      <c r="AE557" s="177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</row>
    <row r="558" spans="1:63" ht="13.8" x14ac:dyDescent="0.3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176"/>
      <c r="V558" s="68"/>
      <c r="W558" s="68"/>
      <c r="X558" s="68"/>
      <c r="Y558" s="68"/>
      <c r="Z558" s="68"/>
      <c r="AA558" s="68"/>
      <c r="AB558" s="177"/>
      <c r="AC558" s="68"/>
      <c r="AD558" s="68"/>
      <c r="AE558" s="177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</row>
    <row r="559" spans="1:63" ht="13.8" x14ac:dyDescent="0.3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176"/>
      <c r="V559" s="68"/>
      <c r="W559" s="68"/>
      <c r="X559" s="68"/>
      <c r="Y559" s="68"/>
      <c r="Z559" s="68"/>
      <c r="AA559" s="68"/>
      <c r="AB559" s="177"/>
      <c r="AC559" s="68"/>
      <c r="AD559" s="68"/>
      <c r="AE559" s="177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</row>
    <row r="560" spans="1:63" ht="13.8" x14ac:dyDescent="0.3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176"/>
      <c r="V560" s="68"/>
      <c r="W560" s="68"/>
      <c r="X560" s="68"/>
      <c r="Y560" s="68"/>
      <c r="Z560" s="68"/>
      <c r="AA560" s="68"/>
      <c r="AB560" s="177"/>
      <c r="AC560" s="68"/>
      <c r="AD560" s="68"/>
      <c r="AE560" s="177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</row>
    <row r="561" spans="1:63" ht="13.8" x14ac:dyDescent="0.3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176"/>
      <c r="V561" s="68"/>
      <c r="W561" s="68"/>
      <c r="X561" s="68"/>
      <c r="Y561" s="68"/>
      <c r="Z561" s="68"/>
      <c r="AA561" s="68"/>
      <c r="AB561" s="177"/>
      <c r="AC561" s="68"/>
      <c r="AD561" s="68"/>
      <c r="AE561" s="177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</row>
    <row r="562" spans="1:63" ht="13.8" x14ac:dyDescent="0.3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176"/>
      <c r="V562" s="68"/>
      <c r="W562" s="68"/>
      <c r="X562" s="68"/>
      <c r="Y562" s="68"/>
      <c r="Z562" s="68"/>
      <c r="AA562" s="68"/>
      <c r="AB562" s="177"/>
      <c r="AC562" s="68"/>
      <c r="AD562" s="68"/>
      <c r="AE562" s="177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</row>
    <row r="563" spans="1:63" ht="13.8" x14ac:dyDescent="0.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176"/>
      <c r="V563" s="68"/>
      <c r="W563" s="68"/>
      <c r="X563" s="68"/>
      <c r="Y563" s="68"/>
      <c r="Z563" s="68"/>
      <c r="AA563" s="68"/>
      <c r="AB563" s="177"/>
      <c r="AC563" s="68"/>
      <c r="AD563" s="68"/>
      <c r="AE563" s="177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</row>
    <row r="564" spans="1:63" ht="13.8" x14ac:dyDescent="0.3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176"/>
      <c r="V564" s="68"/>
      <c r="W564" s="68"/>
      <c r="X564" s="68"/>
      <c r="Y564" s="68"/>
      <c r="Z564" s="68"/>
      <c r="AA564" s="68"/>
      <c r="AB564" s="177"/>
      <c r="AC564" s="68"/>
      <c r="AD564" s="68"/>
      <c r="AE564" s="177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</row>
    <row r="565" spans="1:63" ht="13.8" x14ac:dyDescent="0.3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176"/>
      <c r="V565" s="68"/>
      <c r="W565" s="68"/>
      <c r="X565" s="68"/>
      <c r="Y565" s="68"/>
      <c r="Z565" s="68"/>
      <c r="AA565" s="68"/>
      <c r="AB565" s="177"/>
      <c r="AC565" s="68"/>
      <c r="AD565" s="68"/>
      <c r="AE565" s="177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</row>
    <row r="566" spans="1:63" ht="13.8" x14ac:dyDescent="0.3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176"/>
      <c r="V566" s="68"/>
      <c r="W566" s="68"/>
      <c r="X566" s="68"/>
      <c r="Y566" s="68"/>
      <c r="Z566" s="68"/>
      <c r="AA566" s="68"/>
      <c r="AB566" s="177"/>
      <c r="AC566" s="68"/>
      <c r="AD566" s="68"/>
      <c r="AE566" s="177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</row>
    <row r="567" spans="1:63" ht="13.8" x14ac:dyDescent="0.3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176"/>
      <c r="V567" s="68"/>
      <c r="W567" s="68"/>
      <c r="X567" s="68"/>
      <c r="Y567" s="68"/>
      <c r="Z567" s="68"/>
      <c r="AA567" s="68"/>
      <c r="AB567" s="177"/>
      <c r="AC567" s="68"/>
      <c r="AD567" s="68"/>
      <c r="AE567" s="177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</row>
    <row r="568" spans="1:63" ht="13.8" x14ac:dyDescent="0.3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176"/>
      <c r="V568" s="68"/>
      <c r="W568" s="68"/>
      <c r="X568" s="68"/>
      <c r="Y568" s="68"/>
      <c r="Z568" s="68"/>
      <c r="AA568" s="68"/>
      <c r="AB568" s="177"/>
      <c r="AC568" s="68"/>
      <c r="AD568" s="68"/>
      <c r="AE568" s="177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</row>
    <row r="569" spans="1:63" ht="13.8" x14ac:dyDescent="0.3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176"/>
      <c r="V569" s="68"/>
      <c r="W569" s="68"/>
      <c r="X569" s="68"/>
      <c r="Y569" s="68"/>
      <c r="Z569" s="68"/>
      <c r="AA569" s="68"/>
      <c r="AB569" s="177"/>
      <c r="AC569" s="68"/>
      <c r="AD569" s="68"/>
      <c r="AE569" s="177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</row>
    <row r="570" spans="1:63" ht="13.8" x14ac:dyDescent="0.3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176"/>
      <c r="V570" s="68"/>
      <c r="W570" s="68"/>
      <c r="X570" s="68"/>
      <c r="Y570" s="68"/>
      <c r="Z570" s="68"/>
      <c r="AA570" s="68"/>
      <c r="AB570" s="177"/>
      <c r="AC570" s="68"/>
      <c r="AD570" s="68"/>
      <c r="AE570" s="177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</row>
    <row r="571" spans="1:63" ht="13.8" x14ac:dyDescent="0.3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176"/>
      <c r="V571" s="68"/>
      <c r="W571" s="68"/>
      <c r="X571" s="68"/>
      <c r="Y571" s="68"/>
      <c r="Z571" s="68"/>
      <c r="AA571" s="68"/>
      <c r="AB571" s="177"/>
      <c r="AC571" s="68"/>
      <c r="AD571" s="68"/>
      <c r="AE571" s="177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</row>
    <row r="572" spans="1:63" ht="13.8" x14ac:dyDescent="0.3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176"/>
      <c r="V572" s="68"/>
      <c r="W572" s="68"/>
      <c r="X572" s="68"/>
      <c r="Y572" s="68"/>
      <c r="Z572" s="68"/>
      <c r="AA572" s="68"/>
      <c r="AB572" s="177"/>
      <c r="AC572" s="68"/>
      <c r="AD572" s="68"/>
      <c r="AE572" s="177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</row>
    <row r="573" spans="1:63" ht="13.8" x14ac:dyDescent="0.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176"/>
      <c r="V573" s="68"/>
      <c r="W573" s="68"/>
      <c r="X573" s="68"/>
      <c r="Y573" s="68"/>
      <c r="Z573" s="68"/>
      <c r="AA573" s="68"/>
      <c r="AB573" s="177"/>
      <c r="AC573" s="68"/>
      <c r="AD573" s="68"/>
      <c r="AE573" s="177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</row>
    <row r="574" spans="1:63" ht="13.8" x14ac:dyDescent="0.3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176"/>
      <c r="V574" s="68"/>
      <c r="W574" s="68"/>
      <c r="X574" s="68"/>
      <c r="Y574" s="68"/>
      <c r="Z574" s="68"/>
      <c r="AA574" s="68"/>
      <c r="AB574" s="177"/>
      <c r="AC574" s="68"/>
      <c r="AD574" s="68"/>
      <c r="AE574" s="177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</row>
    <row r="575" spans="1:63" ht="13.8" x14ac:dyDescent="0.3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176"/>
      <c r="V575" s="68"/>
      <c r="W575" s="68"/>
      <c r="X575" s="68"/>
      <c r="Y575" s="68"/>
      <c r="Z575" s="68"/>
      <c r="AA575" s="68"/>
      <c r="AB575" s="177"/>
      <c r="AC575" s="68"/>
      <c r="AD575" s="68"/>
      <c r="AE575" s="177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</row>
    <row r="576" spans="1:63" ht="13.8" x14ac:dyDescent="0.3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176"/>
      <c r="V576" s="68"/>
      <c r="W576" s="68"/>
      <c r="X576" s="68"/>
      <c r="Y576" s="68"/>
      <c r="Z576" s="68"/>
      <c r="AA576" s="68"/>
      <c r="AB576" s="177"/>
      <c r="AC576" s="68"/>
      <c r="AD576" s="68"/>
      <c r="AE576" s="177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</row>
    <row r="577" spans="1:63" ht="13.8" x14ac:dyDescent="0.3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176"/>
      <c r="V577" s="68"/>
      <c r="W577" s="68"/>
      <c r="X577" s="68"/>
      <c r="Y577" s="68"/>
      <c r="Z577" s="68"/>
      <c r="AA577" s="68"/>
      <c r="AB577" s="177"/>
      <c r="AC577" s="68"/>
      <c r="AD577" s="68"/>
      <c r="AE577" s="177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</row>
    <row r="578" spans="1:63" ht="13.8" x14ac:dyDescent="0.3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176"/>
      <c r="V578" s="68"/>
      <c r="W578" s="68"/>
      <c r="X578" s="68"/>
      <c r="Y578" s="68"/>
      <c r="Z578" s="68"/>
      <c r="AA578" s="68"/>
      <c r="AB578" s="177"/>
      <c r="AC578" s="68"/>
      <c r="AD578" s="68"/>
      <c r="AE578" s="177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</row>
    <row r="579" spans="1:63" ht="13.8" x14ac:dyDescent="0.3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176"/>
      <c r="V579" s="68"/>
      <c r="W579" s="68"/>
      <c r="X579" s="68"/>
      <c r="Y579" s="68"/>
      <c r="Z579" s="68"/>
      <c r="AA579" s="68"/>
      <c r="AB579" s="177"/>
      <c r="AC579" s="68"/>
      <c r="AD579" s="68"/>
      <c r="AE579" s="177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</row>
    <row r="580" spans="1:63" ht="13.8" x14ac:dyDescent="0.3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176"/>
      <c r="V580" s="68"/>
      <c r="W580" s="68"/>
      <c r="X580" s="68"/>
      <c r="Y580" s="68"/>
      <c r="Z580" s="68"/>
      <c r="AA580" s="68"/>
      <c r="AB580" s="177"/>
      <c r="AC580" s="68"/>
      <c r="AD580" s="68"/>
      <c r="AE580" s="177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</row>
    <row r="581" spans="1:63" ht="13.8" x14ac:dyDescent="0.3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176"/>
      <c r="V581" s="68"/>
      <c r="W581" s="68"/>
      <c r="X581" s="68"/>
      <c r="Y581" s="68"/>
      <c r="Z581" s="68"/>
      <c r="AA581" s="68"/>
      <c r="AB581" s="177"/>
      <c r="AC581" s="68"/>
      <c r="AD581" s="68"/>
      <c r="AE581" s="177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</row>
    <row r="582" spans="1:63" ht="13.8" x14ac:dyDescent="0.3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176"/>
      <c r="V582" s="68"/>
      <c r="W582" s="68"/>
      <c r="X582" s="68"/>
      <c r="Y582" s="68"/>
      <c r="Z582" s="68"/>
      <c r="AA582" s="68"/>
      <c r="AB582" s="177"/>
      <c r="AC582" s="68"/>
      <c r="AD582" s="68"/>
      <c r="AE582" s="177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</row>
    <row r="583" spans="1:63" ht="13.8" x14ac:dyDescent="0.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176"/>
      <c r="V583" s="68"/>
      <c r="W583" s="68"/>
      <c r="X583" s="68"/>
      <c r="Y583" s="68"/>
      <c r="Z583" s="68"/>
      <c r="AA583" s="68"/>
      <c r="AB583" s="177"/>
      <c r="AC583" s="68"/>
      <c r="AD583" s="68"/>
      <c r="AE583" s="177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</row>
    <row r="584" spans="1:63" ht="13.8" x14ac:dyDescent="0.3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176"/>
      <c r="V584" s="68"/>
      <c r="W584" s="68"/>
      <c r="X584" s="68"/>
      <c r="Y584" s="68"/>
      <c r="Z584" s="68"/>
      <c r="AA584" s="68"/>
      <c r="AB584" s="177"/>
      <c r="AC584" s="68"/>
      <c r="AD584" s="68"/>
      <c r="AE584" s="177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</row>
    <row r="585" spans="1:63" ht="13.8" x14ac:dyDescent="0.3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176"/>
      <c r="V585" s="68"/>
      <c r="W585" s="68"/>
      <c r="X585" s="68"/>
      <c r="Y585" s="68"/>
      <c r="Z585" s="68"/>
      <c r="AA585" s="68"/>
      <c r="AB585" s="177"/>
      <c r="AC585" s="68"/>
      <c r="AD585" s="68"/>
      <c r="AE585" s="177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</row>
    <row r="586" spans="1:63" ht="13.8" x14ac:dyDescent="0.3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176"/>
      <c r="V586" s="68"/>
      <c r="W586" s="68"/>
      <c r="X586" s="68"/>
      <c r="Y586" s="68"/>
      <c r="Z586" s="68"/>
      <c r="AA586" s="68"/>
      <c r="AB586" s="177"/>
      <c r="AC586" s="68"/>
      <c r="AD586" s="68"/>
      <c r="AE586" s="177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</row>
    <row r="587" spans="1:63" ht="13.8" x14ac:dyDescent="0.3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176"/>
      <c r="V587" s="68"/>
      <c r="W587" s="68"/>
      <c r="X587" s="68"/>
      <c r="Y587" s="68"/>
      <c r="Z587" s="68"/>
      <c r="AA587" s="68"/>
      <c r="AB587" s="177"/>
      <c r="AC587" s="68"/>
      <c r="AD587" s="68"/>
      <c r="AE587" s="177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</row>
    <row r="588" spans="1:63" ht="13.8" x14ac:dyDescent="0.3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176"/>
      <c r="V588" s="68"/>
      <c r="W588" s="68"/>
      <c r="X588" s="68"/>
      <c r="Y588" s="68"/>
      <c r="Z588" s="68"/>
      <c r="AA588" s="68"/>
      <c r="AB588" s="177"/>
      <c r="AC588" s="68"/>
      <c r="AD588" s="68"/>
      <c r="AE588" s="177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</row>
    <row r="589" spans="1:63" ht="13.8" x14ac:dyDescent="0.3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176"/>
      <c r="V589" s="68"/>
      <c r="W589" s="68"/>
      <c r="X589" s="68"/>
      <c r="Y589" s="68"/>
      <c r="Z589" s="68"/>
      <c r="AA589" s="68"/>
      <c r="AB589" s="177"/>
      <c r="AC589" s="68"/>
      <c r="AD589" s="68"/>
      <c r="AE589" s="177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</row>
    <row r="590" spans="1:63" ht="13.8" x14ac:dyDescent="0.3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176"/>
      <c r="V590" s="68"/>
      <c r="W590" s="68"/>
      <c r="X590" s="68"/>
      <c r="Y590" s="68"/>
      <c r="Z590" s="68"/>
      <c r="AA590" s="68"/>
      <c r="AB590" s="177"/>
      <c r="AC590" s="68"/>
      <c r="AD590" s="68"/>
      <c r="AE590" s="177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</row>
    <row r="591" spans="1:63" ht="13.8" x14ac:dyDescent="0.3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176"/>
      <c r="V591" s="68"/>
      <c r="W591" s="68"/>
      <c r="X591" s="68"/>
      <c r="Y591" s="68"/>
      <c r="Z591" s="68"/>
      <c r="AA591" s="68"/>
      <c r="AB591" s="177"/>
      <c r="AC591" s="68"/>
      <c r="AD591" s="68"/>
      <c r="AE591" s="177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</row>
    <row r="592" spans="1:63" ht="13.8" x14ac:dyDescent="0.3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176"/>
      <c r="V592" s="68"/>
      <c r="W592" s="68"/>
      <c r="X592" s="68"/>
      <c r="Y592" s="68"/>
      <c r="Z592" s="68"/>
      <c r="AA592" s="68"/>
      <c r="AB592" s="177"/>
      <c r="AC592" s="68"/>
      <c r="AD592" s="68"/>
      <c r="AE592" s="177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</row>
    <row r="593" spans="1:63" ht="13.8" x14ac:dyDescent="0.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176"/>
      <c r="V593" s="68"/>
      <c r="W593" s="68"/>
      <c r="X593" s="68"/>
      <c r="Y593" s="68"/>
      <c r="Z593" s="68"/>
      <c r="AA593" s="68"/>
      <c r="AB593" s="177"/>
      <c r="AC593" s="68"/>
      <c r="AD593" s="68"/>
      <c r="AE593" s="177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</row>
    <row r="594" spans="1:63" ht="13.8" x14ac:dyDescent="0.3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176"/>
      <c r="V594" s="68"/>
      <c r="W594" s="68"/>
      <c r="X594" s="68"/>
      <c r="Y594" s="68"/>
      <c r="Z594" s="68"/>
      <c r="AA594" s="68"/>
      <c r="AB594" s="177"/>
      <c r="AC594" s="68"/>
      <c r="AD594" s="68"/>
      <c r="AE594" s="177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</row>
    <row r="595" spans="1:63" ht="13.8" x14ac:dyDescent="0.3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176"/>
      <c r="V595" s="68"/>
      <c r="W595" s="68"/>
      <c r="X595" s="68"/>
      <c r="Y595" s="68"/>
      <c r="Z595" s="68"/>
      <c r="AA595" s="68"/>
      <c r="AB595" s="177"/>
      <c r="AC595" s="68"/>
      <c r="AD595" s="68"/>
      <c r="AE595" s="177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</row>
    <row r="596" spans="1:63" ht="13.8" x14ac:dyDescent="0.3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176"/>
      <c r="V596" s="68"/>
      <c r="W596" s="68"/>
      <c r="X596" s="68"/>
      <c r="Y596" s="68"/>
      <c r="Z596" s="68"/>
      <c r="AA596" s="68"/>
      <c r="AB596" s="177"/>
      <c r="AC596" s="68"/>
      <c r="AD596" s="68"/>
      <c r="AE596" s="177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</row>
    <row r="597" spans="1:63" ht="13.8" x14ac:dyDescent="0.3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176"/>
      <c r="V597" s="68"/>
      <c r="W597" s="68"/>
      <c r="X597" s="68"/>
      <c r="Y597" s="68"/>
      <c r="Z597" s="68"/>
      <c r="AA597" s="68"/>
      <c r="AB597" s="177"/>
      <c r="AC597" s="68"/>
      <c r="AD597" s="68"/>
      <c r="AE597" s="177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</row>
    <row r="598" spans="1:63" ht="13.8" x14ac:dyDescent="0.3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176"/>
      <c r="V598" s="68"/>
      <c r="W598" s="68"/>
      <c r="X598" s="68"/>
      <c r="Y598" s="68"/>
      <c r="Z598" s="68"/>
      <c r="AA598" s="68"/>
      <c r="AB598" s="177"/>
      <c r="AC598" s="68"/>
      <c r="AD598" s="68"/>
      <c r="AE598" s="177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</row>
    <row r="599" spans="1:63" ht="13.8" x14ac:dyDescent="0.3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176"/>
      <c r="V599" s="68"/>
      <c r="W599" s="68"/>
      <c r="X599" s="68"/>
      <c r="Y599" s="68"/>
      <c r="Z599" s="68"/>
      <c r="AA599" s="68"/>
      <c r="AB599" s="177"/>
      <c r="AC599" s="68"/>
      <c r="AD599" s="68"/>
      <c r="AE599" s="177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</row>
    <row r="600" spans="1:63" ht="13.8" x14ac:dyDescent="0.3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176"/>
      <c r="V600" s="68"/>
      <c r="W600" s="68"/>
      <c r="X600" s="68"/>
      <c r="Y600" s="68"/>
      <c r="Z600" s="68"/>
      <c r="AA600" s="68"/>
      <c r="AB600" s="177"/>
      <c r="AC600" s="68"/>
      <c r="AD600" s="68"/>
      <c r="AE600" s="177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</row>
    <row r="601" spans="1:63" ht="13.8" x14ac:dyDescent="0.3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176"/>
      <c r="V601" s="68"/>
      <c r="W601" s="68"/>
      <c r="X601" s="68"/>
      <c r="Y601" s="68"/>
      <c r="Z601" s="68"/>
      <c r="AA601" s="68"/>
      <c r="AB601" s="177"/>
      <c r="AC601" s="68"/>
      <c r="AD601" s="68"/>
      <c r="AE601" s="177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</row>
    <row r="602" spans="1:63" ht="13.8" x14ac:dyDescent="0.3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176"/>
      <c r="V602" s="68"/>
      <c r="W602" s="68"/>
      <c r="X602" s="68"/>
      <c r="Y602" s="68"/>
      <c r="Z602" s="68"/>
      <c r="AA602" s="68"/>
      <c r="AB602" s="177"/>
      <c r="AC602" s="68"/>
      <c r="AD602" s="68"/>
      <c r="AE602" s="177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</row>
    <row r="603" spans="1:63" ht="13.8" x14ac:dyDescent="0.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176"/>
      <c r="V603" s="68"/>
      <c r="W603" s="68"/>
      <c r="X603" s="68"/>
      <c r="Y603" s="68"/>
      <c r="Z603" s="68"/>
      <c r="AA603" s="68"/>
      <c r="AB603" s="177"/>
      <c r="AC603" s="68"/>
      <c r="AD603" s="68"/>
      <c r="AE603" s="177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</row>
    <row r="604" spans="1:63" ht="13.8" x14ac:dyDescent="0.3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176"/>
      <c r="V604" s="68"/>
      <c r="W604" s="68"/>
      <c r="X604" s="68"/>
      <c r="Y604" s="68"/>
      <c r="Z604" s="68"/>
      <c r="AA604" s="68"/>
      <c r="AB604" s="177"/>
      <c r="AC604" s="68"/>
      <c r="AD604" s="68"/>
      <c r="AE604" s="177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</row>
    <row r="605" spans="1:63" ht="13.8" x14ac:dyDescent="0.3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176"/>
      <c r="V605" s="68"/>
      <c r="W605" s="68"/>
      <c r="X605" s="68"/>
      <c r="Y605" s="68"/>
      <c r="Z605" s="68"/>
      <c r="AA605" s="68"/>
      <c r="AB605" s="177"/>
      <c r="AC605" s="68"/>
      <c r="AD605" s="68"/>
      <c r="AE605" s="177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</row>
    <row r="606" spans="1:63" ht="13.8" x14ac:dyDescent="0.3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176"/>
      <c r="V606" s="68"/>
      <c r="W606" s="68"/>
      <c r="X606" s="68"/>
      <c r="Y606" s="68"/>
      <c r="Z606" s="68"/>
      <c r="AA606" s="68"/>
      <c r="AB606" s="177"/>
      <c r="AC606" s="68"/>
      <c r="AD606" s="68"/>
      <c r="AE606" s="177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</row>
    <row r="607" spans="1:63" ht="13.8" x14ac:dyDescent="0.3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176"/>
      <c r="V607" s="68"/>
      <c r="W607" s="68"/>
      <c r="X607" s="68"/>
      <c r="Y607" s="68"/>
      <c r="Z607" s="68"/>
      <c r="AA607" s="68"/>
      <c r="AB607" s="177"/>
      <c r="AC607" s="68"/>
      <c r="AD607" s="68"/>
      <c r="AE607" s="177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</row>
    <row r="608" spans="1:63" ht="13.8" x14ac:dyDescent="0.3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176"/>
      <c r="V608" s="68"/>
      <c r="W608" s="68"/>
      <c r="X608" s="68"/>
      <c r="Y608" s="68"/>
      <c r="Z608" s="68"/>
      <c r="AA608" s="68"/>
      <c r="AB608" s="177"/>
      <c r="AC608" s="68"/>
      <c r="AD608" s="68"/>
      <c r="AE608" s="177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</row>
    <row r="609" spans="1:63" ht="13.8" x14ac:dyDescent="0.3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176"/>
      <c r="V609" s="68"/>
      <c r="W609" s="68"/>
      <c r="X609" s="68"/>
      <c r="Y609" s="68"/>
      <c r="Z609" s="68"/>
      <c r="AA609" s="68"/>
      <c r="AB609" s="177"/>
      <c r="AC609" s="68"/>
      <c r="AD609" s="68"/>
      <c r="AE609" s="177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</row>
    <row r="610" spans="1:63" ht="13.8" x14ac:dyDescent="0.3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176"/>
      <c r="V610" s="68"/>
      <c r="W610" s="68"/>
      <c r="X610" s="68"/>
      <c r="Y610" s="68"/>
      <c r="Z610" s="68"/>
      <c r="AA610" s="68"/>
      <c r="AB610" s="177"/>
      <c r="AC610" s="68"/>
      <c r="AD610" s="68"/>
      <c r="AE610" s="177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</row>
    <row r="611" spans="1:63" ht="13.8" x14ac:dyDescent="0.3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176"/>
      <c r="V611" s="68"/>
      <c r="W611" s="68"/>
      <c r="X611" s="68"/>
      <c r="Y611" s="68"/>
      <c r="Z611" s="68"/>
      <c r="AA611" s="68"/>
      <c r="AB611" s="177"/>
      <c r="AC611" s="68"/>
      <c r="AD611" s="68"/>
      <c r="AE611" s="177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</row>
    <row r="612" spans="1:63" ht="13.8" x14ac:dyDescent="0.3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176"/>
      <c r="V612" s="68"/>
      <c r="W612" s="68"/>
      <c r="X612" s="68"/>
      <c r="Y612" s="68"/>
      <c r="Z612" s="68"/>
      <c r="AA612" s="68"/>
      <c r="AB612" s="177"/>
      <c r="AC612" s="68"/>
      <c r="AD612" s="68"/>
      <c r="AE612" s="177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</row>
    <row r="613" spans="1:63" ht="13.8" x14ac:dyDescent="0.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176"/>
      <c r="V613" s="68"/>
      <c r="W613" s="68"/>
      <c r="X613" s="68"/>
      <c r="Y613" s="68"/>
      <c r="Z613" s="68"/>
      <c r="AA613" s="68"/>
      <c r="AB613" s="177"/>
      <c r="AC613" s="68"/>
      <c r="AD613" s="68"/>
      <c r="AE613" s="177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</row>
    <row r="614" spans="1:63" ht="13.8" x14ac:dyDescent="0.3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176"/>
      <c r="V614" s="68"/>
      <c r="W614" s="68"/>
      <c r="X614" s="68"/>
      <c r="Y614" s="68"/>
      <c r="Z614" s="68"/>
      <c r="AA614" s="68"/>
      <c r="AB614" s="177"/>
      <c r="AC614" s="68"/>
      <c r="AD614" s="68"/>
      <c r="AE614" s="177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</row>
    <row r="615" spans="1:63" ht="13.8" x14ac:dyDescent="0.3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176"/>
      <c r="V615" s="68"/>
      <c r="W615" s="68"/>
      <c r="X615" s="68"/>
      <c r="Y615" s="68"/>
      <c r="Z615" s="68"/>
      <c r="AA615" s="68"/>
      <c r="AB615" s="177"/>
      <c r="AC615" s="68"/>
      <c r="AD615" s="68"/>
      <c r="AE615" s="177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</row>
    <row r="616" spans="1:63" ht="13.8" x14ac:dyDescent="0.3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176"/>
      <c r="V616" s="68"/>
      <c r="W616" s="68"/>
      <c r="X616" s="68"/>
      <c r="Y616" s="68"/>
      <c r="Z616" s="68"/>
      <c r="AA616" s="68"/>
      <c r="AB616" s="177"/>
      <c r="AC616" s="68"/>
      <c r="AD616" s="68"/>
      <c r="AE616" s="177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</row>
    <row r="617" spans="1:63" ht="13.8" x14ac:dyDescent="0.3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176"/>
      <c r="V617" s="68"/>
      <c r="W617" s="68"/>
      <c r="X617" s="68"/>
      <c r="Y617" s="68"/>
      <c r="Z617" s="68"/>
      <c r="AA617" s="68"/>
      <c r="AB617" s="177"/>
      <c r="AC617" s="68"/>
      <c r="AD617" s="68"/>
      <c r="AE617" s="177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</row>
    <row r="618" spans="1:63" ht="13.8" x14ac:dyDescent="0.3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176"/>
      <c r="V618" s="68"/>
      <c r="W618" s="68"/>
      <c r="X618" s="68"/>
      <c r="Y618" s="68"/>
      <c r="Z618" s="68"/>
      <c r="AA618" s="68"/>
      <c r="AB618" s="177"/>
      <c r="AC618" s="68"/>
      <c r="AD618" s="68"/>
      <c r="AE618" s="177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</row>
    <row r="619" spans="1:63" ht="13.8" x14ac:dyDescent="0.3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176"/>
      <c r="V619" s="68"/>
      <c r="W619" s="68"/>
      <c r="X619" s="68"/>
      <c r="Y619" s="68"/>
      <c r="Z619" s="68"/>
      <c r="AA619" s="68"/>
      <c r="AB619" s="177"/>
      <c r="AC619" s="68"/>
      <c r="AD619" s="68"/>
      <c r="AE619" s="177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</row>
    <row r="620" spans="1:63" ht="13.8" x14ac:dyDescent="0.3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176"/>
      <c r="V620" s="68"/>
      <c r="W620" s="68"/>
      <c r="X620" s="68"/>
      <c r="Y620" s="68"/>
      <c r="Z620" s="68"/>
      <c r="AA620" s="68"/>
      <c r="AB620" s="177"/>
      <c r="AC620" s="68"/>
      <c r="AD620" s="68"/>
      <c r="AE620" s="177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</row>
    <row r="621" spans="1:63" ht="13.8" x14ac:dyDescent="0.3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176"/>
      <c r="V621" s="68"/>
      <c r="W621" s="68"/>
      <c r="X621" s="68"/>
      <c r="Y621" s="68"/>
      <c r="Z621" s="68"/>
      <c r="AA621" s="68"/>
      <c r="AB621" s="177"/>
      <c r="AC621" s="68"/>
      <c r="AD621" s="68"/>
      <c r="AE621" s="177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</row>
    <row r="622" spans="1:63" ht="13.8" x14ac:dyDescent="0.3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176"/>
      <c r="V622" s="68"/>
      <c r="W622" s="68"/>
      <c r="X622" s="68"/>
      <c r="Y622" s="68"/>
      <c r="Z622" s="68"/>
      <c r="AA622" s="68"/>
      <c r="AB622" s="177"/>
      <c r="AC622" s="68"/>
      <c r="AD622" s="68"/>
      <c r="AE622" s="177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</row>
    <row r="623" spans="1:63" ht="13.8" x14ac:dyDescent="0.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176"/>
      <c r="V623" s="68"/>
      <c r="W623" s="68"/>
      <c r="X623" s="68"/>
      <c r="Y623" s="68"/>
      <c r="Z623" s="68"/>
      <c r="AA623" s="68"/>
      <c r="AB623" s="177"/>
      <c r="AC623" s="68"/>
      <c r="AD623" s="68"/>
      <c r="AE623" s="177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</row>
    <row r="624" spans="1:63" ht="13.8" x14ac:dyDescent="0.3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176"/>
      <c r="V624" s="68"/>
      <c r="W624" s="68"/>
      <c r="X624" s="68"/>
      <c r="Y624" s="68"/>
      <c r="Z624" s="68"/>
      <c r="AA624" s="68"/>
      <c r="AB624" s="177"/>
      <c r="AC624" s="68"/>
      <c r="AD624" s="68"/>
      <c r="AE624" s="177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</row>
    <row r="625" spans="1:63" ht="13.8" x14ac:dyDescent="0.3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176"/>
      <c r="V625" s="68"/>
      <c r="W625" s="68"/>
      <c r="X625" s="68"/>
      <c r="Y625" s="68"/>
      <c r="Z625" s="68"/>
      <c r="AA625" s="68"/>
      <c r="AB625" s="177"/>
      <c r="AC625" s="68"/>
      <c r="AD625" s="68"/>
      <c r="AE625" s="177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</row>
    <row r="626" spans="1:63" ht="13.8" x14ac:dyDescent="0.3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176"/>
      <c r="V626" s="68"/>
      <c r="W626" s="68"/>
      <c r="X626" s="68"/>
      <c r="Y626" s="68"/>
      <c r="Z626" s="68"/>
      <c r="AA626" s="68"/>
      <c r="AB626" s="177"/>
      <c r="AC626" s="68"/>
      <c r="AD626" s="68"/>
      <c r="AE626" s="177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</row>
    <row r="627" spans="1:63" ht="13.8" x14ac:dyDescent="0.3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176"/>
      <c r="V627" s="68"/>
      <c r="W627" s="68"/>
      <c r="X627" s="68"/>
      <c r="Y627" s="68"/>
      <c r="Z627" s="68"/>
      <c r="AA627" s="68"/>
      <c r="AB627" s="177"/>
      <c r="AC627" s="68"/>
      <c r="AD627" s="68"/>
      <c r="AE627" s="177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</row>
    <row r="628" spans="1:63" ht="13.8" x14ac:dyDescent="0.3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176"/>
      <c r="V628" s="68"/>
      <c r="W628" s="68"/>
      <c r="X628" s="68"/>
      <c r="Y628" s="68"/>
      <c r="Z628" s="68"/>
      <c r="AA628" s="68"/>
      <c r="AB628" s="177"/>
      <c r="AC628" s="68"/>
      <c r="AD628" s="68"/>
      <c r="AE628" s="177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</row>
    <row r="629" spans="1:63" ht="13.8" x14ac:dyDescent="0.3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176"/>
      <c r="V629" s="68"/>
      <c r="W629" s="68"/>
      <c r="X629" s="68"/>
      <c r="Y629" s="68"/>
      <c r="Z629" s="68"/>
      <c r="AA629" s="68"/>
      <c r="AB629" s="177"/>
      <c r="AC629" s="68"/>
      <c r="AD629" s="68"/>
      <c r="AE629" s="177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</row>
    <row r="630" spans="1:63" ht="13.8" x14ac:dyDescent="0.3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176"/>
      <c r="V630" s="68"/>
      <c r="W630" s="68"/>
      <c r="X630" s="68"/>
      <c r="Y630" s="68"/>
      <c r="Z630" s="68"/>
      <c r="AA630" s="68"/>
      <c r="AB630" s="177"/>
      <c r="AC630" s="68"/>
      <c r="AD630" s="68"/>
      <c r="AE630" s="177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</row>
    <row r="631" spans="1:63" ht="13.8" x14ac:dyDescent="0.3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176"/>
      <c r="V631" s="68"/>
      <c r="W631" s="68"/>
      <c r="X631" s="68"/>
      <c r="Y631" s="68"/>
      <c r="Z631" s="68"/>
      <c r="AA631" s="68"/>
      <c r="AB631" s="177"/>
      <c r="AC631" s="68"/>
      <c r="AD631" s="68"/>
      <c r="AE631" s="177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</row>
    <row r="632" spans="1:63" ht="13.8" x14ac:dyDescent="0.3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176"/>
      <c r="V632" s="68"/>
      <c r="W632" s="68"/>
      <c r="X632" s="68"/>
      <c r="Y632" s="68"/>
      <c r="Z632" s="68"/>
      <c r="AA632" s="68"/>
      <c r="AB632" s="177"/>
      <c r="AC632" s="68"/>
      <c r="AD632" s="68"/>
      <c r="AE632" s="177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</row>
    <row r="633" spans="1:63" ht="13.8" x14ac:dyDescent="0.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176"/>
      <c r="V633" s="68"/>
      <c r="W633" s="68"/>
      <c r="X633" s="68"/>
      <c r="Y633" s="68"/>
      <c r="Z633" s="68"/>
      <c r="AA633" s="68"/>
      <c r="AB633" s="177"/>
      <c r="AC633" s="68"/>
      <c r="AD633" s="68"/>
      <c r="AE633" s="177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</row>
    <row r="634" spans="1:63" ht="13.8" x14ac:dyDescent="0.3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176"/>
      <c r="V634" s="68"/>
      <c r="W634" s="68"/>
      <c r="X634" s="68"/>
      <c r="Y634" s="68"/>
      <c r="Z634" s="68"/>
      <c r="AA634" s="68"/>
      <c r="AB634" s="177"/>
      <c r="AC634" s="68"/>
      <c r="AD634" s="68"/>
      <c r="AE634" s="177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</row>
    <row r="635" spans="1:63" ht="13.8" x14ac:dyDescent="0.3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176"/>
      <c r="V635" s="68"/>
      <c r="W635" s="68"/>
      <c r="X635" s="68"/>
      <c r="Y635" s="68"/>
      <c r="Z635" s="68"/>
      <c r="AA635" s="68"/>
      <c r="AB635" s="177"/>
      <c r="AC635" s="68"/>
      <c r="AD635" s="68"/>
      <c r="AE635" s="177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</row>
    <row r="636" spans="1:63" ht="13.8" x14ac:dyDescent="0.3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176"/>
      <c r="V636" s="68"/>
      <c r="W636" s="68"/>
      <c r="X636" s="68"/>
      <c r="Y636" s="68"/>
      <c r="Z636" s="68"/>
      <c r="AA636" s="68"/>
      <c r="AB636" s="177"/>
      <c r="AC636" s="68"/>
      <c r="AD636" s="68"/>
      <c r="AE636" s="177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</row>
    <row r="637" spans="1:63" ht="13.8" x14ac:dyDescent="0.3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176"/>
      <c r="V637" s="68"/>
      <c r="W637" s="68"/>
      <c r="X637" s="68"/>
      <c r="Y637" s="68"/>
      <c r="Z637" s="68"/>
      <c r="AA637" s="68"/>
      <c r="AB637" s="177"/>
      <c r="AC637" s="68"/>
      <c r="AD637" s="68"/>
      <c r="AE637" s="177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</row>
    <row r="638" spans="1:63" ht="13.8" x14ac:dyDescent="0.3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176"/>
      <c r="V638" s="68"/>
      <c r="W638" s="68"/>
      <c r="X638" s="68"/>
      <c r="Y638" s="68"/>
      <c r="Z638" s="68"/>
      <c r="AA638" s="68"/>
      <c r="AB638" s="177"/>
      <c r="AC638" s="68"/>
      <c r="AD638" s="68"/>
      <c r="AE638" s="177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</row>
    <row r="639" spans="1:63" ht="13.8" x14ac:dyDescent="0.3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176"/>
      <c r="V639" s="68"/>
      <c r="W639" s="68"/>
      <c r="X639" s="68"/>
      <c r="Y639" s="68"/>
      <c r="Z639" s="68"/>
      <c r="AA639" s="68"/>
      <c r="AB639" s="177"/>
      <c r="AC639" s="68"/>
      <c r="AD639" s="68"/>
      <c r="AE639" s="177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</row>
    <row r="640" spans="1:63" ht="13.8" x14ac:dyDescent="0.3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176"/>
      <c r="V640" s="68"/>
      <c r="W640" s="68"/>
      <c r="X640" s="68"/>
      <c r="Y640" s="68"/>
      <c r="Z640" s="68"/>
      <c r="AA640" s="68"/>
      <c r="AB640" s="177"/>
      <c r="AC640" s="68"/>
      <c r="AD640" s="68"/>
      <c r="AE640" s="177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</row>
    <row r="641" spans="1:63" ht="13.8" x14ac:dyDescent="0.3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176"/>
      <c r="V641" s="68"/>
      <c r="W641" s="68"/>
      <c r="X641" s="68"/>
      <c r="Y641" s="68"/>
      <c r="Z641" s="68"/>
      <c r="AA641" s="68"/>
      <c r="AB641" s="177"/>
      <c r="AC641" s="68"/>
      <c r="AD641" s="68"/>
      <c r="AE641" s="177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</row>
    <row r="642" spans="1:63" ht="13.8" x14ac:dyDescent="0.3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176"/>
      <c r="V642" s="68"/>
      <c r="W642" s="68"/>
      <c r="X642" s="68"/>
      <c r="Y642" s="68"/>
      <c r="Z642" s="68"/>
      <c r="AA642" s="68"/>
      <c r="AB642" s="177"/>
      <c r="AC642" s="68"/>
      <c r="AD642" s="68"/>
      <c r="AE642" s="177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</row>
    <row r="643" spans="1:63" ht="13.8" x14ac:dyDescent="0.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176"/>
      <c r="V643" s="68"/>
      <c r="W643" s="68"/>
      <c r="X643" s="68"/>
      <c r="Y643" s="68"/>
      <c r="Z643" s="68"/>
      <c r="AA643" s="68"/>
      <c r="AB643" s="177"/>
      <c r="AC643" s="68"/>
      <c r="AD643" s="68"/>
      <c r="AE643" s="177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</row>
    <row r="644" spans="1:63" ht="13.8" x14ac:dyDescent="0.3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176"/>
      <c r="V644" s="68"/>
      <c r="W644" s="68"/>
      <c r="X644" s="68"/>
      <c r="Y644" s="68"/>
      <c r="Z644" s="68"/>
      <c r="AA644" s="68"/>
      <c r="AB644" s="177"/>
      <c r="AC644" s="68"/>
      <c r="AD644" s="68"/>
      <c r="AE644" s="177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</row>
    <row r="645" spans="1:63" ht="13.8" x14ac:dyDescent="0.3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176"/>
      <c r="V645" s="68"/>
      <c r="W645" s="68"/>
      <c r="X645" s="68"/>
      <c r="Y645" s="68"/>
      <c r="Z645" s="68"/>
      <c r="AA645" s="68"/>
      <c r="AB645" s="177"/>
      <c r="AC645" s="68"/>
      <c r="AD645" s="68"/>
      <c r="AE645" s="177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</row>
    <row r="646" spans="1:63" ht="13.8" x14ac:dyDescent="0.3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176"/>
      <c r="V646" s="68"/>
      <c r="W646" s="68"/>
      <c r="X646" s="68"/>
      <c r="Y646" s="68"/>
      <c r="Z646" s="68"/>
      <c r="AA646" s="68"/>
      <c r="AB646" s="177"/>
      <c r="AC646" s="68"/>
      <c r="AD646" s="68"/>
      <c r="AE646" s="177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</row>
    <row r="647" spans="1:63" ht="13.8" x14ac:dyDescent="0.3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176"/>
      <c r="V647" s="68"/>
      <c r="W647" s="68"/>
      <c r="X647" s="68"/>
      <c r="Y647" s="68"/>
      <c r="Z647" s="68"/>
      <c r="AA647" s="68"/>
      <c r="AB647" s="177"/>
      <c r="AC647" s="68"/>
      <c r="AD647" s="68"/>
      <c r="AE647" s="177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</row>
    <row r="648" spans="1:63" ht="13.8" x14ac:dyDescent="0.3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176"/>
      <c r="V648" s="68"/>
      <c r="W648" s="68"/>
      <c r="X648" s="68"/>
      <c r="Y648" s="68"/>
      <c r="Z648" s="68"/>
      <c r="AA648" s="68"/>
      <c r="AB648" s="177"/>
      <c r="AC648" s="68"/>
      <c r="AD648" s="68"/>
      <c r="AE648" s="177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</row>
    <row r="649" spans="1:63" ht="13.8" x14ac:dyDescent="0.3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176"/>
      <c r="V649" s="68"/>
      <c r="W649" s="68"/>
      <c r="X649" s="68"/>
      <c r="Y649" s="68"/>
      <c r="Z649" s="68"/>
      <c r="AA649" s="68"/>
      <c r="AB649" s="177"/>
      <c r="AC649" s="68"/>
      <c r="AD649" s="68"/>
      <c r="AE649" s="177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</row>
    <row r="650" spans="1:63" ht="13.8" x14ac:dyDescent="0.3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176"/>
      <c r="V650" s="68"/>
      <c r="W650" s="68"/>
      <c r="X650" s="68"/>
      <c r="Y650" s="68"/>
      <c r="Z650" s="68"/>
      <c r="AA650" s="68"/>
      <c r="AB650" s="177"/>
      <c r="AC650" s="68"/>
      <c r="AD650" s="68"/>
      <c r="AE650" s="177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</row>
    <row r="651" spans="1:63" ht="13.8" x14ac:dyDescent="0.3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176"/>
      <c r="V651" s="68"/>
      <c r="W651" s="68"/>
      <c r="X651" s="68"/>
      <c r="Y651" s="68"/>
      <c r="Z651" s="68"/>
      <c r="AA651" s="68"/>
      <c r="AB651" s="177"/>
      <c r="AC651" s="68"/>
      <c r="AD651" s="68"/>
      <c r="AE651" s="177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</row>
    <row r="652" spans="1:63" ht="13.8" x14ac:dyDescent="0.3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176"/>
      <c r="V652" s="68"/>
      <c r="W652" s="68"/>
      <c r="X652" s="68"/>
      <c r="Y652" s="68"/>
      <c r="Z652" s="68"/>
      <c r="AA652" s="68"/>
      <c r="AB652" s="177"/>
      <c r="AC652" s="68"/>
      <c r="AD652" s="68"/>
      <c r="AE652" s="177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</row>
    <row r="653" spans="1:63" ht="13.8" x14ac:dyDescent="0.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176"/>
      <c r="V653" s="68"/>
      <c r="W653" s="68"/>
      <c r="X653" s="68"/>
      <c r="Y653" s="68"/>
      <c r="Z653" s="68"/>
      <c r="AA653" s="68"/>
      <c r="AB653" s="177"/>
      <c r="AC653" s="68"/>
      <c r="AD653" s="68"/>
      <c r="AE653" s="177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</row>
    <row r="654" spans="1:63" ht="13.8" x14ac:dyDescent="0.3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176"/>
      <c r="V654" s="68"/>
      <c r="W654" s="68"/>
      <c r="X654" s="68"/>
      <c r="Y654" s="68"/>
      <c r="Z654" s="68"/>
      <c r="AA654" s="68"/>
      <c r="AB654" s="177"/>
      <c r="AC654" s="68"/>
      <c r="AD654" s="68"/>
      <c r="AE654" s="177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</row>
    <row r="655" spans="1:63" ht="13.8" x14ac:dyDescent="0.3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176"/>
      <c r="V655" s="68"/>
      <c r="W655" s="68"/>
      <c r="X655" s="68"/>
      <c r="Y655" s="68"/>
      <c r="Z655" s="68"/>
      <c r="AA655" s="68"/>
      <c r="AB655" s="177"/>
      <c r="AC655" s="68"/>
      <c r="AD655" s="68"/>
      <c r="AE655" s="177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</row>
    <row r="656" spans="1:63" ht="13.8" x14ac:dyDescent="0.3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176"/>
      <c r="V656" s="68"/>
      <c r="W656" s="68"/>
      <c r="X656" s="68"/>
      <c r="Y656" s="68"/>
      <c r="Z656" s="68"/>
      <c r="AA656" s="68"/>
      <c r="AB656" s="177"/>
      <c r="AC656" s="68"/>
      <c r="AD656" s="68"/>
      <c r="AE656" s="177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</row>
    <row r="657" spans="1:63" ht="13.8" x14ac:dyDescent="0.3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176"/>
      <c r="V657" s="68"/>
      <c r="W657" s="68"/>
      <c r="X657" s="68"/>
      <c r="Y657" s="68"/>
      <c r="Z657" s="68"/>
      <c r="AA657" s="68"/>
      <c r="AB657" s="177"/>
      <c r="AC657" s="68"/>
      <c r="AD657" s="68"/>
      <c r="AE657" s="177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</row>
    <row r="658" spans="1:63" ht="13.8" x14ac:dyDescent="0.3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176"/>
      <c r="V658" s="68"/>
      <c r="W658" s="68"/>
      <c r="X658" s="68"/>
      <c r="Y658" s="68"/>
      <c r="Z658" s="68"/>
      <c r="AA658" s="68"/>
      <c r="AB658" s="177"/>
      <c r="AC658" s="68"/>
      <c r="AD658" s="68"/>
      <c r="AE658" s="177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</row>
    <row r="659" spans="1:63" ht="13.8" x14ac:dyDescent="0.3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176"/>
      <c r="V659" s="68"/>
      <c r="W659" s="68"/>
      <c r="X659" s="68"/>
      <c r="Y659" s="68"/>
      <c r="Z659" s="68"/>
      <c r="AA659" s="68"/>
      <c r="AB659" s="177"/>
      <c r="AC659" s="68"/>
      <c r="AD659" s="68"/>
      <c r="AE659" s="177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</row>
    <row r="660" spans="1:63" ht="13.8" x14ac:dyDescent="0.3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176"/>
      <c r="V660" s="68"/>
      <c r="W660" s="68"/>
      <c r="X660" s="68"/>
      <c r="Y660" s="68"/>
      <c r="Z660" s="68"/>
      <c r="AA660" s="68"/>
      <c r="AB660" s="177"/>
      <c r="AC660" s="68"/>
      <c r="AD660" s="68"/>
      <c r="AE660" s="177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</row>
    <row r="661" spans="1:63" ht="13.8" x14ac:dyDescent="0.3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176"/>
      <c r="V661" s="68"/>
      <c r="W661" s="68"/>
      <c r="X661" s="68"/>
      <c r="Y661" s="68"/>
      <c r="Z661" s="68"/>
      <c r="AA661" s="68"/>
      <c r="AB661" s="177"/>
      <c r="AC661" s="68"/>
      <c r="AD661" s="68"/>
      <c r="AE661" s="177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</row>
    <row r="662" spans="1:63" ht="13.8" x14ac:dyDescent="0.3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176"/>
      <c r="V662" s="68"/>
      <c r="W662" s="68"/>
      <c r="X662" s="68"/>
      <c r="Y662" s="68"/>
      <c r="Z662" s="68"/>
      <c r="AA662" s="68"/>
      <c r="AB662" s="177"/>
      <c r="AC662" s="68"/>
      <c r="AD662" s="68"/>
      <c r="AE662" s="177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</row>
    <row r="663" spans="1:63" ht="13.8" x14ac:dyDescent="0.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176"/>
      <c r="V663" s="68"/>
      <c r="W663" s="68"/>
      <c r="X663" s="68"/>
      <c r="Y663" s="68"/>
      <c r="Z663" s="68"/>
      <c r="AA663" s="68"/>
      <c r="AB663" s="177"/>
      <c r="AC663" s="68"/>
      <c r="AD663" s="68"/>
      <c r="AE663" s="177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</row>
    <row r="664" spans="1:63" ht="13.8" x14ac:dyDescent="0.3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176"/>
      <c r="V664" s="68"/>
      <c r="W664" s="68"/>
      <c r="X664" s="68"/>
      <c r="Y664" s="68"/>
      <c r="Z664" s="68"/>
      <c r="AA664" s="68"/>
      <c r="AB664" s="177"/>
      <c r="AC664" s="68"/>
      <c r="AD664" s="68"/>
      <c r="AE664" s="177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</row>
    <row r="665" spans="1:63" ht="13.8" x14ac:dyDescent="0.3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176"/>
      <c r="V665" s="68"/>
      <c r="W665" s="68"/>
      <c r="X665" s="68"/>
      <c r="Y665" s="68"/>
      <c r="Z665" s="68"/>
      <c r="AA665" s="68"/>
      <c r="AB665" s="177"/>
      <c r="AC665" s="68"/>
      <c r="AD665" s="68"/>
      <c r="AE665" s="177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</row>
    <row r="666" spans="1:63" ht="13.8" x14ac:dyDescent="0.3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176"/>
      <c r="V666" s="68"/>
      <c r="W666" s="68"/>
      <c r="X666" s="68"/>
      <c r="Y666" s="68"/>
      <c r="Z666" s="68"/>
      <c r="AA666" s="68"/>
      <c r="AB666" s="177"/>
      <c r="AC666" s="68"/>
      <c r="AD666" s="68"/>
      <c r="AE666" s="177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</row>
    <row r="667" spans="1:63" ht="13.8" x14ac:dyDescent="0.3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176"/>
      <c r="V667" s="68"/>
      <c r="W667" s="68"/>
      <c r="X667" s="68"/>
      <c r="Y667" s="68"/>
      <c r="Z667" s="68"/>
      <c r="AA667" s="68"/>
      <c r="AB667" s="177"/>
      <c r="AC667" s="68"/>
      <c r="AD667" s="68"/>
      <c r="AE667" s="177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</row>
    <row r="668" spans="1:63" ht="13.8" x14ac:dyDescent="0.3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176"/>
      <c r="V668" s="68"/>
      <c r="W668" s="68"/>
      <c r="X668" s="68"/>
      <c r="Y668" s="68"/>
      <c r="Z668" s="68"/>
      <c r="AA668" s="68"/>
      <c r="AB668" s="177"/>
      <c r="AC668" s="68"/>
      <c r="AD668" s="68"/>
      <c r="AE668" s="177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</row>
    <row r="669" spans="1:63" ht="13.8" x14ac:dyDescent="0.3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176"/>
      <c r="V669" s="68"/>
      <c r="W669" s="68"/>
      <c r="X669" s="68"/>
      <c r="Y669" s="68"/>
      <c r="Z669" s="68"/>
      <c r="AA669" s="68"/>
      <c r="AB669" s="177"/>
      <c r="AC669" s="68"/>
      <c r="AD669" s="68"/>
      <c r="AE669" s="177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</row>
    <row r="670" spans="1:63" ht="13.8" x14ac:dyDescent="0.3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176"/>
      <c r="V670" s="68"/>
      <c r="W670" s="68"/>
      <c r="X670" s="68"/>
      <c r="Y670" s="68"/>
      <c r="Z670" s="68"/>
      <c r="AA670" s="68"/>
      <c r="AB670" s="177"/>
      <c r="AC670" s="68"/>
      <c r="AD670" s="68"/>
      <c r="AE670" s="177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</row>
    <row r="671" spans="1:63" ht="13.8" x14ac:dyDescent="0.3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176"/>
      <c r="V671" s="68"/>
      <c r="W671" s="68"/>
      <c r="X671" s="68"/>
      <c r="Y671" s="68"/>
      <c r="Z671" s="68"/>
      <c r="AA671" s="68"/>
      <c r="AB671" s="177"/>
      <c r="AC671" s="68"/>
      <c r="AD671" s="68"/>
      <c r="AE671" s="177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</row>
    <row r="672" spans="1:63" ht="13.8" x14ac:dyDescent="0.3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176"/>
      <c r="V672" s="68"/>
      <c r="W672" s="68"/>
      <c r="X672" s="68"/>
      <c r="Y672" s="68"/>
      <c r="Z672" s="68"/>
      <c r="AA672" s="68"/>
      <c r="AB672" s="177"/>
      <c r="AC672" s="68"/>
      <c r="AD672" s="68"/>
      <c r="AE672" s="177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</row>
    <row r="673" spans="1:63" ht="13.8" x14ac:dyDescent="0.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176"/>
      <c r="V673" s="68"/>
      <c r="W673" s="68"/>
      <c r="X673" s="68"/>
      <c r="Y673" s="68"/>
      <c r="Z673" s="68"/>
      <c r="AA673" s="68"/>
      <c r="AB673" s="177"/>
      <c r="AC673" s="68"/>
      <c r="AD673" s="68"/>
      <c r="AE673" s="177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</row>
    <row r="674" spans="1:63" ht="13.8" x14ac:dyDescent="0.3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176"/>
      <c r="V674" s="68"/>
      <c r="W674" s="68"/>
      <c r="X674" s="68"/>
      <c r="Y674" s="68"/>
      <c r="Z674" s="68"/>
      <c r="AA674" s="68"/>
      <c r="AB674" s="177"/>
      <c r="AC674" s="68"/>
      <c r="AD674" s="68"/>
      <c r="AE674" s="177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</row>
    <row r="675" spans="1:63" ht="13.8" x14ac:dyDescent="0.3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176"/>
      <c r="V675" s="68"/>
      <c r="W675" s="68"/>
      <c r="X675" s="68"/>
      <c r="Y675" s="68"/>
      <c r="Z675" s="68"/>
      <c r="AA675" s="68"/>
      <c r="AB675" s="177"/>
      <c r="AC675" s="68"/>
      <c r="AD675" s="68"/>
      <c r="AE675" s="177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</row>
    <row r="676" spans="1:63" ht="13.8" x14ac:dyDescent="0.3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176"/>
      <c r="V676" s="68"/>
      <c r="W676" s="68"/>
      <c r="X676" s="68"/>
      <c r="Y676" s="68"/>
      <c r="Z676" s="68"/>
      <c r="AA676" s="68"/>
      <c r="AB676" s="177"/>
      <c r="AC676" s="68"/>
      <c r="AD676" s="68"/>
      <c r="AE676" s="177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</row>
    <row r="677" spans="1:63" ht="13.8" x14ac:dyDescent="0.3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176"/>
      <c r="V677" s="68"/>
      <c r="W677" s="68"/>
      <c r="X677" s="68"/>
      <c r="Y677" s="68"/>
      <c r="Z677" s="68"/>
      <c r="AA677" s="68"/>
      <c r="AB677" s="177"/>
      <c r="AC677" s="68"/>
      <c r="AD677" s="68"/>
      <c r="AE677" s="177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</row>
    <row r="678" spans="1:63" ht="13.8" x14ac:dyDescent="0.3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176"/>
      <c r="V678" s="68"/>
      <c r="W678" s="68"/>
      <c r="X678" s="68"/>
      <c r="Y678" s="68"/>
      <c r="Z678" s="68"/>
      <c r="AA678" s="68"/>
      <c r="AB678" s="177"/>
      <c r="AC678" s="68"/>
      <c r="AD678" s="68"/>
      <c r="AE678" s="177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</row>
    <row r="679" spans="1:63" ht="13.8" x14ac:dyDescent="0.3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176"/>
      <c r="V679" s="68"/>
      <c r="W679" s="68"/>
      <c r="X679" s="68"/>
      <c r="Y679" s="68"/>
      <c r="Z679" s="68"/>
      <c r="AA679" s="68"/>
      <c r="AB679" s="177"/>
      <c r="AC679" s="68"/>
      <c r="AD679" s="68"/>
      <c r="AE679" s="177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</row>
    <row r="680" spans="1:63" ht="13.8" x14ac:dyDescent="0.3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176"/>
      <c r="V680" s="68"/>
      <c r="W680" s="68"/>
      <c r="X680" s="68"/>
      <c r="Y680" s="68"/>
      <c r="Z680" s="68"/>
      <c r="AA680" s="68"/>
      <c r="AB680" s="177"/>
      <c r="AC680" s="68"/>
      <c r="AD680" s="68"/>
      <c r="AE680" s="177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</row>
    <row r="681" spans="1:63" ht="13.8" x14ac:dyDescent="0.3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176"/>
      <c r="V681" s="68"/>
      <c r="W681" s="68"/>
      <c r="X681" s="68"/>
      <c r="Y681" s="68"/>
      <c r="Z681" s="68"/>
      <c r="AA681" s="68"/>
      <c r="AB681" s="177"/>
      <c r="AC681" s="68"/>
      <c r="AD681" s="68"/>
      <c r="AE681" s="177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</row>
    <row r="682" spans="1:63" ht="13.8" x14ac:dyDescent="0.3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176"/>
      <c r="V682" s="68"/>
      <c r="W682" s="68"/>
      <c r="X682" s="68"/>
      <c r="Y682" s="68"/>
      <c r="Z682" s="68"/>
      <c r="AA682" s="68"/>
      <c r="AB682" s="177"/>
      <c r="AC682" s="68"/>
      <c r="AD682" s="68"/>
      <c r="AE682" s="177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</row>
    <row r="683" spans="1:63" ht="13.8" x14ac:dyDescent="0.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176"/>
      <c r="V683" s="68"/>
      <c r="W683" s="68"/>
      <c r="X683" s="68"/>
      <c r="Y683" s="68"/>
      <c r="Z683" s="68"/>
      <c r="AA683" s="68"/>
      <c r="AB683" s="177"/>
      <c r="AC683" s="68"/>
      <c r="AD683" s="68"/>
      <c r="AE683" s="177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</row>
    <row r="684" spans="1:63" ht="13.8" x14ac:dyDescent="0.3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176"/>
      <c r="V684" s="68"/>
      <c r="W684" s="68"/>
      <c r="X684" s="68"/>
      <c r="Y684" s="68"/>
      <c r="Z684" s="68"/>
      <c r="AA684" s="68"/>
      <c r="AB684" s="177"/>
      <c r="AC684" s="68"/>
      <c r="AD684" s="68"/>
      <c r="AE684" s="177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</row>
    <row r="685" spans="1:63" ht="13.8" x14ac:dyDescent="0.3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176"/>
      <c r="V685" s="68"/>
      <c r="W685" s="68"/>
      <c r="X685" s="68"/>
      <c r="Y685" s="68"/>
      <c r="Z685" s="68"/>
      <c r="AA685" s="68"/>
      <c r="AB685" s="177"/>
      <c r="AC685" s="68"/>
      <c r="AD685" s="68"/>
      <c r="AE685" s="177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</row>
    <row r="686" spans="1:63" ht="13.8" x14ac:dyDescent="0.3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176"/>
      <c r="V686" s="68"/>
      <c r="W686" s="68"/>
      <c r="X686" s="68"/>
      <c r="Y686" s="68"/>
      <c r="Z686" s="68"/>
      <c r="AA686" s="68"/>
      <c r="AB686" s="177"/>
      <c r="AC686" s="68"/>
      <c r="AD686" s="68"/>
      <c r="AE686" s="177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</row>
    <row r="687" spans="1:63" ht="13.8" x14ac:dyDescent="0.3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176"/>
      <c r="V687" s="68"/>
      <c r="W687" s="68"/>
      <c r="X687" s="68"/>
      <c r="Y687" s="68"/>
      <c r="Z687" s="68"/>
      <c r="AA687" s="68"/>
      <c r="AB687" s="177"/>
      <c r="AC687" s="68"/>
      <c r="AD687" s="68"/>
      <c r="AE687" s="177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</row>
    <row r="688" spans="1:63" ht="13.8" x14ac:dyDescent="0.3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176"/>
      <c r="V688" s="68"/>
      <c r="W688" s="68"/>
      <c r="X688" s="68"/>
      <c r="Y688" s="68"/>
      <c r="Z688" s="68"/>
      <c r="AA688" s="68"/>
      <c r="AB688" s="177"/>
      <c r="AC688" s="68"/>
      <c r="AD688" s="68"/>
      <c r="AE688" s="177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</row>
    <row r="689" spans="1:63" ht="13.8" x14ac:dyDescent="0.3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176"/>
      <c r="V689" s="68"/>
      <c r="W689" s="68"/>
      <c r="X689" s="68"/>
      <c r="Y689" s="68"/>
      <c r="Z689" s="68"/>
      <c r="AA689" s="68"/>
      <c r="AB689" s="177"/>
      <c r="AC689" s="68"/>
      <c r="AD689" s="68"/>
      <c r="AE689" s="177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</row>
    <row r="690" spans="1:63" ht="13.8" x14ac:dyDescent="0.3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176"/>
      <c r="V690" s="68"/>
      <c r="W690" s="68"/>
      <c r="X690" s="68"/>
      <c r="Y690" s="68"/>
      <c r="Z690" s="68"/>
      <c r="AA690" s="68"/>
      <c r="AB690" s="177"/>
      <c r="AC690" s="68"/>
      <c r="AD690" s="68"/>
      <c r="AE690" s="177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</row>
    <row r="691" spans="1:63" ht="13.8" x14ac:dyDescent="0.3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176"/>
      <c r="V691" s="68"/>
      <c r="W691" s="68"/>
      <c r="X691" s="68"/>
      <c r="Y691" s="68"/>
      <c r="Z691" s="68"/>
      <c r="AA691" s="68"/>
      <c r="AB691" s="177"/>
      <c r="AC691" s="68"/>
      <c r="AD691" s="68"/>
      <c r="AE691" s="177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</row>
    <row r="692" spans="1:63" ht="13.8" x14ac:dyDescent="0.3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176"/>
      <c r="V692" s="68"/>
      <c r="W692" s="68"/>
      <c r="X692" s="68"/>
      <c r="Y692" s="68"/>
      <c r="Z692" s="68"/>
      <c r="AA692" s="68"/>
      <c r="AB692" s="177"/>
      <c r="AC692" s="68"/>
      <c r="AD692" s="68"/>
      <c r="AE692" s="177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</row>
    <row r="693" spans="1:63" ht="13.8" x14ac:dyDescent="0.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176"/>
      <c r="V693" s="68"/>
      <c r="W693" s="68"/>
      <c r="X693" s="68"/>
      <c r="Y693" s="68"/>
      <c r="Z693" s="68"/>
      <c r="AA693" s="68"/>
      <c r="AB693" s="177"/>
      <c r="AC693" s="68"/>
      <c r="AD693" s="68"/>
      <c r="AE693" s="177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</row>
    <row r="694" spans="1:63" ht="13.8" x14ac:dyDescent="0.3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176"/>
      <c r="V694" s="68"/>
      <c r="W694" s="68"/>
      <c r="X694" s="68"/>
      <c r="Y694" s="68"/>
      <c r="Z694" s="68"/>
      <c r="AA694" s="68"/>
      <c r="AB694" s="177"/>
      <c r="AC694" s="68"/>
      <c r="AD694" s="68"/>
      <c r="AE694" s="177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</row>
    <row r="695" spans="1:63" ht="13.8" x14ac:dyDescent="0.3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176"/>
      <c r="V695" s="68"/>
      <c r="W695" s="68"/>
      <c r="X695" s="68"/>
      <c r="Y695" s="68"/>
      <c r="Z695" s="68"/>
      <c r="AA695" s="68"/>
      <c r="AB695" s="177"/>
      <c r="AC695" s="68"/>
      <c r="AD695" s="68"/>
      <c r="AE695" s="177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</row>
    <row r="696" spans="1:63" ht="13.8" x14ac:dyDescent="0.3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176"/>
      <c r="V696" s="68"/>
      <c r="W696" s="68"/>
      <c r="X696" s="68"/>
      <c r="Y696" s="68"/>
      <c r="Z696" s="68"/>
      <c r="AA696" s="68"/>
      <c r="AB696" s="177"/>
      <c r="AC696" s="68"/>
      <c r="AD696" s="68"/>
      <c r="AE696" s="177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</row>
    <row r="697" spans="1:63" ht="13.8" x14ac:dyDescent="0.3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176"/>
      <c r="V697" s="68"/>
      <c r="W697" s="68"/>
      <c r="X697" s="68"/>
      <c r="Y697" s="68"/>
      <c r="Z697" s="68"/>
      <c r="AA697" s="68"/>
      <c r="AB697" s="177"/>
      <c r="AC697" s="68"/>
      <c r="AD697" s="68"/>
      <c r="AE697" s="177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</row>
    <row r="698" spans="1:63" ht="13.8" x14ac:dyDescent="0.3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176"/>
      <c r="V698" s="68"/>
      <c r="W698" s="68"/>
      <c r="X698" s="68"/>
      <c r="Y698" s="68"/>
      <c r="Z698" s="68"/>
      <c r="AA698" s="68"/>
      <c r="AB698" s="177"/>
      <c r="AC698" s="68"/>
      <c r="AD698" s="68"/>
      <c r="AE698" s="177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</row>
    <row r="699" spans="1:63" ht="13.8" x14ac:dyDescent="0.3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176"/>
      <c r="V699" s="68"/>
      <c r="W699" s="68"/>
      <c r="X699" s="68"/>
      <c r="Y699" s="68"/>
      <c r="Z699" s="68"/>
      <c r="AA699" s="68"/>
      <c r="AB699" s="177"/>
      <c r="AC699" s="68"/>
      <c r="AD699" s="68"/>
      <c r="AE699" s="177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</row>
    <row r="700" spans="1:63" ht="13.8" x14ac:dyDescent="0.3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176"/>
      <c r="V700" s="68"/>
      <c r="W700" s="68"/>
      <c r="X700" s="68"/>
      <c r="Y700" s="68"/>
      <c r="Z700" s="68"/>
      <c r="AA700" s="68"/>
      <c r="AB700" s="177"/>
      <c r="AC700" s="68"/>
      <c r="AD700" s="68"/>
      <c r="AE700" s="177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</row>
    <row r="701" spans="1:63" ht="13.8" x14ac:dyDescent="0.3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176"/>
      <c r="V701" s="68"/>
      <c r="W701" s="68"/>
      <c r="X701" s="68"/>
      <c r="Y701" s="68"/>
      <c r="Z701" s="68"/>
      <c r="AA701" s="68"/>
      <c r="AB701" s="177"/>
      <c r="AC701" s="68"/>
      <c r="AD701" s="68"/>
      <c r="AE701" s="177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</row>
    <row r="702" spans="1:63" ht="13.8" x14ac:dyDescent="0.3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176"/>
      <c r="V702" s="68"/>
      <c r="W702" s="68"/>
      <c r="X702" s="68"/>
      <c r="Y702" s="68"/>
      <c r="Z702" s="68"/>
      <c r="AA702" s="68"/>
      <c r="AB702" s="177"/>
      <c r="AC702" s="68"/>
      <c r="AD702" s="68"/>
      <c r="AE702" s="177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</row>
    <row r="703" spans="1:63" ht="13.8" x14ac:dyDescent="0.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176"/>
      <c r="V703" s="68"/>
      <c r="W703" s="68"/>
      <c r="X703" s="68"/>
      <c r="Y703" s="68"/>
      <c r="Z703" s="68"/>
      <c r="AA703" s="68"/>
      <c r="AB703" s="177"/>
      <c r="AC703" s="68"/>
      <c r="AD703" s="68"/>
      <c r="AE703" s="177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</row>
    <row r="704" spans="1:63" ht="13.8" x14ac:dyDescent="0.3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176"/>
      <c r="V704" s="68"/>
      <c r="W704" s="68"/>
      <c r="X704" s="68"/>
      <c r="Y704" s="68"/>
      <c r="Z704" s="68"/>
      <c r="AA704" s="68"/>
      <c r="AB704" s="177"/>
      <c r="AC704" s="68"/>
      <c r="AD704" s="68"/>
      <c r="AE704" s="177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</row>
    <row r="705" spans="1:63" ht="13.8" x14ac:dyDescent="0.3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176"/>
      <c r="V705" s="68"/>
      <c r="W705" s="68"/>
      <c r="X705" s="68"/>
      <c r="Y705" s="68"/>
      <c r="Z705" s="68"/>
      <c r="AA705" s="68"/>
      <c r="AB705" s="177"/>
      <c r="AC705" s="68"/>
      <c r="AD705" s="68"/>
      <c r="AE705" s="177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</row>
    <row r="706" spans="1:63" ht="13.8" x14ac:dyDescent="0.3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176"/>
      <c r="V706" s="68"/>
      <c r="W706" s="68"/>
      <c r="X706" s="68"/>
      <c r="Y706" s="68"/>
      <c r="Z706" s="68"/>
      <c r="AA706" s="68"/>
      <c r="AB706" s="177"/>
      <c r="AC706" s="68"/>
      <c r="AD706" s="68"/>
      <c r="AE706" s="177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</row>
    <row r="707" spans="1:63" ht="13.8" x14ac:dyDescent="0.3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176"/>
      <c r="V707" s="68"/>
      <c r="W707" s="68"/>
      <c r="X707" s="68"/>
      <c r="Y707" s="68"/>
      <c r="Z707" s="68"/>
      <c r="AA707" s="68"/>
      <c r="AB707" s="177"/>
      <c r="AC707" s="68"/>
      <c r="AD707" s="68"/>
      <c r="AE707" s="177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</row>
    <row r="708" spans="1:63" ht="13.8" x14ac:dyDescent="0.3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176"/>
      <c r="V708" s="68"/>
      <c r="W708" s="68"/>
      <c r="X708" s="68"/>
      <c r="Y708" s="68"/>
      <c r="Z708" s="68"/>
      <c r="AA708" s="68"/>
      <c r="AB708" s="177"/>
      <c r="AC708" s="68"/>
      <c r="AD708" s="68"/>
      <c r="AE708" s="177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</row>
    <row r="709" spans="1:63" ht="13.8" x14ac:dyDescent="0.3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176"/>
      <c r="V709" s="68"/>
      <c r="W709" s="68"/>
      <c r="X709" s="68"/>
      <c r="Y709" s="68"/>
      <c r="Z709" s="68"/>
      <c r="AA709" s="68"/>
      <c r="AB709" s="177"/>
      <c r="AC709" s="68"/>
      <c r="AD709" s="68"/>
      <c r="AE709" s="177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</row>
    <row r="710" spans="1:63" ht="13.8" x14ac:dyDescent="0.3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176"/>
      <c r="V710" s="68"/>
      <c r="W710" s="68"/>
      <c r="X710" s="68"/>
      <c r="Y710" s="68"/>
      <c r="Z710" s="68"/>
      <c r="AA710" s="68"/>
      <c r="AB710" s="177"/>
      <c r="AC710" s="68"/>
      <c r="AD710" s="68"/>
      <c r="AE710" s="177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</row>
    <row r="711" spans="1:63" ht="13.8" x14ac:dyDescent="0.3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176"/>
      <c r="V711" s="68"/>
      <c r="W711" s="68"/>
      <c r="X711" s="68"/>
      <c r="Y711" s="68"/>
      <c r="Z711" s="68"/>
      <c r="AA711" s="68"/>
      <c r="AB711" s="177"/>
      <c r="AC711" s="68"/>
      <c r="AD711" s="68"/>
      <c r="AE711" s="177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</row>
    <row r="712" spans="1:63" ht="13.8" x14ac:dyDescent="0.3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176"/>
      <c r="V712" s="68"/>
      <c r="W712" s="68"/>
      <c r="X712" s="68"/>
      <c r="Y712" s="68"/>
      <c r="Z712" s="68"/>
      <c r="AA712" s="68"/>
      <c r="AB712" s="177"/>
      <c r="AC712" s="68"/>
      <c r="AD712" s="68"/>
      <c r="AE712" s="177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</row>
    <row r="713" spans="1:63" ht="13.8" x14ac:dyDescent="0.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176"/>
      <c r="V713" s="68"/>
      <c r="W713" s="68"/>
      <c r="X713" s="68"/>
      <c r="Y713" s="68"/>
      <c r="Z713" s="68"/>
      <c r="AA713" s="68"/>
      <c r="AB713" s="177"/>
      <c r="AC713" s="68"/>
      <c r="AD713" s="68"/>
      <c r="AE713" s="177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</row>
    <row r="714" spans="1:63" ht="13.8" x14ac:dyDescent="0.3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176"/>
      <c r="V714" s="68"/>
      <c r="W714" s="68"/>
      <c r="X714" s="68"/>
      <c r="Y714" s="68"/>
      <c r="Z714" s="68"/>
      <c r="AA714" s="68"/>
      <c r="AB714" s="177"/>
      <c r="AC714" s="68"/>
      <c r="AD714" s="68"/>
      <c r="AE714" s="177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</row>
    <row r="715" spans="1:63" ht="13.8" x14ac:dyDescent="0.3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176"/>
      <c r="V715" s="68"/>
      <c r="W715" s="68"/>
      <c r="X715" s="68"/>
      <c r="Y715" s="68"/>
      <c r="Z715" s="68"/>
      <c r="AA715" s="68"/>
      <c r="AB715" s="177"/>
      <c r="AC715" s="68"/>
      <c r="AD715" s="68"/>
      <c r="AE715" s="177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</row>
    <row r="716" spans="1:63" ht="13.8" x14ac:dyDescent="0.3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176"/>
      <c r="V716" s="68"/>
      <c r="W716" s="68"/>
      <c r="X716" s="68"/>
      <c r="Y716" s="68"/>
      <c r="Z716" s="68"/>
      <c r="AA716" s="68"/>
      <c r="AB716" s="177"/>
      <c r="AC716" s="68"/>
      <c r="AD716" s="68"/>
      <c r="AE716" s="177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</row>
    <row r="717" spans="1:63" ht="13.8" x14ac:dyDescent="0.3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176"/>
      <c r="V717" s="68"/>
      <c r="W717" s="68"/>
      <c r="X717" s="68"/>
      <c r="Y717" s="68"/>
      <c r="Z717" s="68"/>
      <c r="AA717" s="68"/>
      <c r="AB717" s="177"/>
      <c r="AC717" s="68"/>
      <c r="AD717" s="68"/>
      <c r="AE717" s="177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</row>
    <row r="718" spans="1:63" ht="13.8" x14ac:dyDescent="0.3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176"/>
      <c r="V718" s="68"/>
      <c r="W718" s="68"/>
      <c r="X718" s="68"/>
      <c r="Y718" s="68"/>
      <c r="Z718" s="68"/>
      <c r="AA718" s="68"/>
      <c r="AB718" s="177"/>
      <c r="AC718" s="68"/>
      <c r="AD718" s="68"/>
      <c r="AE718" s="177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</row>
    <row r="719" spans="1:63" ht="13.8" x14ac:dyDescent="0.3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176"/>
      <c r="V719" s="68"/>
      <c r="W719" s="68"/>
      <c r="X719" s="68"/>
      <c r="Y719" s="68"/>
      <c r="Z719" s="68"/>
      <c r="AA719" s="68"/>
      <c r="AB719" s="177"/>
      <c r="AC719" s="68"/>
      <c r="AD719" s="68"/>
      <c r="AE719" s="177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</row>
    <row r="720" spans="1:63" ht="13.8" x14ac:dyDescent="0.3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176"/>
      <c r="V720" s="68"/>
      <c r="W720" s="68"/>
      <c r="X720" s="68"/>
      <c r="Y720" s="68"/>
      <c r="Z720" s="68"/>
      <c r="AA720" s="68"/>
      <c r="AB720" s="177"/>
      <c r="AC720" s="68"/>
      <c r="AD720" s="68"/>
      <c r="AE720" s="177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</row>
    <row r="721" spans="1:63" ht="13.8" x14ac:dyDescent="0.3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176"/>
      <c r="V721" s="68"/>
      <c r="W721" s="68"/>
      <c r="X721" s="68"/>
      <c r="Y721" s="68"/>
      <c r="Z721" s="68"/>
      <c r="AA721" s="68"/>
      <c r="AB721" s="177"/>
      <c r="AC721" s="68"/>
      <c r="AD721" s="68"/>
      <c r="AE721" s="177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</row>
    <row r="722" spans="1:63" ht="13.8" x14ac:dyDescent="0.3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176"/>
      <c r="V722" s="68"/>
      <c r="W722" s="68"/>
      <c r="X722" s="68"/>
      <c r="Y722" s="68"/>
      <c r="Z722" s="68"/>
      <c r="AA722" s="68"/>
      <c r="AB722" s="177"/>
      <c r="AC722" s="68"/>
      <c r="AD722" s="68"/>
      <c r="AE722" s="177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</row>
    <row r="723" spans="1:63" ht="13.8" x14ac:dyDescent="0.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176"/>
      <c r="V723" s="68"/>
      <c r="W723" s="68"/>
      <c r="X723" s="68"/>
      <c r="Y723" s="68"/>
      <c r="Z723" s="68"/>
      <c r="AA723" s="68"/>
      <c r="AB723" s="177"/>
      <c r="AC723" s="68"/>
      <c r="AD723" s="68"/>
      <c r="AE723" s="177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</row>
    <row r="724" spans="1:63" ht="13.8" x14ac:dyDescent="0.3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176"/>
      <c r="V724" s="68"/>
      <c r="W724" s="68"/>
      <c r="X724" s="68"/>
      <c r="Y724" s="68"/>
      <c r="Z724" s="68"/>
      <c r="AA724" s="68"/>
      <c r="AB724" s="177"/>
      <c r="AC724" s="68"/>
      <c r="AD724" s="68"/>
      <c r="AE724" s="177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</row>
    <row r="725" spans="1:63" ht="13.8" x14ac:dyDescent="0.3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176"/>
      <c r="V725" s="68"/>
      <c r="W725" s="68"/>
      <c r="X725" s="68"/>
      <c r="Y725" s="68"/>
      <c r="Z725" s="68"/>
      <c r="AA725" s="68"/>
      <c r="AB725" s="177"/>
      <c r="AC725" s="68"/>
      <c r="AD725" s="68"/>
      <c r="AE725" s="177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</row>
    <row r="726" spans="1:63" ht="13.8" x14ac:dyDescent="0.3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176"/>
      <c r="V726" s="68"/>
      <c r="W726" s="68"/>
      <c r="X726" s="68"/>
      <c r="Y726" s="68"/>
      <c r="Z726" s="68"/>
      <c r="AA726" s="68"/>
      <c r="AB726" s="177"/>
      <c r="AC726" s="68"/>
      <c r="AD726" s="68"/>
      <c r="AE726" s="177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</row>
    <row r="727" spans="1:63" ht="13.8" x14ac:dyDescent="0.3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176"/>
      <c r="V727" s="68"/>
      <c r="W727" s="68"/>
      <c r="X727" s="68"/>
      <c r="Y727" s="68"/>
      <c r="Z727" s="68"/>
      <c r="AA727" s="68"/>
      <c r="AB727" s="177"/>
      <c r="AC727" s="68"/>
      <c r="AD727" s="68"/>
      <c r="AE727" s="177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</row>
    <row r="728" spans="1:63" ht="13.8" x14ac:dyDescent="0.3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176"/>
      <c r="V728" s="68"/>
      <c r="W728" s="68"/>
      <c r="X728" s="68"/>
      <c r="Y728" s="68"/>
      <c r="Z728" s="68"/>
      <c r="AA728" s="68"/>
      <c r="AB728" s="177"/>
      <c r="AC728" s="68"/>
      <c r="AD728" s="68"/>
      <c r="AE728" s="177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</row>
    <row r="729" spans="1:63" ht="13.8" x14ac:dyDescent="0.3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176"/>
      <c r="V729" s="68"/>
      <c r="W729" s="68"/>
      <c r="X729" s="68"/>
      <c r="Y729" s="68"/>
      <c r="Z729" s="68"/>
      <c r="AA729" s="68"/>
      <c r="AB729" s="177"/>
      <c r="AC729" s="68"/>
      <c r="AD729" s="68"/>
      <c r="AE729" s="177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</row>
    <row r="730" spans="1:63" ht="13.8" x14ac:dyDescent="0.3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176"/>
      <c r="V730" s="68"/>
      <c r="W730" s="68"/>
      <c r="X730" s="68"/>
      <c r="Y730" s="68"/>
      <c r="Z730" s="68"/>
      <c r="AA730" s="68"/>
      <c r="AB730" s="177"/>
      <c r="AC730" s="68"/>
      <c r="AD730" s="68"/>
      <c r="AE730" s="177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</row>
    <row r="731" spans="1:63" ht="13.8" x14ac:dyDescent="0.3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176"/>
      <c r="V731" s="68"/>
      <c r="W731" s="68"/>
      <c r="X731" s="68"/>
      <c r="Y731" s="68"/>
      <c r="Z731" s="68"/>
      <c r="AA731" s="68"/>
      <c r="AB731" s="177"/>
      <c r="AC731" s="68"/>
      <c r="AD731" s="68"/>
      <c r="AE731" s="177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</row>
    <row r="732" spans="1:63" ht="13.8" x14ac:dyDescent="0.3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176"/>
      <c r="V732" s="68"/>
      <c r="W732" s="68"/>
      <c r="X732" s="68"/>
      <c r="Y732" s="68"/>
      <c r="Z732" s="68"/>
      <c r="AA732" s="68"/>
      <c r="AB732" s="177"/>
      <c r="AC732" s="68"/>
      <c r="AD732" s="68"/>
      <c r="AE732" s="177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</row>
    <row r="733" spans="1:63" ht="13.8" x14ac:dyDescent="0.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176"/>
      <c r="V733" s="68"/>
      <c r="W733" s="68"/>
      <c r="X733" s="68"/>
      <c r="Y733" s="68"/>
      <c r="Z733" s="68"/>
      <c r="AA733" s="68"/>
      <c r="AB733" s="177"/>
      <c r="AC733" s="68"/>
      <c r="AD733" s="68"/>
      <c r="AE733" s="177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</row>
    <row r="734" spans="1:63" ht="13.8" x14ac:dyDescent="0.3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176"/>
      <c r="V734" s="68"/>
      <c r="W734" s="68"/>
      <c r="X734" s="68"/>
      <c r="Y734" s="68"/>
      <c r="Z734" s="68"/>
      <c r="AA734" s="68"/>
      <c r="AB734" s="177"/>
      <c r="AC734" s="68"/>
      <c r="AD734" s="68"/>
      <c r="AE734" s="177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</row>
    <row r="735" spans="1:63" ht="13.8" x14ac:dyDescent="0.3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176"/>
      <c r="V735" s="68"/>
      <c r="W735" s="68"/>
      <c r="X735" s="68"/>
      <c r="Y735" s="68"/>
      <c r="Z735" s="68"/>
      <c r="AA735" s="68"/>
      <c r="AB735" s="177"/>
      <c r="AC735" s="68"/>
      <c r="AD735" s="68"/>
      <c r="AE735" s="177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</row>
    <row r="736" spans="1:63" ht="13.8" x14ac:dyDescent="0.3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176"/>
      <c r="V736" s="68"/>
      <c r="W736" s="68"/>
      <c r="X736" s="68"/>
      <c r="Y736" s="68"/>
      <c r="Z736" s="68"/>
      <c r="AA736" s="68"/>
      <c r="AB736" s="177"/>
      <c r="AC736" s="68"/>
      <c r="AD736" s="68"/>
      <c r="AE736" s="177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</row>
    <row r="737" spans="1:63" ht="13.8" x14ac:dyDescent="0.3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176"/>
      <c r="V737" s="68"/>
      <c r="W737" s="68"/>
      <c r="X737" s="68"/>
      <c r="Y737" s="68"/>
      <c r="Z737" s="68"/>
      <c r="AA737" s="68"/>
      <c r="AB737" s="177"/>
      <c r="AC737" s="68"/>
      <c r="AD737" s="68"/>
      <c r="AE737" s="177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</row>
    <row r="738" spans="1:63" ht="13.8" x14ac:dyDescent="0.3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176"/>
      <c r="V738" s="68"/>
      <c r="W738" s="68"/>
      <c r="X738" s="68"/>
      <c r="Y738" s="68"/>
      <c r="Z738" s="68"/>
      <c r="AA738" s="68"/>
      <c r="AB738" s="177"/>
      <c r="AC738" s="68"/>
      <c r="AD738" s="68"/>
      <c r="AE738" s="177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</row>
    <row r="739" spans="1:63" ht="13.8" x14ac:dyDescent="0.3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176"/>
      <c r="V739" s="68"/>
      <c r="W739" s="68"/>
      <c r="X739" s="68"/>
      <c r="Y739" s="68"/>
      <c r="Z739" s="68"/>
      <c r="AA739" s="68"/>
      <c r="AB739" s="177"/>
      <c r="AC739" s="68"/>
      <c r="AD739" s="68"/>
      <c r="AE739" s="177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</row>
    <row r="740" spans="1:63" ht="13.8" x14ac:dyDescent="0.3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176"/>
      <c r="V740" s="68"/>
      <c r="W740" s="68"/>
      <c r="X740" s="68"/>
      <c r="Y740" s="68"/>
      <c r="Z740" s="68"/>
      <c r="AA740" s="68"/>
      <c r="AB740" s="177"/>
      <c r="AC740" s="68"/>
      <c r="AD740" s="68"/>
      <c r="AE740" s="177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</row>
    <row r="741" spans="1:63" ht="13.8" x14ac:dyDescent="0.3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176"/>
      <c r="V741" s="68"/>
      <c r="W741" s="68"/>
      <c r="X741" s="68"/>
      <c r="Y741" s="68"/>
      <c r="Z741" s="68"/>
      <c r="AA741" s="68"/>
      <c r="AB741" s="177"/>
      <c r="AC741" s="68"/>
      <c r="AD741" s="68"/>
      <c r="AE741" s="177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</row>
    <row r="742" spans="1:63" ht="13.8" x14ac:dyDescent="0.3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176"/>
      <c r="V742" s="68"/>
      <c r="W742" s="68"/>
      <c r="X742" s="68"/>
      <c r="Y742" s="68"/>
      <c r="Z742" s="68"/>
      <c r="AA742" s="68"/>
      <c r="AB742" s="177"/>
      <c r="AC742" s="68"/>
      <c r="AD742" s="68"/>
      <c r="AE742" s="177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</row>
    <row r="743" spans="1:63" ht="13.8" x14ac:dyDescent="0.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176"/>
      <c r="V743" s="68"/>
      <c r="W743" s="68"/>
      <c r="X743" s="68"/>
      <c r="Y743" s="68"/>
      <c r="Z743" s="68"/>
      <c r="AA743" s="68"/>
      <c r="AB743" s="177"/>
      <c r="AC743" s="68"/>
      <c r="AD743" s="68"/>
      <c r="AE743" s="177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</row>
    <row r="744" spans="1:63" ht="13.8" x14ac:dyDescent="0.3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176"/>
      <c r="V744" s="68"/>
      <c r="W744" s="68"/>
      <c r="X744" s="68"/>
      <c r="Y744" s="68"/>
      <c r="Z744" s="68"/>
      <c r="AA744" s="68"/>
      <c r="AB744" s="177"/>
      <c r="AC744" s="68"/>
      <c r="AD744" s="68"/>
      <c r="AE744" s="177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</row>
    <row r="745" spans="1:63" ht="13.8" x14ac:dyDescent="0.3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176"/>
      <c r="V745" s="68"/>
      <c r="W745" s="68"/>
      <c r="X745" s="68"/>
      <c r="Y745" s="68"/>
      <c r="Z745" s="68"/>
      <c r="AA745" s="68"/>
      <c r="AB745" s="177"/>
      <c r="AC745" s="68"/>
      <c r="AD745" s="68"/>
      <c r="AE745" s="177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</row>
    <row r="746" spans="1:63" ht="13.8" x14ac:dyDescent="0.3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176"/>
      <c r="V746" s="68"/>
      <c r="W746" s="68"/>
      <c r="X746" s="68"/>
      <c r="Y746" s="68"/>
      <c r="Z746" s="68"/>
      <c r="AA746" s="68"/>
      <c r="AB746" s="177"/>
      <c r="AC746" s="68"/>
      <c r="AD746" s="68"/>
      <c r="AE746" s="177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</row>
    <row r="747" spans="1:63" ht="13.8" x14ac:dyDescent="0.3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176"/>
      <c r="V747" s="68"/>
      <c r="W747" s="68"/>
      <c r="X747" s="68"/>
      <c r="Y747" s="68"/>
      <c r="Z747" s="68"/>
      <c r="AA747" s="68"/>
      <c r="AB747" s="177"/>
      <c r="AC747" s="68"/>
      <c r="AD747" s="68"/>
      <c r="AE747" s="177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</row>
    <row r="748" spans="1:63" ht="13.8" x14ac:dyDescent="0.3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176"/>
      <c r="V748" s="68"/>
      <c r="W748" s="68"/>
      <c r="X748" s="68"/>
      <c r="Y748" s="68"/>
      <c r="Z748" s="68"/>
      <c r="AA748" s="68"/>
      <c r="AB748" s="177"/>
      <c r="AC748" s="68"/>
      <c r="AD748" s="68"/>
      <c r="AE748" s="177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</row>
    <row r="749" spans="1:63" ht="13.8" x14ac:dyDescent="0.3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176"/>
      <c r="V749" s="68"/>
      <c r="W749" s="68"/>
      <c r="X749" s="68"/>
      <c r="Y749" s="68"/>
      <c r="Z749" s="68"/>
      <c r="AA749" s="68"/>
      <c r="AB749" s="177"/>
      <c r="AC749" s="68"/>
      <c r="AD749" s="68"/>
      <c r="AE749" s="177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</row>
    <row r="750" spans="1:63" ht="13.8" x14ac:dyDescent="0.3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176"/>
      <c r="V750" s="68"/>
      <c r="W750" s="68"/>
      <c r="X750" s="68"/>
      <c r="Y750" s="68"/>
      <c r="Z750" s="68"/>
      <c r="AA750" s="68"/>
      <c r="AB750" s="177"/>
      <c r="AC750" s="68"/>
      <c r="AD750" s="68"/>
      <c r="AE750" s="177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</row>
    <row r="751" spans="1:63" ht="13.8" x14ac:dyDescent="0.3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176"/>
      <c r="V751" s="68"/>
      <c r="W751" s="68"/>
      <c r="X751" s="68"/>
      <c r="Y751" s="68"/>
      <c r="Z751" s="68"/>
      <c r="AA751" s="68"/>
      <c r="AB751" s="177"/>
      <c r="AC751" s="68"/>
      <c r="AD751" s="68"/>
      <c r="AE751" s="177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</row>
    <row r="752" spans="1:63" ht="13.8" x14ac:dyDescent="0.3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176"/>
      <c r="V752" s="68"/>
      <c r="W752" s="68"/>
      <c r="X752" s="68"/>
      <c r="Y752" s="68"/>
      <c r="Z752" s="68"/>
      <c r="AA752" s="68"/>
      <c r="AB752" s="177"/>
      <c r="AC752" s="68"/>
      <c r="AD752" s="68"/>
      <c r="AE752" s="177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</row>
    <row r="753" spans="1:63" ht="13.8" x14ac:dyDescent="0.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176"/>
      <c r="V753" s="68"/>
      <c r="W753" s="68"/>
      <c r="X753" s="68"/>
      <c r="Y753" s="68"/>
      <c r="Z753" s="68"/>
      <c r="AA753" s="68"/>
      <c r="AB753" s="177"/>
      <c r="AC753" s="68"/>
      <c r="AD753" s="68"/>
      <c r="AE753" s="177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</row>
    <row r="754" spans="1:63" ht="13.8" x14ac:dyDescent="0.3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176"/>
      <c r="V754" s="68"/>
      <c r="W754" s="68"/>
      <c r="X754" s="68"/>
      <c r="Y754" s="68"/>
      <c r="Z754" s="68"/>
      <c r="AA754" s="68"/>
      <c r="AB754" s="177"/>
      <c r="AC754" s="68"/>
      <c r="AD754" s="68"/>
      <c r="AE754" s="177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</row>
    <row r="755" spans="1:63" ht="13.8" x14ac:dyDescent="0.3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176"/>
      <c r="V755" s="68"/>
      <c r="W755" s="68"/>
      <c r="X755" s="68"/>
      <c r="Y755" s="68"/>
      <c r="Z755" s="68"/>
      <c r="AA755" s="68"/>
      <c r="AB755" s="177"/>
      <c r="AC755" s="68"/>
      <c r="AD755" s="68"/>
      <c r="AE755" s="177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</row>
    <row r="756" spans="1:63" ht="13.8" x14ac:dyDescent="0.3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176"/>
      <c r="V756" s="68"/>
      <c r="W756" s="68"/>
      <c r="X756" s="68"/>
      <c r="Y756" s="68"/>
      <c r="Z756" s="68"/>
      <c r="AA756" s="68"/>
      <c r="AB756" s="177"/>
      <c r="AC756" s="68"/>
      <c r="AD756" s="68"/>
      <c r="AE756" s="177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</row>
    <row r="757" spans="1:63" ht="13.8" x14ac:dyDescent="0.3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176"/>
      <c r="V757" s="68"/>
      <c r="W757" s="68"/>
      <c r="X757" s="68"/>
      <c r="Y757" s="68"/>
      <c r="Z757" s="68"/>
      <c r="AA757" s="68"/>
      <c r="AB757" s="177"/>
      <c r="AC757" s="68"/>
      <c r="AD757" s="68"/>
      <c r="AE757" s="177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</row>
    <row r="758" spans="1:63" ht="13.8" x14ac:dyDescent="0.3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176"/>
      <c r="V758" s="68"/>
      <c r="W758" s="68"/>
      <c r="X758" s="68"/>
      <c r="Y758" s="68"/>
      <c r="Z758" s="68"/>
      <c r="AA758" s="68"/>
      <c r="AB758" s="177"/>
      <c r="AC758" s="68"/>
      <c r="AD758" s="68"/>
      <c r="AE758" s="177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</row>
    <row r="759" spans="1:63" ht="13.8" x14ac:dyDescent="0.3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176"/>
      <c r="V759" s="68"/>
      <c r="W759" s="68"/>
      <c r="X759" s="68"/>
      <c r="Y759" s="68"/>
      <c r="Z759" s="68"/>
      <c r="AA759" s="68"/>
      <c r="AB759" s="177"/>
      <c r="AC759" s="68"/>
      <c r="AD759" s="68"/>
      <c r="AE759" s="177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</row>
    <row r="760" spans="1:63" ht="13.8" x14ac:dyDescent="0.3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176"/>
      <c r="V760" s="68"/>
      <c r="W760" s="68"/>
      <c r="X760" s="68"/>
      <c r="Y760" s="68"/>
      <c r="Z760" s="68"/>
      <c r="AA760" s="68"/>
      <c r="AB760" s="177"/>
      <c r="AC760" s="68"/>
      <c r="AD760" s="68"/>
      <c r="AE760" s="177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</row>
    <row r="761" spans="1:63" ht="13.8" x14ac:dyDescent="0.3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176"/>
      <c r="V761" s="68"/>
      <c r="W761" s="68"/>
      <c r="X761" s="68"/>
      <c r="Y761" s="68"/>
      <c r="Z761" s="68"/>
      <c r="AA761" s="68"/>
      <c r="AB761" s="177"/>
      <c r="AC761" s="68"/>
      <c r="AD761" s="68"/>
      <c r="AE761" s="177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</row>
    <row r="762" spans="1:63" ht="13.8" x14ac:dyDescent="0.3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176"/>
      <c r="V762" s="68"/>
      <c r="W762" s="68"/>
      <c r="X762" s="68"/>
      <c r="Y762" s="68"/>
      <c r="Z762" s="68"/>
      <c r="AA762" s="68"/>
      <c r="AB762" s="177"/>
      <c r="AC762" s="68"/>
      <c r="AD762" s="68"/>
      <c r="AE762" s="177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</row>
    <row r="763" spans="1:63" ht="13.8" x14ac:dyDescent="0.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176"/>
      <c r="V763" s="68"/>
      <c r="W763" s="68"/>
      <c r="X763" s="68"/>
      <c r="Y763" s="68"/>
      <c r="Z763" s="68"/>
      <c r="AA763" s="68"/>
      <c r="AB763" s="177"/>
      <c r="AC763" s="68"/>
      <c r="AD763" s="68"/>
      <c r="AE763" s="177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</row>
    <row r="764" spans="1:63" ht="13.8" x14ac:dyDescent="0.3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176"/>
      <c r="V764" s="68"/>
      <c r="W764" s="68"/>
      <c r="X764" s="68"/>
      <c r="Y764" s="68"/>
      <c r="Z764" s="68"/>
      <c r="AA764" s="68"/>
      <c r="AB764" s="177"/>
      <c r="AC764" s="68"/>
      <c r="AD764" s="68"/>
      <c r="AE764" s="177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</row>
    <row r="765" spans="1:63" ht="13.8" x14ac:dyDescent="0.3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176"/>
      <c r="V765" s="68"/>
      <c r="W765" s="68"/>
      <c r="X765" s="68"/>
      <c r="Y765" s="68"/>
      <c r="Z765" s="68"/>
      <c r="AA765" s="68"/>
      <c r="AB765" s="177"/>
      <c r="AC765" s="68"/>
      <c r="AD765" s="68"/>
      <c r="AE765" s="177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</row>
    <row r="766" spans="1:63" ht="13.8" x14ac:dyDescent="0.3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176"/>
      <c r="V766" s="68"/>
      <c r="W766" s="68"/>
      <c r="X766" s="68"/>
      <c r="Y766" s="68"/>
      <c r="Z766" s="68"/>
      <c r="AA766" s="68"/>
      <c r="AB766" s="177"/>
      <c r="AC766" s="68"/>
      <c r="AD766" s="68"/>
      <c r="AE766" s="177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</row>
    <row r="767" spans="1:63" ht="13.8" x14ac:dyDescent="0.3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176"/>
      <c r="V767" s="68"/>
      <c r="W767" s="68"/>
      <c r="X767" s="68"/>
      <c r="Y767" s="68"/>
      <c r="Z767" s="68"/>
      <c r="AA767" s="68"/>
      <c r="AB767" s="177"/>
      <c r="AC767" s="68"/>
      <c r="AD767" s="68"/>
      <c r="AE767" s="177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</row>
    <row r="768" spans="1:63" ht="13.8" x14ac:dyDescent="0.3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176"/>
      <c r="V768" s="68"/>
      <c r="W768" s="68"/>
      <c r="X768" s="68"/>
      <c r="Y768" s="68"/>
      <c r="Z768" s="68"/>
      <c r="AA768" s="68"/>
      <c r="AB768" s="177"/>
      <c r="AC768" s="68"/>
      <c r="AD768" s="68"/>
      <c r="AE768" s="177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</row>
    <row r="769" spans="1:63" ht="13.8" x14ac:dyDescent="0.3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176"/>
      <c r="V769" s="68"/>
      <c r="W769" s="68"/>
      <c r="X769" s="68"/>
      <c r="Y769" s="68"/>
      <c r="Z769" s="68"/>
      <c r="AA769" s="68"/>
      <c r="AB769" s="177"/>
      <c r="AC769" s="68"/>
      <c r="AD769" s="68"/>
      <c r="AE769" s="177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</row>
    <row r="770" spans="1:63" ht="13.8" x14ac:dyDescent="0.3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176"/>
      <c r="V770" s="68"/>
      <c r="W770" s="68"/>
      <c r="X770" s="68"/>
      <c r="Y770" s="68"/>
      <c r="Z770" s="68"/>
      <c r="AA770" s="68"/>
      <c r="AB770" s="177"/>
      <c r="AC770" s="68"/>
      <c r="AD770" s="68"/>
      <c r="AE770" s="177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</row>
    <row r="771" spans="1:63" ht="13.8" x14ac:dyDescent="0.3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176"/>
      <c r="V771" s="68"/>
      <c r="W771" s="68"/>
      <c r="X771" s="68"/>
      <c r="Y771" s="68"/>
      <c r="Z771" s="68"/>
      <c r="AA771" s="68"/>
      <c r="AB771" s="177"/>
      <c r="AC771" s="68"/>
      <c r="AD771" s="68"/>
      <c r="AE771" s="177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</row>
    <row r="772" spans="1:63" ht="13.8" x14ac:dyDescent="0.3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176"/>
      <c r="V772" s="68"/>
      <c r="W772" s="68"/>
      <c r="X772" s="68"/>
      <c r="Y772" s="68"/>
      <c r="Z772" s="68"/>
      <c r="AA772" s="68"/>
      <c r="AB772" s="177"/>
      <c r="AC772" s="68"/>
      <c r="AD772" s="68"/>
      <c r="AE772" s="177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</row>
    <row r="773" spans="1:63" ht="13.8" x14ac:dyDescent="0.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176"/>
      <c r="V773" s="68"/>
      <c r="W773" s="68"/>
      <c r="X773" s="68"/>
      <c r="Y773" s="68"/>
      <c r="Z773" s="68"/>
      <c r="AA773" s="68"/>
      <c r="AB773" s="177"/>
      <c r="AC773" s="68"/>
      <c r="AD773" s="68"/>
      <c r="AE773" s="177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</row>
    <row r="774" spans="1:63" ht="13.8" x14ac:dyDescent="0.3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176"/>
      <c r="V774" s="68"/>
      <c r="W774" s="68"/>
      <c r="X774" s="68"/>
      <c r="Y774" s="68"/>
      <c r="Z774" s="68"/>
      <c r="AA774" s="68"/>
      <c r="AB774" s="177"/>
      <c r="AC774" s="68"/>
      <c r="AD774" s="68"/>
      <c r="AE774" s="177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</row>
    <row r="775" spans="1:63" ht="13.8" x14ac:dyDescent="0.3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176"/>
      <c r="V775" s="68"/>
      <c r="W775" s="68"/>
      <c r="X775" s="68"/>
      <c r="Y775" s="68"/>
      <c r="Z775" s="68"/>
      <c r="AA775" s="68"/>
      <c r="AB775" s="177"/>
      <c r="AC775" s="68"/>
      <c r="AD775" s="68"/>
      <c r="AE775" s="177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</row>
    <row r="776" spans="1:63" ht="13.8" x14ac:dyDescent="0.3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176"/>
      <c r="V776" s="68"/>
      <c r="W776" s="68"/>
      <c r="X776" s="68"/>
      <c r="Y776" s="68"/>
      <c r="Z776" s="68"/>
      <c r="AA776" s="68"/>
      <c r="AB776" s="177"/>
      <c r="AC776" s="68"/>
      <c r="AD776" s="68"/>
      <c r="AE776" s="177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</row>
    <row r="777" spans="1:63" ht="13.8" x14ac:dyDescent="0.3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176"/>
      <c r="V777" s="68"/>
      <c r="W777" s="68"/>
      <c r="X777" s="68"/>
      <c r="Y777" s="68"/>
      <c r="Z777" s="68"/>
      <c r="AA777" s="68"/>
      <c r="AB777" s="177"/>
      <c r="AC777" s="68"/>
      <c r="AD777" s="68"/>
      <c r="AE777" s="177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</row>
    <row r="778" spans="1:63" ht="13.8" x14ac:dyDescent="0.3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176"/>
      <c r="V778" s="68"/>
      <c r="W778" s="68"/>
      <c r="X778" s="68"/>
      <c r="Y778" s="68"/>
      <c r="Z778" s="68"/>
      <c r="AA778" s="68"/>
      <c r="AB778" s="177"/>
      <c r="AC778" s="68"/>
      <c r="AD778" s="68"/>
      <c r="AE778" s="177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</row>
    <row r="779" spans="1:63" ht="13.8" x14ac:dyDescent="0.3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176"/>
      <c r="V779" s="68"/>
      <c r="W779" s="68"/>
      <c r="X779" s="68"/>
      <c r="Y779" s="68"/>
      <c r="Z779" s="68"/>
      <c r="AA779" s="68"/>
      <c r="AB779" s="177"/>
      <c r="AC779" s="68"/>
      <c r="AD779" s="68"/>
      <c r="AE779" s="177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</row>
    <row r="780" spans="1:63" ht="13.8" x14ac:dyDescent="0.3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176"/>
      <c r="V780" s="68"/>
      <c r="W780" s="68"/>
      <c r="X780" s="68"/>
      <c r="Y780" s="68"/>
      <c r="Z780" s="68"/>
      <c r="AA780" s="68"/>
      <c r="AB780" s="177"/>
      <c r="AC780" s="68"/>
      <c r="AD780" s="68"/>
      <c r="AE780" s="177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</row>
    <row r="781" spans="1:63" ht="13.8" x14ac:dyDescent="0.3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176"/>
      <c r="V781" s="68"/>
      <c r="W781" s="68"/>
      <c r="X781" s="68"/>
      <c r="Y781" s="68"/>
      <c r="Z781" s="68"/>
      <c r="AA781" s="68"/>
      <c r="AB781" s="177"/>
      <c r="AC781" s="68"/>
      <c r="AD781" s="68"/>
      <c r="AE781" s="177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</row>
    <row r="782" spans="1:63" ht="13.8" x14ac:dyDescent="0.3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176"/>
      <c r="V782" s="68"/>
      <c r="W782" s="68"/>
      <c r="X782" s="68"/>
      <c r="Y782" s="68"/>
      <c r="Z782" s="68"/>
      <c r="AA782" s="68"/>
      <c r="AB782" s="177"/>
      <c r="AC782" s="68"/>
      <c r="AD782" s="68"/>
      <c r="AE782" s="177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</row>
    <row r="783" spans="1:63" ht="13.8" x14ac:dyDescent="0.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176"/>
      <c r="V783" s="68"/>
      <c r="W783" s="68"/>
      <c r="X783" s="68"/>
      <c r="Y783" s="68"/>
      <c r="Z783" s="68"/>
      <c r="AA783" s="68"/>
      <c r="AB783" s="177"/>
      <c r="AC783" s="68"/>
      <c r="AD783" s="68"/>
      <c r="AE783" s="177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</row>
    <row r="784" spans="1:63" ht="13.8" x14ac:dyDescent="0.3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176"/>
      <c r="V784" s="68"/>
      <c r="W784" s="68"/>
      <c r="X784" s="68"/>
      <c r="Y784" s="68"/>
      <c r="Z784" s="68"/>
      <c r="AA784" s="68"/>
      <c r="AB784" s="177"/>
      <c r="AC784" s="68"/>
      <c r="AD784" s="68"/>
      <c r="AE784" s="177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</row>
    <row r="785" spans="1:63" ht="13.8" x14ac:dyDescent="0.3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176"/>
      <c r="V785" s="68"/>
      <c r="W785" s="68"/>
      <c r="X785" s="68"/>
      <c r="Y785" s="68"/>
      <c r="Z785" s="68"/>
      <c r="AA785" s="68"/>
      <c r="AB785" s="177"/>
      <c r="AC785" s="68"/>
      <c r="AD785" s="68"/>
      <c r="AE785" s="177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</row>
    <row r="786" spans="1:63" ht="13.8" x14ac:dyDescent="0.3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176"/>
      <c r="V786" s="68"/>
      <c r="W786" s="68"/>
      <c r="X786" s="68"/>
      <c r="Y786" s="68"/>
      <c r="Z786" s="68"/>
      <c r="AA786" s="68"/>
      <c r="AB786" s="177"/>
      <c r="AC786" s="68"/>
      <c r="AD786" s="68"/>
      <c r="AE786" s="177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</row>
    <row r="787" spans="1:63" ht="13.8" x14ac:dyDescent="0.3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176"/>
      <c r="V787" s="68"/>
      <c r="W787" s="68"/>
      <c r="X787" s="68"/>
      <c r="Y787" s="68"/>
      <c r="Z787" s="68"/>
      <c r="AA787" s="68"/>
      <c r="AB787" s="177"/>
      <c r="AC787" s="68"/>
      <c r="AD787" s="68"/>
      <c r="AE787" s="177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</row>
    <row r="788" spans="1:63" ht="13.8" x14ac:dyDescent="0.3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176"/>
      <c r="V788" s="68"/>
      <c r="W788" s="68"/>
      <c r="X788" s="68"/>
      <c r="Y788" s="68"/>
      <c r="Z788" s="68"/>
      <c r="AA788" s="68"/>
      <c r="AB788" s="177"/>
      <c r="AC788" s="68"/>
      <c r="AD788" s="68"/>
      <c r="AE788" s="177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</row>
    <row r="789" spans="1:63" ht="13.8" x14ac:dyDescent="0.3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176"/>
      <c r="V789" s="68"/>
      <c r="W789" s="68"/>
      <c r="X789" s="68"/>
      <c r="Y789" s="68"/>
      <c r="Z789" s="68"/>
      <c r="AA789" s="68"/>
      <c r="AB789" s="177"/>
      <c r="AC789" s="68"/>
      <c r="AD789" s="68"/>
      <c r="AE789" s="177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</row>
    <row r="790" spans="1:63" ht="13.8" x14ac:dyDescent="0.3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176"/>
      <c r="V790" s="68"/>
      <c r="W790" s="68"/>
      <c r="X790" s="68"/>
      <c r="Y790" s="68"/>
      <c r="Z790" s="68"/>
      <c r="AA790" s="68"/>
      <c r="AB790" s="177"/>
      <c r="AC790" s="68"/>
      <c r="AD790" s="68"/>
      <c r="AE790" s="177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</row>
    <row r="791" spans="1:63" ht="13.8" x14ac:dyDescent="0.3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176"/>
      <c r="V791" s="68"/>
      <c r="W791" s="68"/>
      <c r="X791" s="68"/>
      <c r="Y791" s="68"/>
      <c r="Z791" s="68"/>
      <c r="AA791" s="68"/>
      <c r="AB791" s="177"/>
      <c r="AC791" s="68"/>
      <c r="AD791" s="68"/>
      <c r="AE791" s="177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</row>
    <row r="792" spans="1:63" ht="13.8" x14ac:dyDescent="0.3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176"/>
      <c r="V792" s="68"/>
      <c r="W792" s="68"/>
      <c r="X792" s="68"/>
      <c r="Y792" s="68"/>
      <c r="Z792" s="68"/>
      <c r="AA792" s="68"/>
      <c r="AB792" s="177"/>
      <c r="AC792" s="68"/>
      <c r="AD792" s="68"/>
      <c r="AE792" s="177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</row>
    <row r="793" spans="1:63" ht="13.8" x14ac:dyDescent="0.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176"/>
      <c r="V793" s="68"/>
      <c r="W793" s="68"/>
      <c r="X793" s="68"/>
      <c r="Y793" s="68"/>
      <c r="Z793" s="68"/>
      <c r="AA793" s="68"/>
      <c r="AB793" s="177"/>
      <c r="AC793" s="68"/>
      <c r="AD793" s="68"/>
      <c r="AE793" s="177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</row>
    <row r="794" spans="1:63" ht="13.8" x14ac:dyDescent="0.3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176"/>
      <c r="V794" s="68"/>
      <c r="W794" s="68"/>
      <c r="X794" s="68"/>
      <c r="Y794" s="68"/>
      <c r="Z794" s="68"/>
      <c r="AA794" s="68"/>
      <c r="AB794" s="177"/>
      <c r="AC794" s="68"/>
      <c r="AD794" s="68"/>
      <c r="AE794" s="177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</row>
    <row r="795" spans="1:63" ht="13.8" x14ac:dyDescent="0.3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176"/>
      <c r="V795" s="68"/>
      <c r="W795" s="68"/>
      <c r="X795" s="68"/>
      <c r="Y795" s="68"/>
      <c r="Z795" s="68"/>
      <c r="AA795" s="68"/>
      <c r="AB795" s="177"/>
      <c r="AC795" s="68"/>
      <c r="AD795" s="68"/>
      <c r="AE795" s="177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</row>
    <row r="796" spans="1:63" ht="13.8" x14ac:dyDescent="0.3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176"/>
      <c r="V796" s="68"/>
      <c r="W796" s="68"/>
      <c r="X796" s="68"/>
      <c r="Y796" s="68"/>
      <c r="Z796" s="68"/>
      <c r="AA796" s="68"/>
      <c r="AB796" s="177"/>
      <c r="AC796" s="68"/>
      <c r="AD796" s="68"/>
      <c r="AE796" s="177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</row>
    <row r="797" spans="1:63" ht="13.8" x14ac:dyDescent="0.3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176"/>
      <c r="V797" s="68"/>
      <c r="W797" s="68"/>
      <c r="X797" s="68"/>
      <c r="Y797" s="68"/>
      <c r="Z797" s="68"/>
      <c r="AA797" s="68"/>
      <c r="AB797" s="177"/>
      <c r="AC797" s="68"/>
      <c r="AD797" s="68"/>
      <c r="AE797" s="177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</row>
    <row r="798" spans="1:63" ht="13.8" x14ac:dyDescent="0.3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176"/>
      <c r="V798" s="68"/>
      <c r="W798" s="68"/>
      <c r="X798" s="68"/>
      <c r="Y798" s="68"/>
      <c r="Z798" s="68"/>
      <c r="AA798" s="68"/>
      <c r="AB798" s="177"/>
      <c r="AC798" s="68"/>
      <c r="AD798" s="68"/>
      <c r="AE798" s="177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</row>
    <row r="799" spans="1:63" ht="13.8" x14ac:dyDescent="0.3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176"/>
      <c r="V799" s="68"/>
      <c r="W799" s="68"/>
      <c r="X799" s="68"/>
      <c r="Y799" s="68"/>
      <c r="Z799" s="68"/>
      <c r="AA799" s="68"/>
      <c r="AB799" s="177"/>
      <c r="AC799" s="68"/>
      <c r="AD799" s="68"/>
      <c r="AE799" s="177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</row>
    <row r="800" spans="1:63" ht="13.8" x14ac:dyDescent="0.3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176"/>
      <c r="V800" s="68"/>
      <c r="W800" s="68"/>
      <c r="X800" s="68"/>
      <c r="Y800" s="68"/>
      <c r="Z800" s="68"/>
      <c r="AA800" s="68"/>
      <c r="AB800" s="177"/>
      <c r="AC800" s="68"/>
      <c r="AD800" s="68"/>
      <c r="AE800" s="177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</row>
    <row r="801" spans="1:63" ht="13.8" x14ac:dyDescent="0.3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176"/>
      <c r="V801" s="68"/>
      <c r="W801" s="68"/>
      <c r="X801" s="68"/>
      <c r="Y801" s="68"/>
      <c r="Z801" s="68"/>
      <c r="AA801" s="68"/>
      <c r="AB801" s="177"/>
      <c r="AC801" s="68"/>
      <c r="AD801" s="68"/>
      <c r="AE801" s="177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</row>
    <row r="802" spans="1:63" ht="13.8" x14ac:dyDescent="0.3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176"/>
      <c r="V802" s="68"/>
      <c r="W802" s="68"/>
      <c r="X802" s="68"/>
      <c r="Y802" s="68"/>
      <c r="Z802" s="68"/>
      <c r="AA802" s="68"/>
      <c r="AB802" s="177"/>
      <c r="AC802" s="68"/>
      <c r="AD802" s="68"/>
      <c r="AE802" s="177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</row>
    <row r="803" spans="1:63" ht="13.8" x14ac:dyDescent="0.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176"/>
      <c r="V803" s="68"/>
      <c r="W803" s="68"/>
      <c r="X803" s="68"/>
      <c r="Y803" s="68"/>
      <c r="Z803" s="68"/>
      <c r="AA803" s="68"/>
      <c r="AB803" s="177"/>
      <c r="AC803" s="68"/>
      <c r="AD803" s="68"/>
      <c r="AE803" s="177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</row>
    <row r="804" spans="1:63" ht="13.8" x14ac:dyDescent="0.3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176"/>
      <c r="V804" s="68"/>
      <c r="W804" s="68"/>
      <c r="X804" s="68"/>
      <c r="Y804" s="68"/>
      <c r="Z804" s="68"/>
      <c r="AA804" s="68"/>
      <c r="AB804" s="177"/>
      <c r="AC804" s="68"/>
      <c r="AD804" s="68"/>
      <c r="AE804" s="177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</row>
    <row r="805" spans="1:63" ht="13.8" x14ac:dyDescent="0.3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176"/>
      <c r="V805" s="68"/>
      <c r="W805" s="68"/>
      <c r="X805" s="68"/>
      <c r="Y805" s="68"/>
      <c r="Z805" s="68"/>
      <c r="AA805" s="68"/>
      <c r="AB805" s="177"/>
      <c r="AC805" s="68"/>
      <c r="AD805" s="68"/>
      <c r="AE805" s="177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</row>
    <row r="806" spans="1:63" ht="13.8" x14ac:dyDescent="0.3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176"/>
      <c r="V806" s="68"/>
      <c r="W806" s="68"/>
      <c r="X806" s="68"/>
      <c r="Y806" s="68"/>
      <c r="Z806" s="68"/>
      <c r="AA806" s="68"/>
      <c r="AB806" s="177"/>
      <c r="AC806" s="68"/>
      <c r="AD806" s="68"/>
      <c r="AE806" s="177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</row>
    <row r="807" spans="1:63" ht="13.8" x14ac:dyDescent="0.3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176"/>
      <c r="V807" s="68"/>
      <c r="W807" s="68"/>
      <c r="X807" s="68"/>
      <c r="Y807" s="68"/>
      <c r="Z807" s="68"/>
      <c r="AA807" s="68"/>
      <c r="AB807" s="177"/>
      <c r="AC807" s="68"/>
      <c r="AD807" s="68"/>
      <c r="AE807" s="177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</row>
    <row r="808" spans="1:63" ht="13.8" x14ac:dyDescent="0.3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176"/>
      <c r="V808" s="68"/>
      <c r="W808" s="68"/>
      <c r="X808" s="68"/>
      <c r="Y808" s="68"/>
      <c r="Z808" s="68"/>
      <c r="AA808" s="68"/>
      <c r="AB808" s="177"/>
      <c r="AC808" s="68"/>
      <c r="AD808" s="68"/>
      <c r="AE808" s="177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</row>
    <row r="809" spans="1:63" ht="13.8" x14ac:dyDescent="0.3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176"/>
      <c r="V809" s="68"/>
      <c r="W809" s="68"/>
      <c r="X809" s="68"/>
      <c r="Y809" s="68"/>
      <c r="Z809" s="68"/>
      <c r="AA809" s="68"/>
      <c r="AB809" s="177"/>
      <c r="AC809" s="68"/>
      <c r="AD809" s="68"/>
      <c r="AE809" s="177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</row>
    <row r="810" spans="1:63" ht="13.8" x14ac:dyDescent="0.3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176"/>
      <c r="V810" s="68"/>
      <c r="W810" s="68"/>
      <c r="X810" s="68"/>
      <c r="Y810" s="68"/>
      <c r="Z810" s="68"/>
      <c r="AA810" s="68"/>
      <c r="AB810" s="177"/>
      <c r="AC810" s="68"/>
      <c r="AD810" s="68"/>
      <c r="AE810" s="177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</row>
    <row r="811" spans="1:63" ht="13.8" x14ac:dyDescent="0.3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176"/>
      <c r="V811" s="68"/>
      <c r="W811" s="68"/>
      <c r="X811" s="68"/>
      <c r="Y811" s="68"/>
      <c r="Z811" s="68"/>
      <c r="AA811" s="68"/>
      <c r="AB811" s="177"/>
      <c r="AC811" s="68"/>
      <c r="AD811" s="68"/>
      <c r="AE811" s="177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</row>
    <row r="812" spans="1:63" ht="13.8" x14ac:dyDescent="0.3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176"/>
      <c r="V812" s="68"/>
      <c r="W812" s="68"/>
      <c r="X812" s="68"/>
      <c r="Y812" s="68"/>
      <c r="Z812" s="68"/>
      <c r="AA812" s="68"/>
      <c r="AB812" s="177"/>
      <c r="AC812" s="68"/>
      <c r="AD812" s="68"/>
      <c r="AE812" s="177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</row>
    <row r="813" spans="1:63" ht="13.8" x14ac:dyDescent="0.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176"/>
      <c r="V813" s="68"/>
      <c r="W813" s="68"/>
      <c r="X813" s="68"/>
      <c r="Y813" s="68"/>
      <c r="Z813" s="68"/>
      <c r="AA813" s="68"/>
      <c r="AB813" s="177"/>
      <c r="AC813" s="68"/>
      <c r="AD813" s="68"/>
      <c r="AE813" s="177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</row>
    <row r="814" spans="1:63" ht="13.8" x14ac:dyDescent="0.3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176"/>
      <c r="V814" s="68"/>
      <c r="W814" s="68"/>
      <c r="X814" s="68"/>
      <c r="Y814" s="68"/>
      <c r="Z814" s="68"/>
      <c r="AA814" s="68"/>
      <c r="AB814" s="177"/>
      <c r="AC814" s="68"/>
      <c r="AD814" s="68"/>
      <c r="AE814" s="177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</row>
    <row r="815" spans="1:63" ht="13.8" x14ac:dyDescent="0.3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176"/>
      <c r="V815" s="68"/>
      <c r="W815" s="68"/>
      <c r="X815" s="68"/>
      <c r="Y815" s="68"/>
      <c r="Z815" s="68"/>
      <c r="AA815" s="68"/>
      <c r="AB815" s="177"/>
      <c r="AC815" s="68"/>
      <c r="AD815" s="68"/>
      <c r="AE815" s="177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</row>
    <row r="816" spans="1:63" ht="13.8" x14ac:dyDescent="0.3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176"/>
      <c r="V816" s="68"/>
      <c r="W816" s="68"/>
      <c r="X816" s="68"/>
      <c r="Y816" s="68"/>
      <c r="Z816" s="68"/>
      <c r="AA816" s="68"/>
      <c r="AB816" s="177"/>
      <c r="AC816" s="68"/>
      <c r="AD816" s="68"/>
      <c r="AE816" s="177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</row>
    <row r="817" spans="1:63" ht="13.8" x14ac:dyDescent="0.3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176"/>
      <c r="V817" s="68"/>
      <c r="W817" s="68"/>
      <c r="X817" s="68"/>
      <c r="Y817" s="68"/>
      <c r="Z817" s="68"/>
      <c r="AA817" s="68"/>
      <c r="AB817" s="177"/>
      <c r="AC817" s="68"/>
      <c r="AD817" s="68"/>
      <c r="AE817" s="177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</row>
    <row r="818" spans="1:63" ht="13.8" x14ac:dyDescent="0.3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176"/>
      <c r="V818" s="68"/>
      <c r="W818" s="68"/>
      <c r="X818" s="68"/>
      <c r="Y818" s="68"/>
      <c r="Z818" s="68"/>
      <c r="AA818" s="68"/>
      <c r="AB818" s="177"/>
      <c r="AC818" s="68"/>
      <c r="AD818" s="68"/>
      <c r="AE818" s="177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</row>
    <row r="819" spans="1:63" ht="13.8" x14ac:dyDescent="0.3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176"/>
      <c r="V819" s="68"/>
      <c r="W819" s="68"/>
      <c r="X819" s="68"/>
      <c r="Y819" s="68"/>
      <c r="Z819" s="68"/>
      <c r="AA819" s="68"/>
      <c r="AB819" s="177"/>
      <c r="AC819" s="68"/>
      <c r="AD819" s="68"/>
      <c r="AE819" s="177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</row>
    <row r="820" spans="1:63" ht="13.8" x14ac:dyDescent="0.3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176"/>
      <c r="V820" s="68"/>
      <c r="W820" s="68"/>
      <c r="X820" s="68"/>
      <c r="Y820" s="68"/>
      <c r="Z820" s="68"/>
      <c r="AA820" s="68"/>
      <c r="AB820" s="177"/>
      <c r="AC820" s="68"/>
      <c r="AD820" s="68"/>
      <c r="AE820" s="177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</row>
    <row r="821" spans="1:63" ht="13.8" x14ac:dyDescent="0.3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176"/>
      <c r="V821" s="68"/>
      <c r="W821" s="68"/>
      <c r="X821" s="68"/>
      <c r="Y821" s="68"/>
      <c r="Z821" s="68"/>
      <c r="AA821" s="68"/>
      <c r="AB821" s="177"/>
      <c r="AC821" s="68"/>
      <c r="AD821" s="68"/>
      <c r="AE821" s="177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</row>
    <row r="822" spans="1:63" ht="13.8" x14ac:dyDescent="0.3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176"/>
      <c r="V822" s="68"/>
      <c r="W822" s="68"/>
      <c r="X822" s="68"/>
      <c r="Y822" s="68"/>
      <c r="Z822" s="68"/>
      <c r="AA822" s="68"/>
      <c r="AB822" s="177"/>
      <c r="AC822" s="68"/>
      <c r="AD822" s="68"/>
      <c r="AE822" s="177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</row>
    <row r="823" spans="1:63" ht="13.8" x14ac:dyDescent="0.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176"/>
      <c r="V823" s="68"/>
      <c r="W823" s="68"/>
      <c r="X823" s="68"/>
      <c r="Y823" s="68"/>
      <c r="Z823" s="68"/>
      <c r="AA823" s="68"/>
      <c r="AB823" s="177"/>
      <c r="AC823" s="68"/>
      <c r="AD823" s="68"/>
      <c r="AE823" s="177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</row>
    <row r="824" spans="1:63" ht="13.8" x14ac:dyDescent="0.3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176"/>
      <c r="V824" s="68"/>
      <c r="W824" s="68"/>
      <c r="X824" s="68"/>
      <c r="Y824" s="68"/>
      <c r="Z824" s="68"/>
      <c r="AA824" s="68"/>
      <c r="AB824" s="177"/>
      <c r="AC824" s="68"/>
      <c r="AD824" s="68"/>
      <c r="AE824" s="177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</row>
    <row r="825" spans="1:63" ht="13.8" x14ac:dyDescent="0.3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176"/>
      <c r="V825" s="68"/>
      <c r="W825" s="68"/>
      <c r="X825" s="68"/>
      <c r="Y825" s="68"/>
      <c r="Z825" s="68"/>
      <c r="AA825" s="68"/>
      <c r="AB825" s="177"/>
      <c r="AC825" s="68"/>
      <c r="AD825" s="68"/>
      <c r="AE825" s="177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</row>
    <row r="826" spans="1:63" ht="13.8" x14ac:dyDescent="0.3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176"/>
      <c r="V826" s="68"/>
      <c r="W826" s="68"/>
      <c r="X826" s="68"/>
      <c r="Y826" s="68"/>
      <c r="Z826" s="68"/>
      <c r="AA826" s="68"/>
      <c r="AB826" s="177"/>
      <c r="AC826" s="68"/>
      <c r="AD826" s="68"/>
      <c r="AE826" s="177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</row>
    <row r="827" spans="1:63" ht="13.8" x14ac:dyDescent="0.3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176"/>
      <c r="V827" s="68"/>
      <c r="W827" s="68"/>
      <c r="X827" s="68"/>
      <c r="Y827" s="68"/>
      <c r="Z827" s="68"/>
      <c r="AA827" s="68"/>
      <c r="AB827" s="177"/>
      <c r="AC827" s="68"/>
      <c r="AD827" s="68"/>
      <c r="AE827" s="177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</row>
    <row r="828" spans="1:63" ht="13.8" x14ac:dyDescent="0.3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176"/>
      <c r="V828" s="68"/>
      <c r="W828" s="68"/>
      <c r="X828" s="68"/>
      <c r="Y828" s="68"/>
      <c r="Z828" s="68"/>
      <c r="AA828" s="68"/>
      <c r="AB828" s="177"/>
      <c r="AC828" s="68"/>
      <c r="AD828" s="68"/>
      <c r="AE828" s="177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</row>
    <row r="829" spans="1:63" ht="13.8" x14ac:dyDescent="0.3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176"/>
      <c r="V829" s="68"/>
      <c r="W829" s="68"/>
      <c r="X829" s="68"/>
      <c r="Y829" s="68"/>
      <c r="Z829" s="68"/>
      <c r="AA829" s="68"/>
      <c r="AB829" s="177"/>
      <c r="AC829" s="68"/>
      <c r="AD829" s="68"/>
      <c r="AE829" s="177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</row>
    <row r="830" spans="1:63" ht="13.8" x14ac:dyDescent="0.3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176"/>
      <c r="V830" s="68"/>
      <c r="W830" s="68"/>
      <c r="X830" s="68"/>
      <c r="Y830" s="68"/>
      <c r="Z830" s="68"/>
      <c r="AA830" s="68"/>
      <c r="AB830" s="177"/>
      <c r="AC830" s="68"/>
      <c r="AD830" s="68"/>
      <c r="AE830" s="177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</row>
    <row r="831" spans="1:63" ht="13.8" x14ac:dyDescent="0.3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176"/>
      <c r="V831" s="68"/>
      <c r="W831" s="68"/>
      <c r="X831" s="68"/>
      <c r="Y831" s="68"/>
      <c r="Z831" s="68"/>
      <c r="AA831" s="68"/>
      <c r="AB831" s="177"/>
      <c r="AC831" s="68"/>
      <c r="AD831" s="68"/>
      <c r="AE831" s="177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</row>
    <row r="832" spans="1:63" ht="13.8" x14ac:dyDescent="0.3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176"/>
      <c r="V832" s="68"/>
      <c r="W832" s="68"/>
      <c r="X832" s="68"/>
      <c r="Y832" s="68"/>
      <c r="Z832" s="68"/>
      <c r="AA832" s="68"/>
      <c r="AB832" s="177"/>
      <c r="AC832" s="68"/>
      <c r="AD832" s="68"/>
      <c r="AE832" s="177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</row>
    <row r="833" spans="1:63" ht="13.8" x14ac:dyDescent="0.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176"/>
      <c r="V833" s="68"/>
      <c r="W833" s="68"/>
      <c r="X833" s="68"/>
      <c r="Y833" s="68"/>
      <c r="Z833" s="68"/>
      <c r="AA833" s="68"/>
      <c r="AB833" s="177"/>
      <c r="AC833" s="68"/>
      <c r="AD833" s="68"/>
      <c r="AE833" s="177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</row>
    <row r="834" spans="1:63" ht="13.8" x14ac:dyDescent="0.3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176"/>
      <c r="V834" s="68"/>
      <c r="W834" s="68"/>
      <c r="X834" s="68"/>
      <c r="Y834" s="68"/>
      <c r="Z834" s="68"/>
      <c r="AA834" s="68"/>
      <c r="AB834" s="177"/>
      <c r="AC834" s="68"/>
      <c r="AD834" s="68"/>
      <c r="AE834" s="177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</row>
    <row r="835" spans="1:63" ht="13.8" x14ac:dyDescent="0.3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176"/>
      <c r="V835" s="68"/>
      <c r="W835" s="68"/>
      <c r="X835" s="68"/>
      <c r="Y835" s="68"/>
      <c r="Z835" s="68"/>
      <c r="AA835" s="68"/>
      <c r="AB835" s="177"/>
      <c r="AC835" s="68"/>
      <c r="AD835" s="68"/>
      <c r="AE835" s="177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</row>
    <row r="836" spans="1:63" ht="13.8" x14ac:dyDescent="0.3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176"/>
      <c r="V836" s="68"/>
      <c r="W836" s="68"/>
      <c r="X836" s="68"/>
      <c r="Y836" s="68"/>
      <c r="Z836" s="68"/>
      <c r="AA836" s="68"/>
      <c r="AB836" s="177"/>
      <c r="AC836" s="68"/>
      <c r="AD836" s="68"/>
      <c r="AE836" s="177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</row>
    <row r="837" spans="1:63" ht="13.8" x14ac:dyDescent="0.3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176"/>
      <c r="V837" s="68"/>
      <c r="W837" s="68"/>
      <c r="X837" s="68"/>
      <c r="Y837" s="68"/>
      <c r="Z837" s="68"/>
      <c r="AA837" s="68"/>
      <c r="AB837" s="177"/>
      <c r="AC837" s="68"/>
      <c r="AD837" s="68"/>
      <c r="AE837" s="177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</row>
    <row r="838" spans="1:63" ht="13.8" x14ac:dyDescent="0.3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176"/>
      <c r="V838" s="68"/>
      <c r="W838" s="68"/>
      <c r="X838" s="68"/>
      <c r="Y838" s="68"/>
      <c r="Z838" s="68"/>
      <c r="AA838" s="68"/>
      <c r="AB838" s="177"/>
      <c r="AC838" s="68"/>
      <c r="AD838" s="68"/>
      <c r="AE838" s="177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</row>
    <row r="839" spans="1:63" ht="13.8" x14ac:dyDescent="0.3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176"/>
      <c r="V839" s="68"/>
      <c r="W839" s="68"/>
      <c r="X839" s="68"/>
      <c r="Y839" s="68"/>
      <c r="Z839" s="68"/>
      <c r="AA839" s="68"/>
      <c r="AB839" s="177"/>
      <c r="AC839" s="68"/>
      <c r="AD839" s="68"/>
      <c r="AE839" s="177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</row>
    <row r="840" spans="1:63" ht="13.8" x14ac:dyDescent="0.3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176"/>
      <c r="V840" s="68"/>
      <c r="W840" s="68"/>
      <c r="X840" s="68"/>
      <c r="Y840" s="68"/>
      <c r="Z840" s="68"/>
      <c r="AA840" s="68"/>
      <c r="AB840" s="177"/>
      <c r="AC840" s="68"/>
      <c r="AD840" s="68"/>
      <c r="AE840" s="177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</row>
    <row r="841" spans="1:63" ht="13.8" x14ac:dyDescent="0.3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176"/>
      <c r="V841" s="68"/>
      <c r="W841" s="68"/>
      <c r="X841" s="68"/>
      <c r="Y841" s="68"/>
      <c r="Z841" s="68"/>
      <c r="AA841" s="68"/>
      <c r="AB841" s="177"/>
      <c r="AC841" s="68"/>
      <c r="AD841" s="68"/>
      <c r="AE841" s="177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</row>
    <row r="842" spans="1:63" ht="13.8" x14ac:dyDescent="0.3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176"/>
      <c r="V842" s="68"/>
      <c r="W842" s="68"/>
      <c r="X842" s="68"/>
      <c r="Y842" s="68"/>
      <c r="Z842" s="68"/>
      <c r="AA842" s="68"/>
      <c r="AB842" s="177"/>
      <c r="AC842" s="68"/>
      <c r="AD842" s="68"/>
      <c r="AE842" s="177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</row>
    <row r="843" spans="1:63" ht="13.8" x14ac:dyDescent="0.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176"/>
      <c r="V843" s="68"/>
      <c r="W843" s="68"/>
      <c r="X843" s="68"/>
      <c r="Y843" s="68"/>
      <c r="Z843" s="68"/>
      <c r="AA843" s="68"/>
      <c r="AB843" s="177"/>
      <c r="AC843" s="68"/>
      <c r="AD843" s="68"/>
      <c r="AE843" s="177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</row>
    <row r="844" spans="1:63" ht="13.8" x14ac:dyDescent="0.3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176"/>
      <c r="V844" s="68"/>
      <c r="W844" s="68"/>
      <c r="X844" s="68"/>
      <c r="Y844" s="68"/>
      <c r="Z844" s="68"/>
      <c r="AA844" s="68"/>
      <c r="AB844" s="177"/>
      <c r="AC844" s="68"/>
      <c r="AD844" s="68"/>
      <c r="AE844" s="177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</row>
    <row r="845" spans="1:63" ht="13.8" x14ac:dyDescent="0.3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176"/>
      <c r="V845" s="68"/>
      <c r="W845" s="68"/>
      <c r="X845" s="68"/>
      <c r="Y845" s="68"/>
      <c r="Z845" s="68"/>
      <c r="AA845" s="68"/>
      <c r="AB845" s="177"/>
      <c r="AC845" s="68"/>
      <c r="AD845" s="68"/>
      <c r="AE845" s="177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</row>
    <row r="846" spans="1:63" ht="13.8" x14ac:dyDescent="0.3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176"/>
      <c r="V846" s="68"/>
      <c r="W846" s="68"/>
      <c r="X846" s="68"/>
      <c r="Y846" s="68"/>
      <c r="Z846" s="68"/>
      <c r="AA846" s="68"/>
      <c r="AB846" s="177"/>
      <c r="AC846" s="68"/>
      <c r="AD846" s="68"/>
      <c r="AE846" s="177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</row>
    <row r="847" spans="1:63" ht="13.8" x14ac:dyDescent="0.3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176"/>
      <c r="V847" s="68"/>
      <c r="W847" s="68"/>
      <c r="X847" s="68"/>
      <c r="Y847" s="68"/>
      <c r="Z847" s="68"/>
      <c r="AA847" s="68"/>
      <c r="AB847" s="177"/>
      <c r="AC847" s="68"/>
      <c r="AD847" s="68"/>
      <c r="AE847" s="177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</row>
    <row r="848" spans="1:63" ht="13.8" x14ac:dyDescent="0.3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176"/>
      <c r="V848" s="68"/>
      <c r="W848" s="68"/>
      <c r="X848" s="68"/>
      <c r="Y848" s="68"/>
      <c r="Z848" s="68"/>
      <c r="AA848" s="68"/>
      <c r="AB848" s="177"/>
      <c r="AC848" s="68"/>
      <c r="AD848" s="68"/>
      <c r="AE848" s="177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</row>
    <row r="849" spans="1:63" ht="13.8" x14ac:dyDescent="0.3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176"/>
      <c r="V849" s="68"/>
      <c r="W849" s="68"/>
      <c r="X849" s="68"/>
      <c r="Y849" s="68"/>
      <c r="Z849" s="68"/>
      <c r="AA849" s="68"/>
      <c r="AB849" s="177"/>
      <c r="AC849" s="68"/>
      <c r="AD849" s="68"/>
      <c r="AE849" s="177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</row>
    <row r="850" spans="1:63" ht="13.8" x14ac:dyDescent="0.3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176"/>
      <c r="V850" s="68"/>
      <c r="W850" s="68"/>
      <c r="X850" s="68"/>
      <c r="Y850" s="68"/>
      <c r="Z850" s="68"/>
      <c r="AA850" s="68"/>
      <c r="AB850" s="177"/>
      <c r="AC850" s="68"/>
      <c r="AD850" s="68"/>
      <c r="AE850" s="177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</row>
    <row r="851" spans="1:63" ht="13.8" x14ac:dyDescent="0.3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176"/>
      <c r="V851" s="68"/>
      <c r="W851" s="68"/>
      <c r="X851" s="68"/>
      <c r="Y851" s="68"/>
      <c r="Z851" s="68"/>
      <c r="AA851" s="68"/>
      <c r="AB851" s="177"/>
      <c r="AC851" s="68"/>
      <c r="AD851" s="68"/>
      <c r="AE851" s="177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</row>
    <row r="852" spans="1:63" ht="13.8" x14ac:dyDescent="0.3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176"/>
      <c r="V852" s="68"/>
      <c r="W852" s="68"/>
      <c r="X852" s="68"/>
      <c r="Y852" s="68"/>
      <c r="Z852" s="68"/>
      <c r="AA852" s="68"/>
      <c r="AB852" s="177"/>
      <c r="AC852" s="68"/>
      <c r="AD852" s="68"/>
      <c r="AE852" s="177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</row>
    <row r="853" spans="1:63" ht="13.8" x14ac:dyDescent="0.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176"/>
      <c r="V853" s="68"/>
      <c r="W853" s="68"/>
      <c r="X853" s="68"/>
      <c r="Y853" s="68"/>
      <c r="Z853" s="68"/>
      <c r="AA853" s="68"/>
      <c r="AB853" s="177"/>
      <c r="AC853" s="68"/>
      <c r="AD853" s="68"/>
      <c r="AE853" s="177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</row>
    <row r="854" spans="1:63" ht="13.8" x14ac:dyDescent="0.3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176"/>
      <c r="V854" s="68"/>
      <c r="W854" s="68"/>
      <c r="X854" s="68"/>
      <c r="Y854" s="68"/>
      <c r="Z854" s="68"/>
      <c r="AA854" s="68"/>
      <c r="AB854" s="177"/>
      <c r="AC854" s="68"/>
      <c r="AD854" s="68"/>
      <c r="AE854" s="177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</row>
    <row r="855" spans="1:63" ht="13.8" x14ac:dyDescent="0.3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176"/>
      <c r="V855" s="68"/>
      <c r="W855" s="68"/>
      <c r="X855" s="68"/>
      <c r="Y855" s="68"/>
      <c r="Z855" s="68"/>
      <c r="AA855" s="68"/>
      <c r="AB855" s="177"/>
      <c r="AC855" s="68"/>
      <c r="AD855" s="68"/>
      <c r="AE855" s="177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</row>
    <row r="856" spans="1:63" ht="13.8" x14ac:dyDescent="0.3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176"/>
      <c r="V856" s="68"/>
      <c r="W856" s="68"/>
      <c r="X856" s="68"/>
      <c r="Y856" s="68"/>
      <c r="Z856" s="68"/>
      <c r="AA856" s="68"/>
      <c r="AB856" s="177"/>
      <c r="AC856" s="68"/>
      <c r="AD856" s="68"/>
      <c r="AE856" s="177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</row>
    <row r="857" spans="1:63" ht="13.8" x14ac:dyDescent="0.3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176"/>
      <c r="V857" s="68"/>
      <c r="W857" s="68"/>
      <c r="X857" s="68"/>
      <c r="Y857" s="68"/>
      <c r="Z857" s="68"/>
      <c r="AA857" s="68"/>
      <c r="AB857" s="177"/>
      <c r="AC857" s="68"/>
      <c r="AD857" s="68"/>
      <c r="AE857" s="177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</row>
    <row r="858" spans="1:63" ht="13.8" x14ac:dyDescent="0.3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176"/>
      <c r="V858" s="68"/>
      <c r="W858" s="68"/>
      <c r="X858" s="68"/>
      <c r="Y858" s="68"/>
      <c r="Z858" s="68"/>
      <c r="AA858" s="68"/>
      <c r="AB858" s="177"/>
      <c r="AC858" s="68"/>
      <c r="AD858" s="68"/>
      <c r="AE858" s="177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</row>
    <row r="859" spans="1:63" ht="13.8" x14ac:dyDescent="0.3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176"/>
      <c r="V859" s="68"/>
      <c r="W859" s="68"/>
      <c r="X859" s="68"/>
      <c r="Y859" s="68"/>
      <c r="Z859" s="68"/>
      <c r="AA859" s="68"/>
      <c r="AB859" s="177"/>
      <c r="AC859" s="68"/>
      <c r="AD859" s="68"/>
      <c r="AE859" s="177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</row>
    <row r="860" spans="1:63" ht="13.8" x14ac:dyDescent="0.3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176"/>
      <c r="V860" s="68"/>
      <c r="W860" s="68"/>
      <c r="X860" s="68"/>
      <c r="Y860" s="68"/>
      <c r="Z860" s="68"/>
      <c r="AA860" s="68"/>
      <c r="AB860" s="177"/>
      <c r="AC860" s="68"/>
      <c r="AD860" s="68"/>
      <c r="AE860" s="177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</row>
    <row r="861" spans="1:63" ht="13.8" x14ac:dyDescent="0.3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176"/>
      <c r="V861" s="68"/>
      <c r="W861" s="68"/>
      <c r="X861" s="68"/>
      <c r="Y861" s="68"/>
      <c r="Z861" s="68"/>
      <c r="AA861" s="68"/>
      <c r="AB861" s="177"/>
      <c r="AC861" s="68"/>
      <c r="AD861" s="68"/>
      <c r="AE861" s="177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</row>
    <row r="862" spans="1:63" ht="13.8" x14ac:dyDescent="0.3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176"/>
      <c r="V862" s="68"/>
      <c r="W862" s="68"/>
      <c r="X862" s="68"/>
      <c r="Y862" s="68"/>
      <c r="Z862" s="68"/>
      <c r="AA862" s="68"/>
      <c r="AB862" s="177"/>
      <c r="AC862" s="68"/>
      <c r="AD862" s="68"/>
      <c r="AE862" s="177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</row>
    <row r="863" spans="1:63" ht="13.8" x14ac:dyDescent="0.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176"/>
      <c r="V863" s="68"/>
      <c r="W863" s="68"/>
      <c r="X863" s="68"/>
      <c r="Y863" s="68"/>
      <c r="Z863" s="68"/>
      <c r="AA863" s="68"/>
      <c r="AB863" s="177"/>
      <c r="AC863" s="68"/>
      <c r="AD863" s="68"/>
      <c r="AE863" s="177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</row>
    <row r="864" spans="1:63" ht="13.8" x14ac:dyDescent="0.3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176"/>
      <c r="V864" s="68"/>
      <c r="W864" s="68"/>
      <c r="X864" s="68"/>
      <c r="Y864" s="68"/>
      <c r="Z864" s="68"/>
      <c r="AA864" s="68"/>
      <c r="AB864" s="177"/>
      <c r="AC864" s="68"/>
      <c r="AD864" s="68"/>
      <c r="AE864" s="177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</row>
    <row r="865" spans="1:63" ht="13.8" x14ac:dyDescent="0.3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176"/>
      <c r="V865" s="68"/>
      <c r="W865" s="68"/>
      <c r="X865" s="68"/>
      <c r="Y865" s="68"/>
      <c r="Z865" s="68"/>
      <c r="AA865" s="68"/>
      <c r="AB865" s="177"/>
      <c r="AC865" s="68"/>
      <c r="AD865" s="68"/>
      <c r="AE865" s="177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</row>
    <row r="866" spans="1:63" ht="13.8" x14ac:dyDescent="0.3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176"/>
      <c r="V866" s="68"/>
      <c r="W866" s="68"/>
      <c r="X866" s="68"/>
      <c r="Y866" s="68"/>
      <c r="Z866" s="68"/>
      <c r="AA866" s="68"/>
      <c r="AB866" s="177"/>
      <c r="AC866" s="68"/>
      <c r="AD866" s="68"/>
      <c r="AE866" s="177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</row>
    <row r="867" spans="1:63" ht="13.8" x14ac:dyDescent="0.3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176"/>
      <c r="V867" s="68"/>
      <c r="W867" s="68"/>
      <c r="X867" s="68"/>
      <c r="Y867" s="68"/>
      <c r="Z867" s="68"/>
      <c r="AA867" s="68"/>
      <c r="AB867" s="177"/>
      <c r="AC867" s="68"/>
      <c r="AD867" s="68"/>
      <c r="AE867" s="177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</row>
    <row r="868" spans="1:63" ht="13.8" x14ac:dyDescent="0.3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176"/>
      <c r="V868" s="68"/>
      <c r="W868" s="68"/>
      <c r="X868" s="68"/>
      <c r="Y868" s="68"/>
      <c r="Z868" s="68"/>
      <c r="AA868" s="68"/>
      <c r="AB868" s="177"/>
      <c r="AC868" s="68"/>
      <c r="AD868" s="68"/>
      <c r="AE868" s="177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</row>
    <row r="869" spans="1:63" ht="13.8" x14ac:dyDescent="0.3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176"/>
      <c r="V869" s="68"/>
      <c r="W869" s="68"/>
      <c r="X869" s="68"/>
      <c r="Y869" s="68"/>
      <c r="Z869" s="68"/>
      <c r="AA869" s="68"/>
      <c r="AB869" s="177"/>
      <c r="AC869" s="68"/>
      <c r="AD869" s="68"/>
      <c r="AE869" s="177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</row>
    <row r="870" spans="1:63" ht="13.8" x14ac:dyDescent="0.3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176"/>
      <c r="V870" s="68"/>
      <c r="W870" s="68"/>
      <c r="X870" s="68"/>
      <c r="Y870" s="68"/>
      <c r="Z870" s="68"/>
      <c r="AA870" s="68"/>
      <c r="AB870" s="177"/>
      <c r="AC870" s="68"/>
      <c r="AD870" s="68"/>
      <c r="AE870" s="177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</row>
    <row r="871" spans="1:63" ht="13.8" x14ac:dyDescent="0.3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176"/>
      <c r="V871" s="68"/>
      <c r="W871" s="68"/>
      <c r="X871" s="68"/>
      <c r="Y871" s="68"/>
      <c r="Z871" s="68"/>
      <c r="AA871" s="68"/>
      <c r="AB871" s="177"/>
      <c r="AC871" s="68"/>
      <c r="AD871" s="68"/>
      <c r="AE871" s="177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</row>
    <row r="872" spans="1:63" ht="13.8" x14ac:dyDescent="0.3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176"/>
      <c r="V872" s="68"/>
      <c r="W872" s="68"/>
      <c r="X872" s="68"/>
      <c r="Y872" s="68"/>
      <c r="Z872" s="68"/>
      <c r="AA872" s="68"/>
      <c r="AB872" s="177"/>
      <c r="AC872" s="68"/>
      <c r="AD872" s="68"/>
      <c r="AE872" s="177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</row>
    <row r="873" spans="1:63" ht="13.8" x14ac:dyDescent="0.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176"/>
      <c r="V873" s="68"/>
      <c r="W873" s="68"/>
      <c r="X873" s="68"/>
      <c r="Y873" s="68"/>
      <c r="Z873" s="68"/>
      <c r="AA873" s="68"/>
      <c r="AB873" s="177"/>
      <c r="AC873" s="68"/>
      <c r="AD873" s="68"/>
      <c r="AE873" s="177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</row>
    <row r="874" spans="1:63" ht="13.8" x14ac:dyDescent="0.3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176"/>
      <c r="V874" s="68"/>
      <c r="W874" s="68"/>
      <c r="X874" s="68"/>
      <c r="Y874" s="68"/>
      <c r="Z874" s="68"/>
      <c r="AA874" s="68"/>
      <c r="AB874" s="177"/>
      <c r="AC874" s="68"/>
      <c r="AD874" s="68"/>
      <c r="AE874" s="177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</row>
    <row r="875" spans="1:63" ht="13.8" x14ac:dyDescent="0.3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176"/>
      <c r="V875" s="68"/>
      <c r="W875" s="68"/>
      <c r="X875" s="68"/>
      <c r="Y875" s="68"/>
      <c r="Z875" s="68"/>
      <c r="AA875" s="68"/>
      <c r="AB875" s="177"/>
      <c r="AC875" s="68"/>
      <c r="AD875" s="68"/>
      <c r="AE875" s="177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</row>
    <row r="876" spans="1:63" ht="13.8" x14ac:dyDescent="0.3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176"/>
      <c r="V876" s="68"/>
      <c r="W876" s="68"/>
      <c r="X876" s="68"/>
      <c r="Y876" s="68"/>
      <c r="Z876" s="68"/>
      <c r="AA876" s="68"/>
      <c r="AB876" s="177"/>
      <c r="AC876" s="68"/>
      <c r="AD876" s="68"/>
      <c r="AE876" s="177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</row>
    <row r="877" spans="1:63" ht="13.8" x14ac:dyDescent="0.3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176"/>
      <c r="V877" s="68"/>
      <c r="W877" s="68"/>
      <c r="X877" s="68"/>
      <c r="Y877" s="68"/>
      <c r="Z877" s="68"/>
      <c r="AA877" s="68"/>
      <c r="AB877" s="177"/>
      <c r="AC877" s="68"/>
      <c r="AD877" s="68"/>
      <c r="AE877" s="177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</row>
    <row r="878" spans="1:63" ht="13.8" x14ac:dyDescent="0.3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176"/>
      <c r="V878" s="68"/>
      <c r="W878" s="68"/>
      <c r="X878" s="68"/>
      <c r="Y878" s="68"/>
      <c r="Z878" s="68"/>
      <c r="AA878" s="68"/>
      <c r="AB878" s="177"/>
      <c r="AC878" s="68"/>
      <c r="AD878" s="68"/>
      <c r="AE878" s="177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</row>
    <row r="879" spans="1:63" ht="13.8" x14ac:dyDescent="0.3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176"/>
      <c r="V879" s="68"/>
      <c r="W879" s="68"/>
      <c r="X879" s="68"/>
      <c r="Y879" s="68"/>
      <c r="Z879" s="68"/>
      <c r="AA879" s="68"/>
      <c r="AB879" s="177"/>
      <c r="AC879" s="68"/>
      <c r="AD879" s="68"/>
      <c r="AE879" s="177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</row>
    <row r="880" spans="1:63" ht="13.8" x14ac:dyDescent="0.3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176"/>
      <c r="V880" s="68"/>
      <c r="W880" s="68"/>
      <c r="X880" s="68"/>
      <c r="Y880" s="68"/>
      <c r="Z880" s="68"/>
      <c r="AA880" s="68"/>
      <c r="AB880" s="177"/>
      <c r="AC880" s="68"/>
      <c r="AD880" s="68"/>
      <c r="AE880" s="177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</row>
    <row r="881" spans="1:63" ht="13.8" x14ac:dyDescent="0.3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176"/>
      <c r="V881" s="68"/>
      <c r="W881" s="68"/>
      <c r="X881" s="68"/>
      <c r="Y881" s="68"/>
      <c r="Z881" s="68"/>
      <c r="AA881" s="68"/>
      <c r="AB881" s="177"/>
      <c r="AC881" s="68"/>
      <c r="AD881" s="68"/>
      <c r="AE881" s="177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</row>
    <row r="882" spans="1:63" ht="13.8" x14ac:dyDescent="0.3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176"/>
      <c r="V882" s="68"/>
      <c r="W882" s="68"/>
      <c r="X882" s="68"/>
      <c r="Y882" s="68"/>
      <c r="Z882" s="68"/>
      <c r="AA882" s="68"/>
      <c r="AB882" s="177"/>
      <c r="AC882" s="68"/>
      <c r="AD882" s="68"/>
      <c r="AE882" s="177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</row>
    <row r="883" spans="1:63" ht="13.8" x14ac:dyDescent="0.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176"/>
      <c r="V883" s="68"/>
      <c r="W883" s="68"/>
      <c r="X883" s="68"/>
      <c r="Y883" s="68"/>
      <c r="Z883" s="68"/>
      <c r="AA883" s="68"/>
      <c r="AB883" s="177"/>
      <c r="AC883" s="68"/>
      <c r="AD883" s="68"/>
      <c r="AE883" s="177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</row>
    <row r="884" spans="1:63" ht="13.8" x14ac:dyDescent="0.3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176"/>
      <c r="V884" s="68"/>
      <c r="W884" s="68"/>
      <c r="X884" s="68"/>
      <c r="Y884" s="68"/>
      <c r="Z884" s="68"/>
      <c r="AA884" s="68"/>
      <c r="AB884" s="177"/>
      <c r="AC884" s="68"/>
      <c r="AD884" s="68"/>
      <c r="AE884" s="177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</row>
    <row r="885" spans="1:63" ht="13.8" x14ac:dyDescent="0.3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176"/>
      <c r="V885" s="68"/>
      <c r="W885" s="68"/>
      <c r="X885" s="68"/>
      <c r="Y885" s="68"/>
      <c r="Z885" s="68"/>
      <c r="AA885" s="68"/>
      <c r="AB885" s="177"/>
      <c r="AC885" s="68"/>
      <c r="AD885" s="68"/>
      <c r="AE885" s="177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</row>
    <row r="886" spans="1:63" ht="13.8" x14ac:dyDescent="0.3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176"/>
      <c r="V886" s="68"/>
      <c r="W886" s="68"/>
      <c r="X886" s="68"/>
      <c r="Y886" s="68"/>
      <c r="Z886" s="68"/>
      <c r="AA886" s="68"/>
      <c r="AB886" s="177"/>
      <c r="AC886" s="68"/>
      <c r="AD886" s="68"/>
      <c r="AE886" s="177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</row>
    <row r="887" spans="1:63" ht="13.8" x14ac:dyDescent="0.3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176"/>
      <c r="V887" s="68"/>
      <c r="W887" s="68"/>
      <c r="X887" s="68"/>
      <c r="Y887" s="68"/>
      <c r="Z887" s="68"/>
      <c r="AA887" s="68"/>
      <c r="AB887" s="177"/>
      <c r="AC887" s="68"/>
      <c r="AD887" s="68"/>
      <c r="AE887" s="177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</row>
    <row r="888" spans="1:63" ht="13.8" x14ac:dyDescent="0.3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176"/>
      <c r="V888" s="68"/>
      <c r="W888" s="68"/>
      <c r="X888" s="68"/>
      <c r="Y888" s="68"/>
      <c r="Z888" s="68"/>
      <c r="AA888" s="68"/>
      <c r="AB888" s="177"/>
      <c r="AC888" s="68"/>
      <c r="AD888" s="68"/>
      <c r="AE888" s="177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</row>
    <row r="889" spans="1:63" ht="13.8" x14ac:dyDescent="0.3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176"/>
      <c r="V889" s="68"/>
      <c r="W889" s="68"/>
      <c r="X889" s="68"/>
      <c r="Y889" s="68"/>
      <c r="Z889" s="68"/>
      <c r="AA889" s="68"/>
      <c r="AB889" s="177"/>
      <c r="AC889" s="68"/>
      <c r="AD889" s="68"/>
      <c r="AE889" s="177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</row>
    <row r="890" spans="1:63" ht="13.8" x14ac:dyDescent="0.3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176"/>
      <c r="V890" s="68"/>
      <c r="W890" s="68"/>
      <c r="X890" s="68"/>
      <c r="Y890" s="68"/>
      <c r="Z890" s="68"/>
      <c r="AA890" s="68"/>
      <c r="AB890" s="177"/>
      <c r="AC890" s="68"/>
      <c r="AD890" s="68"/>
      <c r="AE890" s="177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</row>
    <row r="891" spans="1:63" ht="13.8" x14ac:dyDescent="0.3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176"/>
      <c r="V891" s="68"/>
      <c r="W891" s="68"/>
      <c r="X891" s="68"/>
      <c r="Y891" s="68"/>
      <c r="Z891" s="68"/>
      <c r="AA891" s="68"/>
      <c r="AB891" s="177"/>
      <c r="AC891" s="68"/>
      <c r="AD891" s="68"/>
      <c r="AE891" s="177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</row>
    <row r="892" spans="1:63" ht="13.8" x14ac:dyDescent="0.3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176"/>
      <c r="V892" s="68"/>
      <c r="W892" s="68"/>
      <c r="X892" s="68"/>
      <c r="Y892" s="68"/>
      <c r="Z892" s="68"/>
      <c r="AA892" s="68"/>
      <c r="AB892" s="177"/>
      <c r="AC892" s="68"/>
      <c r="AD892" s="68"/>
      <c r="AE892" s="177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</row>
    <row r="893" spans="1:63" ht="13.8" x14ac:dyDescent="0.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176"/>
      <c r="V893" s="68"/>
      <c r="W893" s="68"/>
      <c r="X893" s="68"/>
      <c r="Y893" s="68"/>
      <c r="Z893" s="68"/>
      <c r="AA893" s="68"/>
      <c r="AB893" s="177"/>
      <c r="AC893" s="68"/>
      <c r="AD893" s="68"/>
      <c r="AE893" s="177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</row>
    <row r="894" spans="1:63" ht="13.8" x14ac:dyDescent="0.3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176"/>
      <c r="V894" s="68"/>
      <c r="W894" s="68"/>
      <c r="X894" s="68"/>
      <c r="Y894" s="68"/>
      <c r="Z894" s="68"/>
      <c r="AA894" s="68"/>
      <c r="AB894" s="177"/>
      <c r="AC894" s="68"/>
      <c r="AD894" s="68"/>
      <c r="AE894" s="177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</row>
    <row r="895" spans="1:63" ht="13.8" x14ac:dyDescent="0.3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176"/>
      <c r="V895" s="68"/>
      <c r="W895" s="68"/>
      <c r="X895" s="68"/>
      <c r="Y895" s="68"/>
      <c r="Z895" s="68"/>
      <c r="AA895" s="68"/>
      <c r="AB895" s="177"/>
      <c r="AC895" s="68"/>
      <c r="AD895" s="68"/>
      <c r="AE895" s="177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</row>
    <row r="896" spans="1:63" ht="13.8" x14ac:dyDescent="0.3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176"/>
      <c r="V896" s="68"/>
      <c r="W896" s="68"/>
      <c r="X896" s="68"/>
      <c r="Y896" s="68"/>
      <c r="Z896" s="68"/>
      <c r="AA896" s="68"/>
      <c r="AB896" s="177"/>
      <c r="AC896" s="68"/>
      <c r="AD896" s="68"/>
      <c r="AE896" s="177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</row>
    <row r="897" spans="1:63" ht="13.8" x14ac:dyDescent="0.3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176"/>
      <c r="V897" s="68"/>
      <c r="W897" s="68"/>
      <c r="X897" s="68"/>
      <c r="Y897" s="68"/>
      <c r="Z897" s="68"/>
      <c r="AA897" s="68"/>
      <c r="AB897" s="177"/>
      <c r="AC897" s="68"/>
      <c r="AD897" s="68"/>
      <c r="AE897" s="177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</row>
    <row r="898" spans="1:63" ht="13.8" x14ac:dyDescent="0.3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176"/>
      <c r="V898" s="68"/>
      <c r="W898" s="68"/>
      <c r="X898" s="68"/>
      <c r="Y898" s="68"/>
      <c r="Z898" s="68"/>
      <c r="AA898" s="68"/>
      <c r="AB898" s="177"/>
      <c r="AC898" s="68"/>
      <c r="AD898" s="68"/>
      <c r="AE898" s="177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</row>
    <row r="899" spans="1:63" ht="13.8" x14ac:dyDescent="0.3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176"/>
      <c r="V899" s="68"/>
      <c r="W899" s="68"/>
      <c r="X899" s="68"/>
      <c r="Y899" s="68"/>
      <c r="Z899" s="68"/>
      <c r="AA899" s="68"/>
      <c r="AB899" s="177"/>
      <c r="AC899" s="68"/>
      <c r="AD899" s="68"/>
      <c r="AE899" s="177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</row>
    <row r="900" spans="1:63" ht="13.8" x14ac:dyDescent="0.3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176"/>
      <c r="V900" s="68"/>
      <c r="W900" s="68"/>
      <c r="X900" s="68"/>
      <c r="Y900" s="68"/>
      <c r="Z900" s="68"/>
      <c r="AA900" s="68"/>
      <c r="AB900" s="177"/>
      <c r="AC900" s="68"/>
      <c r="AD900" s="68"/>
      <c r="AE900" s="177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</row>
    <row r="901" spans="1:63" ht="13.8" x14ac:dyDescent="0.3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176"/>
      <c r="V901" s="68"/>
      <c r="W901" s="68"/>
      <c r="X901" s="68"/>
      <c r="Y901" s="68"/>
      <c r="Z901" s="68"/>
      <c r="AA901" s="68"/>
      <c r="AB901" s="177"/>
      <c r="AC901" s="68"/>
      <c r="AD901" s="68"/>
      <c r="AE901" s="177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</row>
    <row r="902" spans="1:63" ht="13.8" x14ac:dyDescent="0.3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176"/>
      <c r="V902" s="68"/>
      <c r="W902" s="68"/>
      <c r="X902" s="68"/>
      <c r="Y902" s="68"/>
      <c r="Z902" s="68"/>
      <c r="AA902" s="68"/>
      <c r="AB902" s="177"/>
      <c r="AC902" s="68"/>
      <c r="AD902" s="68"/>
      <c r="AE902" s="177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</row>
    <row r="903" spans="1:63" ht="13.8" x14ac:dyDescent="0.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176"/>
      <c r="V903" s="68"/>
      <c r="W903" s="68"/>
      <c r="X903" s="68"/>
      <c r="Y903" s="68"/>
      <c r="Z903" s="68"/>
      <c r="AA903" s="68"/>
      <c r="AB903" s="177"/>
      <c r="AC903" s="68"/>
      <c r="AD903" s="68"/>
      <c r="AE903" s="177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</row>
    <row r="904" spans="1:63" ht="13.8" x14ac:dyDescent="0.3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176"/>
      <c r="V904" s="68"/>
      <c r="W904" s="68"/>
      <c r="X904" s="68"/>
      <c r="Y904" s="68"/>
      <c r="Z904" s="68"/>
      <c r="AA904" s="68"/>
      <c r="AB904" s="177"/>
      <c r="AC904" s="68"/>
      <c r="AD904" s="68"/>
      <c r="AE904" s="177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</row>
    <row r="905" spans="1:63" ht="13.8" x14ac:dyDescent="0.3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176"/>
      <c r="V905" s="68"/>
      <c r="W905" s="68"/>
      <c r="X905" s="68"/>
      <c r="Y905" s="68"/>
      <c r="Z905" s="68"/>
      <c r="AA905" s="68"/>
      <c r="AB905" s="177"/>
      <c r="AC905" s="68"/>
      <c r="AD905" s="68"/>
      <c r="AE905" s="177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</row>
    <row r="906" spans="1:63" ht="13.8" x14ac:dyDescent="0.3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176"/>
      <c r="V906" s="68"/>
      <c r="W906" s="68"/>
      <c r="X906" s="68"/>
      <c r="Y906" s="68"/>
      <c r="Z906" s="68"/>
      <c r="AA906" s="68"/>
      <c r="AB906" s="177"/>
      <c r="AC906" s="68"/>
      <c r="AD906" s="68"/>
      <c r="AE906" s="177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</row>
    <row r="907" spans="1:63" ht="13.8" x14ac:dyDescent="0.3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176"/>
      <c r="V907" s="68"/>
      <c r="W907" s="68"/>
      <c r="X907" s="68"/>
      <c r="Y907" s="68"/>
      <c r="Z907" s="68"/>
      <c r="AA907" s="68"/>
      <c r="AB907" s="177"/>
      <c r="AC907" s="68"/>
      <c r="AD907" s="68"/>
      <c r="AE907" s="177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</row>
    <row r="908" spans="1:63" ht="13.8" x14ac:dyDescent="0.3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176"/>
      <c r="V908" s="68"/>
      <c r="W908" s="68"/>
      <c r="X908" s="68"/>
      <c r="Y908" s="68"/>
      <c r="Z908" s="68"/>
      <c r="AA908" s="68"/>
      <c r="AB908" s="177"/>
      <c r="AC908" s="68"/>
      <c r="AD908" s="68"/>
      <c r="AE908" s="177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</row>
    <row r="909" spans="1:63" ht="13.8" x14ac:dyDescent="0.3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176"/>
      <c r="V909" s="68"/>
      <c r="W909" s="68"/>
      <c r="X909" s="68"/>
      <c r="Y909" s="68"/>
      <c r="Z909" s="68"/>
      <c r="AA909" s="68"/>
      <c r="AB909" s="177"/>
      <c r="AC909" s="68"/>
      <c r="AD909" s="68"/>
      <c r="AE909" s="177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</row>
  </sheetData>
  <customSheetViews>
    <customSheetView guid="{35A9A789-6E4E-4ECB-B765-96D1A67B0FE9}" filter="1" showAutoFilter="1">
      <pageMargins left="0.7" right="0.7" top="0.75" bottom="0.75" header="0.3" footer="0.3"/>
      <autoFilter ref="A1:BD46" xr:uid="{2481E73E-ABF4-4DC7-968A-568042E0CC69}"/>
    </customSheetView>
    <customSheetView guid="{22A5BE38-6B85-4EBD-94F0-5DD749587C58}" filter="1" showAutoFilter="1">
      <pageMargins left="0.7" right="0.7" top="0.75" bottom="0.75" header="0.3" footer="0.3"/>
      <autoFilter ref="A1:BD46" xr:uid="{5F306B93-7284-4D13-A7AB-24E0A22242D2}"/>
    </customSheetView>
    <customSheetView guid="{97AC337F-96D3-4FE8-80B4-B9F7062AC341}" filter="1" showAutoFilter="1">
      <pageMargins left="0.7" right="0.7" top="0.75" bottom="0.75" header="0.3" footer="0.3"/>
      <autoFilter ref="A1:AI46" xr:uid="{698089A5-DA7C-4126-8D08-D3DE55F35E61}">
        <filterColumn colId="2">
          <filters>
            <filter val="Kepulauan Seribu"/>
          </filters>
        </filterColumn>
      </autoFilter>
    </customSheetView>
    <customSheetView guid="{8C116E10-1BA2-4647-8A03-099E46155093}" filter="1" showAutoFilter="1">
      <pageMargins left="0.7" right="0.7" top="0.75" bottom="0.75" header="0.3" footer="0.3"/>
      <autoFilter ref="A1:AI46" xr:uid="{86A564A8-AA61-49D8-A1EB-C36AE01AC895}"/>
    </customSheetView>
    <customSheetView guid="{6E10C8CE-B9CA-4936-96EB-748368ED514B}" filter="1" showAutoFilter="1">
      <pageMargins left="0.7" right="0.7" top="0.75" bottom="0.75" header="0.3" footer="0.3"/>
      <autoFilter ref="A1:AF46" xr:uid="{B47325DA-C0C8-4784-8359-B29F4D243B33}"/>
    </customSheetView>
    <customSheetView guid="{B62EB34E-055E-4036-8BE5-012978099038}" filter="1" showAutoFilter="1">
      <pageMargins left="0.7" right="0.7" top="0.75" bottom="0.75" header="0.3" footer="0.3"/>
      <autoFilter ref="BB3:BB46" xr:uid="{F5DF7322-518F-49ED-9503-EDD7DC0C9A8E}"/>
    </customSheetView>
    <customSheetView guid="{DEA4817C-A181-47E6-A5B4-69710B87AA8F}" filter="1" showAutoFilter="1">
      <pageMargins left="0.7" right="0.7" top="0.75" bottom="0.75" header="0.3" footer="0.3"/>
      <autoFilter ref="BB3:BB46" xr:uid="{73900DB2-E601-4833-AEBC-EF366E85FF9A}"/>
    </customSheetView>
    <customSheetView guid="{A79BC078-B710-491A-9D3E-A190D9463B3D}" filter="1" showAutoFilter="1">
      <pageMargins left="0.7" right="0.7" top="0.75" bottom="0.75" header="0.3" footer="0.3"/>
      <autoFilter ref="A1:Z46" xr:uid="{1B6AD840-62AA-4B9D-9FA9-472F4B76FD42}"/>
    </customSheetView>
    <customSheetView guid="{D191EA04-5677-4543-A796-0AAFF753FCA1}" filter="1" showAutoFilter="1">
      <pageMargins left="0.7" right="0.7" top="0.75" bottom="0.75" header="0.3" footer="0.3"/>
      <autoFilter ref="A1:Z46" xr:uid="{86F5AE7E-20DE-420D-A301-696E8D06D3CB}"/>
    </customSheetView>
    <customSheetView guid="{E46C53A5-700E-4025-9F24-51B384B0EF2C}" filter="1" showAutoFilter="1">
      <pageMargins left="0.7" right="0.7" top="0.75" bottom="0.75" header="0.3" footer="0.3"/>
      <autoFilter ref="AV12" xr:uid="{09356D3E-7AA3-4892-97A6-019AEEF5FE62}"/>
    </customSheetView>
    <customSheetView guid="{B1C84DC7-7053-423F-9F5C-F97576DD07CA}" filter="1" showAutoFilter="1">
      <pageMargins left="0.7" right="0.7" top="0.75" bottom="0.75" header="0.3" footer="0.3"/>
      <autoFilter ref="C1:C909" xr:uid="{FE94D990-305F-4F04-89D2-6F7E75B56F6F}"/>
    </customSheetView>
    <customSheetView guid="{010F1B4A-F5B1-46D2-ADAD-87D51C99A105}" filter="1" showAutoFilter="1">
      <pageMargins left="0.7" right="0.7" top="0.75" bottom="0.75" header="0.3" footer="0.3"/>
      <autoFilter ref="AU3:AU46" xr:uid="{6C48B72F-6F88-46B4-90BE-48067190EA60}"/>
    </customSheetView>
    <customSheetView guid="{1B9B6831-9ACE-49A0-9994-3B22F177B35D}" filter="1" showAutoFilter="1">
      <pageMargins left="0.7" right="0.7" top="0.75" bottom="0.75" header="0.3" footer="0.3"/>
      <autoFilter ref="AU3:AU46" xr:uid="{F617D874-2201-470F-B945-7B9A5183BBE1}"/>
    </customSheetView>
    <customSheetView guid="{1AF4DE40-F1AC-455C-9FFF-CE1EBDB77C75}" filter="1" showAutoFilter="1">
      <pageMargins left="0.7" right="0.7" top="0.75" bottom="0.75" header="0.3" footer="0.3"/>
      <autoFilter ref="AU3:AU46" xr:uid="{04FD6F40-EE05-4F24-9BFC-9FCDB6DCA3AE}"/>
    </customSheetView>
    <customSheetView guid="{FA0F8441-3768-4409-A603-E2B6DD655FED}" filter="1" showAutoFilter="1">
      <pageMargins left="0.7" right="0.7" top="0.75" bottom="0.75" header="0.3" footer="0.3"/>
      <autoFilter ref="A1:AO46" xr:uid="{5334773B-6DEC-4A5F-8F6A-7A855BC433E5}"/>
    </customSheetView>
    <customSheetView guid="{B8198DA0-5766-4DB4-8467-819A74E8F5B0}" filter="1" showAutoFilter="1">
      <pageMargins left="0.7" right="0.7" top="0.75" bottom="0.75" header="0.3" footer="0.3"/>
      <autoFilter ref="A1:AO46" xr:uid="{5F2187C3-0002-4528-AF53-0C399F4AD498}">
        <filterColumn colId="2">
          <filters>
            <filter val="Kepulauan Seribu"/>
          </filters>
        </filterColumn>
      </autoFilter>
    </customSheetView>
    <customSheetView guid="{A9E0C74C-C985-448A-B9E3-C40B3B67DC4F}" filter="1" showAutoFilter="1">
      <pageMargins left="0.7" right="0.7" top="0.75" bottom="0.75" header="0.3" footer="0.3"/>
      <autoFilter ref="K19" xr:uid="{15DF84D1-87FF-4FA9-96B1-50AA060104AF}"/>
    </customSheetView>
    <customSheetView guid="{2E0140E0-17EC-4B2E-8C0D-A56DE76A325A}" filter="1" showAutoFilter="1">
      <pageMargins left="0.7" right="0.7" top="0.75" bottom="0.75" header="0.3" footer="0.3"/>
      <autoFilter ref="K19" xr:uid="{FB145699-D4E3-4F70-9DC5-53058C3B1781}"/>
    </customSheetView>
    <customSheetView guid="{53B5C5B1-9BB2-463C-B3BC-7B332E438F26}" filter="1" showAutoFilter="1">
      <pageMargins left="0.7" right="0.7" top="0.75" bottom="0.75" header="0.3" footer="0.3"/>
      <autoFilter ref="J5" xr:uid="{143469B5-2193-4FF1-8DA2-F817D3D11D85}"/>
    </customSheetView>
    <customSheetView guid="{5F820035-FC24-4D79-91BD-2F1F1B85084E}" filter="1" showAutoFilter="1">
      <pageMargins left="0.7" right="0.7" top="0.75" bottom="0.75" header="0.3" footer="0.3"/>
      <autoFilter ref="A1:AX46" xr:uid="{41955EC5-0834-4463-8825-FC61C5E45EE7}">
        <filterColumn colId="2">
          <filters>
            <filter val="Kepulauan Seribu"/>
          </filters>
        </filterColumn>
      </autoFilter>
    </customSheetView>
    <customSheetView guid="{DEEE4A57-72A5-4272-AD0F-AB4B3871188E}" filter="1" showAutoFilter="1">
      <pageMargins left="0.7" right="0.7" top="0.75" bottom="0.75" header="0.3" footer="0.3"/>
      <autoFilter ref="A1:AX46" xr:uid="{8513248B-CDCA-4FD5-A1B1-E57952D6AA34}">
        <filterColumn colId="2">
          <filters>
            <filter val="Jakarta Barat"/>
          </filters>
        </filterColumn>
      </autoFilter>
    </customSheetView>
    <customSheetView guid="{2C686E0C-F300-4E1B-AA56-E1706F7846CF}" filter="1" showAutoFilter="1">
      <pageMargins left="0.7" right="0.7" top="0.75" bottom="0.75" header="0.3" footer="0.3"/>
      <autoFilter ref="A1:AX46" xr:uid="{0750BBB5-FC1E-446F-A4C5-26E0C65D20B6}"/>
    </customSheetView>
    <customSheetView guid="{0A154651-ACBC-4494-9EDB-1CCF0B57BE92}" filter="1" showAutoFilter="1">
      <pageMargins left="0.7" right="0.7" top="0.75" bottom="0.75" header="0.3" footer="0.3"/>
      <autoFilter ref="A1:AX46" xr:uid="{E66F7585-B5BF-4723-A864-916E08403F18}">
        <filterColumn colId="2">
          <filters>
            <filter val="Kepulauan Seribu"/>
          </filters>
        </filterColumn>
      </autoFilter>
    </customSheetView>
    <customSheetView guid="{8F48E9CB-932B-41AC-9D5D-F807E47F9757}" filter="1" showAutoFilter="1">
      <pageMargins left="0.7" right="0.7" top="0.75" bottom="0.75" header="0.3" footer="0.3"/>
      <autoFilter ref="C1:W46" xr:uid="{6A75AD84-0B9D-4325-83A4-32F406CCE560}"/>
    </customSheetView>
    <customSheetView guid="{092CCC7A-9A3A-4B8A-92EB-940232F1C371}" filter="1" showAutoFilter="1">
      <pageMargins left="0.7" right="0.7" top="0.75" bottom="0.75" header="0.3" footer="0.3"/>
      <autoFilter ref="A2:AO46" xr:uid="{4407662C-C57C-47FC-A893-3E0A4EC44D27}">
        <filterColumn colId="2">
          <filters>
            <filter val="Kepulauan Seribu"/>
          </filters>
        </filterColumn>
        <sortState xmlns:xlrd2="http://schemas.microsoft.com/office/spreadsheetml/2017/richdata2" ref="A2:AO46">
          <sortCondition ref="B2:B46"/>
        </sortState>
      </autoFilter>
    </customSheetView>
    <customSheetView guid="{767E4E03-DE98-4BAB-911A-30962AE037D3}" filter="1" showAutoFilter="1">
      <pageMargins left="0.7" right="0.7" top="0.75" bottom="0.75" header="0.3" footer="0.3"/>
      <autoFilter ref="J12" xr:uid="{1A674146-A566-46C0-B8C3-CE3D1C8207DD}"/>
    </customSheetView>
    <customSheetView guid="{229848C3-3812-43AE-97EE-6E933DAA96BF}" filter="1" showAutoFilter="1">
      <pageMargins left="0.7" right="0.7" top="0.75" bottom="0.75" header="0.3" footer="0.3"/>
      <autoFilter ref="J12" xr:uid="{B4242F5B-E8BD-4AC9-87FE-A672DEADC148}"/>
    </customSheetView>
    <customSheetView guid="{64A066E1-5C68-4046-8699-0D6C4C280E26}" filter="1" showAutoFilter="1">
      <pageMargins left="0.7" right="0.7" top="0.75" bottom="0.75" header="0.3" footer="0.3"/>
      <autoFilter ref="J12" xr:uid="{E4545D71-8A2D-4CAD-8FC4-726F22A7AD12}"/>
    </customSheetView>
    <customSheetView guid="{582B0DBD-A893-40FA-946A-DE968A496006}" filter="1" showAutoFilter="1">
      <pageMargins left="0.7" right="0.7" top="0.75" bottom="0.75" header="0.3" footer="0.3"/>
      <autoFilter ref="J12" xr:uid="{C0365859-7384-4016-97D1-96E7D44150C4}"/>
    </customSheetView>
    <customSheetView guid="{0C3A45C9-4A4E-4F62-B7D2-64D7A2972B2B}" filter="1" showAutoFilter="1">
      <pageMargins left="0.7" right="0.7" top="0.75" bottom="0.75" header="0.3" footer="0.3"/>
      <autoFilter ref="J12" xr:uid="{F22693ED-C45B-4D04-9A1B-1F0870531C7C}"/>
    </customSheetView>
    <customSheetView guid="{BB1949B8-76DE-4B08-AA30-5E5895E34325}" filter="1" showAutoFilter="1">
      <pageMargins left="0.7" right="0.7" top="0.75" bottom="0.75" header="0.3" footer="0.3"/>
      <autoFilter ref="J10" xr:uid="{863C0463-74CC-4641-B2BF-2CC7ADCE7122}"/>
    </customSheetView>
    <customSheetView guid="{D22205CC-A629-4286-8BFA-2C262A16893C}" filter="1" showAutoFilter="1">
      <pageMargins left="0.7" right="0.7" top="0.75" bottom="0.75" header="0.3" footer="0.3"/>
      <autoFilter ref="A2:AJ46" xr:uid="{6912F301-B620-4CD7-848E-0D34BD1A220E}">
        <sortState xmlns:xlrd2="http://schemas.microsoft.com/office/spreadsheetml/2017/richdata2" ref="A2:AJ46">
          <sortCondition ref="B2:B46"/>
        </sortState>
      </autoFilter>
    </customSheetView>
    <customSheetView guid="{9E7F5CB8-EA93-46D7-B82E-9C3EFD821306}" filter="1" showAutoFilter="1">
      <pageMargins left="0.7" right="0.7" top="0.75" bottom="0.75" header="0.3" footer="0.3"/>
      <autoFilter ref="A2:T46" xr:uid="{038D3A5F-5D40-4253-9B66-9415ECEDCD55}">
        <sortState xmlns:xlrd2="http://schemas.microsoft.com/office/spreadsheetml/2017/richdata2" ref="A2:T46">
          <sortCondition ref="B2:B46"/>
          <sortCondition ref="C2:C46"/>
        </sortState>
      </autoFilter>
    </customSheetView>
  </customSheetViews>
  <mergeCells count="19">
    <mergeCell ref="F1:H1"/>
    <mergeCell ref="I1:K1"/>
    <mergeCell ref="L1:N1"/>
    <mergeCell ref="O1:Q1"/>
    <mergeCell ref="R1:T1"/>
    <mergeCell ref="U1:W1"/>
    <mergeCell ref="X1:Z1"/>
    <mergeCell ref="AV1:AX1"/>
    <mergeCell ref="AY1:BA1"/>
    <mergeCell ref="BB1:BD1"/>
    <mergeCell ref="BE1:BG1"/>
    <mergeCell ref="BH1:BJ1"/>
    <mergeCell ref="AA1:AC1"/>
    <mergeCell ref="AD1:AF1"/>
    <mergeCell ref="AG1:AI1"/>
    <mergeCell ref="AJ1:AL1"/>
    <mergeCell ref="AM1:AO1"/>
    <mergeCell ref="AP1:AR1"/>
    <mergeCell ref="AS1:A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3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2" max="2" width="20.109375" customWidth="1"/>
    <col min="3" max="3" width="21" customWidth="1"/>
  </cols>
  <sheetData>
    <row r="1" spans="1:26" x14ac:dyDescent="0.25">
      <c r="A1" s="178" t="s">
        <v>0</v>
      </c>
      <c r="B1" s="178" t="s">
        <v>432</v>
      </c>
      <c r="C1" s="178" t="s">
        <v>434</v>
      </c>
      <c r="D1" s="178"/>
      <c r="E1" s="179" t="s">
        <v>433</v>
      </c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</row>
    <row r="2" spans="1:26" x14ac:dyDescent="0.25">
      <c r="A2" s="181">
        <v>44358</v>
      </c>
      <c r="B2" s="182">
        <f>SUM('Vaksinasi Wilayah'!F$3:F$46)</f>
        <v>2819926</v>
      </c>
      <c r="C2" s="182">
        <f>SUM('Vaksinasi Wilayah'!H2:H45)</f>
        <v>1852994</v>
      </c>
      <c r="D2" s="183">
        <f t="shared" ref="D2:D18" si="0">1+3*(ROW(B2)-2)</f>
        <v>1</v>
      </c>
      <c r="E2" s="184" t="s">
        <v>486</v>
      </c>
    </row>
    <row r="3" spans="1:26" x14ac:dyDescent="0.25">
      <c r="A3" s="136">
        <v>44359</v>
      </c>
      <c r="B3" s="182">
        <f>SUM('Vaksinasi Wilayah'!I$3:I$46)</f>
        <v>19281</v>
      </c>
      <c r="C3" s="182">
        <f>SUM('Vaksinasi Wilayah'!K3:K46)</f>
        <v>1173</v>
      </c>
      <c r="D3" s="183">
        <f t="shared" si="0"/>
        <v>4</v>
      </c>
    </row>
    <row r="4" spans="1:26" x14ac:dyDescent="0.25">
      <c r="A4" s="136">
        <v>44360</v>
      </c>
      <c r="B4" s="182">
        <f>SUM('Vaksinasi Wilayah'!L$3:L$46)</f>
        <v>198</v>
      </c>
      <c r="C4" s="182">
        <f>SUM('Vaksinasi Wilayah'!N3:N46)</f>
        <v>29</v>
      </c>
      <c r="D4" s="183">
        <f t="shared" si="0"/>
        <v>7</v>
      </c>
    </row>
    <row r="5" spans="1:26" x14ac:dyDescent="0.25">
      <c r="A5" s="136">
        <v>44361</v>
      </c>
      <c r="B5" s="182">
        <f>SUM('Vaksinasi Wilayah'!O$3:O$46)</f>
        <v>79491</v>
      </c>
      <c r="C5" s="182">
        <f>SUM('Vaksinasi Wilayah'!Q$3:Q$46)</f>
        <v>3691</v>
      </c>
      <c r="D5" s="183">
        <f t="shared" si="0"/>
        <v>10</v>
      </c>
    </row>
    <row r="6" spans="1:26" x14ac:dyDescent="0.25">
      <c r="A6" s="136">
        <v>44362</v>
      </c>
      <c r="B6" s="182">
        <f>SUM('Vaksinasi Wilayah'!R$3:R$46)</f>
        <v>81545</v>
      </c>
      <c r="C6" s="182">
        <f>SUM('Vaksinasi Wilayah'!T$3:T$46)</f>
        <v>3385</v>
      </c>
      <c r="D6" s="183">
        <f t="shared" si="0"/>
        <v>13</v>
      </c>
    </row>
    <row r="7" spans="1:26" x14ac:dyDescent="0.25">
      <c r="A7" s="136">
        <v>44363</v>
      </c>
      <c r="B7" s="182">
        <f>SUM('Vaksinasi Wilayah'!U$3:U$46)</f>
        <v>92210</v>
      </c>
      <c r="C7" s="182">
        <f>SUM('Vaksinasi Wilayah'!W$3:W$46)</f>
        <v>3436</v>
      </c>
      <c r="D7" s="183">
        <f t="shared" si="0"/>
        <v>16</v>
      </c>
    </row>
    <row r="8" spans="1:26" x14ac:dyDescent="0.25">
      <c r="A8" s="136">
        <v>44364</v>
      </c>
      <c r="B8" s="182">
        <f>SUM('Vaksinasi Wilayah'!X$3:X$46)</f>
        <v>93650</v>
      </c>
      <c r="C8" s="182">
        <f>SUM('Vaksinasi Wilayah'!Z$3:Z$46)</f>
        <v>3636</v>
      </c>
      <c r="D8" s="183">
        <f t="shared" si="0"/>
        <v>19</v>
      </c>
    </row>
    <row r="9" spans="1:26" x14ac:dyDescent="0.25">
      <c r="A9" s="136">
        <v>44365</v>
      </c>
      <c r="B9" s="182">
        <f>SUM('Vaksinasi Wilayah'!AA$3:AA$46)</f>
        <v>110177</v>
      </c>
      <c r="C9" s="182">
        <f>SUM('Vaksinasi Wilayah'!AC$3:AC$46)</f>
        <v>3178</v>
      </c>
      <c r="D9" s="183">
        <f t="shared" si="0"/>
        <v>22</v>
      </c>
    </row>
    <row r="10" spans="1:26" x14ac:dyDescent="0.25">
      <c r="A10" s="136">
        <v>44366</v>
      </c>
      <c r="B10" s="182">
        <f>SUM('Vaksinasi Wilayah'!AD$3:AD$46)</f>
        <v>40149</v>
      </c>
      <c r="C10" s="182">
        <f>SUM('Vaksinasi Wilayah'!AF$3:AF$46)</f>
        <v>322</v>
      </c>
      <c r="D10" s="183">
        <f t="shared" si="0"/>
        <v>25</v>
      </c>
    </row>
    <row r="11" spans="1:26" x14ac:dyDescent="0.25">
      <c r="A11" s="136">
        <v>44367</v>
      </c>
      <c r="B11" s="182">
        <f>SUM('Vaksinasi Wilayah'!AG$3:AG$46)</f>
        <v>14701</v>
      </c>
      <c r="C11" s="182">
        <f>SUM('Vaksinasi Wilayah'!AI$3:AI$46)</f>
        <v>90</v>
      </c>
      <c r="D11" s="183">
        <f t="shared" si="0"/>
        <v>28</v>
      </c>
    </row>
    <row r="12" spans="1:26" x14ac:dyDescent="0.25">
      <c r="A12" s="136">
        <v>44368</v>
      </c>
      <c r="B12" s="182">
        <f>SUM('Vaksinasi Wilayah'!AJ$3:AJ$46)</f>
        <v>109783</v>
      </c>
      <c r="C12" s="182">
        <f>SUM('Vaksinasi Wilayah'!AL$3:AL$46)</f>
        <v>2063</v>
      </c>
      <c r="D12" s="183">
        <f t="shared" si="0"/>
        <v>31</v>
      </c>
    </row>
    <row r="13" spans="1:26" x14ac:dyDescent="0.25">
      <c r="A13" s="136">
        <v>44369</v>
      </c>
      <c r="B13" s="182">
        <f>SUM('Vaksinasi Wilayah'!AM$3:AM$46)</f>
        <v>75171</v>
      </c>
      <c r="C13" s="183">
        <f>SUM('Vaksinasi Wilayah'!AO$3:AO$46)</f>
        <v>2440</v>
      </c>
      <c r="D13" s="183">
        <f t="shared" si="0"/>
        <v>34</v>
      </c>
    </row>
    <row r="14" spans="1:26" x14ac:dyDescent="0.25">
      <c r="A14" s="136">
        <v>44370</v>
      </c>
      <c r="B14" s="182">
        <f>SUM('Vaksinasi Wilayah'!AP$3:AP$46)</f>
        <v>156482</v>
      </c>
      <c r="C14" s="182">
        <f>SUM('Vaksinasi Wilayah'!AR$3:AR$46)</f>
        <v>2468</v>
      </c>
      <c r="D14" s="183">
        <f t="shared" si="0"/>
        <v>37</v>
      </c>
    </row>
    <row r="15" spans="1:26" x14ac:dyDescent="0.25">
      <c r="A15" s="136">
        <v>44371</v>
      </c>
      <c r="B15" s="183">
        <f>SUM('Vaksinasi Wilayah'!AS$3:AS$46)</f>
        <v>126843</v>
      </c>
      <c r="C15" s="182">
        <f>SUM('Vaksinasi Wilayah'!AU$3:AU$46)</f>
        <v>2455</v>
      </c>
      <c r="D15" s="183">
        <f t="shared" si="0"/>
        <v>40</v>
      </c>
    </row>
    <row r="16" spans="1:26" x14ac:dyDescent="0.25">
      <c r="A16" s="136">
        <v>44372</v>
      </c>
      <c r="B16" s="183">
        <f>SUM('Vaksinasi Wilayah'!AV$3:AV$46)</f>
        <v>129228</v>
      </c>
      <c r="C16" s="182">
        <f>SUM('Vaksinasi Wilayah'!AX$3:AX$46)</f>
        <v>2264</v>
      </c>
      <c r="D16" s="183">
        <f t="shared" si="0"/>
        <v>43</v>
      </c>
    </row>
    <row r="17" spans="1:4" x14ac:dyDescent="0.25">
      <c r="A17" s="136">
        <v>44373</v>
      </c>
      <c r="B17" s="183">
        <f>SUM('Vaksinasi Wilayah'!AY$3:AY$46)</f>
        <v>56926</v>
      </c>
      <c r="C17" s="182">
        <f>SUM('Vaksinasi Wilayah'!BA$3:BA$46)</f>
        <v>742</v>
      </c>
      <c r="D17" s="183">
        <f t="shared" si="0"/>
        <v>46</v>
      </c>
    </row>
    <row r="18" spans="1:4" x14ac:dyDescent="0.25">
      <c r="A18" s="136">
        <v>44374</v>
      </c>
      <c r="B18" s="183">
        <f>SUM('Vaksinasi Wilayah'!BB$3:BB$46)</f>
        <v>20517</v>
      </c>
      <c r="C18" s="182">
        <f>SUM('Vaksinasi Wilayah'!BD$3:BD$46)</f>
        <v>88</v>
      </c>
      <c r="D18" s="183">
        <f t="shared" si="0"/>
        <v>49</v>
      </c>
    </row>
    <row r="19" spans="1:4" x14ac:dyDescent="0.25">
      <c r="B19" s="185"/>
      <c r="C19" s="185"/>
      <c r="D19" s="185"/>
    </row>
    <row r="20" spans="1:4" x14ac:dyDescent="0.25">
      <c r="B20" s="185"/>
      <c r="C20" s="185"/>
      <c r="D20" s="185"/>
    </row>
    <row r="21" spans="1:4" x14ac:dyDescent="0.25">
      <c r="B21" s="185"/>
      <c r="C21" s="185"/>
      <c r="D21" s="185"/>
    </row>
    <row r="22" spans="1:4" x14ac:dyDescent="0.25">
      <c r="B22" s="185"/>
      <c r="C22" s="185"/>
      <c r="D22" s="185"/>
    </row>
    <row r="23" spans="1:4" x14ac:dyDescent="0.25">
      <c r="B23" s="185"/>
      <c r="C23" s="185"/>
      <c r="D23" s="185"/>
    </row>
    <row r="24" spans="1:4" x14ac:dyDescent="0.25">
      <c r="B24" s="185"/>
      <c r="C24" s="185"/>
      <c r="D24" s="185"/>
    </row>
    <row r="25" spans="1:4" x14ac:dyDescent="0.25">
      <c r="B25" s="185"/>
      <c r="C25" s="185"/>
      <c r="D25" s="185"/>
    </row>
    <row r="26" spans="1:4" x14ac:dyDescent="0.25">
      <c r="B26" s="185"/>
      <c r="C26" s="185"/>
      <c r="D26" s="185"/>
    </row>
    <row r="27" spans="1:4" x14ac:dyDescent="0.25">
      <c r="B27" s="185"/>
      <c r="C27" s="185"/>
      <c r="D27" s="185"/>
    </row>
    <row r="28" spans="1:4" x14ac:dyDescent="0.25">
      <c r="B28" s="185"/>
      <c r="C28" s="185"/>
      <c r="D28" s="185"/>
    </row>
    <row r="29" spans="1:4" x14ac:dyDescent="0.25">
      <c r="B29" s="185"/>
      <c r="C29" s="185"/>
      <c r="D29" s="185"/>
    </row>
    <row r="30" spans="1:4" x14ac:dyDescent="0.25">
      <c r="B30" s="185"/>
      <c r="C30" s="185"/>
      <c r="D30" s="185"/>
    </row>
    <row r="31" spans="1:4" x14ac:dyDescent="0.25">
      <c r="B31" s="185"/>
      <c r="C31" s="185"/>
      <c r="D31" s="185"/>
    </row>
    <row r="32" spans="1:4" x14ac:dyDescent="0.25">
      <c r="B32" s="185"/>
      <c r="C32" s="185"/>
      <c r="D32" s="185"/>
    </row>
    <row r="33" spans="2:4" x14ac:dyDescent="0.25">
      <c r="B33" s="185"/>
      <c r="C33" s="185"/>
      <c r="D33" s="185"/>
    </row>
    <row r="34" spans="2:4" x14ac:dyDescent="0.25">
      <c r="B34" s="185"/>
      <c r="C34" s="185"/>
      <c r="D34" s="185"/>
    </row>
    <row r="35" spans="2:4" x14ac:dyDescent="0.25">
      <c r="B35" s="185"/>
      <c r="C35" s="185"/>
      <c r="D35" s="185"/>
    </row>
    <row r="36" spans="2:4" x14ac:dyDescent="0.25">
      <c r="B36" s="185"/>
      <c r="C36" s="185"/>
      <c r="D36" s="185"/>
    </row>
    <row r="37" spans="2:4" x14ac:dyDescent="0.25">
      <c r="B37" s="185"/>
      <c r="C37" s="185"/>
      <c r="D37" s="185"/>
    </row>
    <row r="38" spans="2:4" x14ac:dyDescent="0.25">
      <c r="B38" s="185"/>
      <c r="C38" s="185"/>
      <c r="D38" s="185"/>
    </row>
    <row r="39" spans="2:4" x14ac:dyDescent="0.25">
      <c r="B39" s="185"/>
      <c r="C39" s="185"/>
      <c r="D39" s="185"/>
    </row>
    <row r="40" spans="2:4" x14ac:dyDescent="0.25">
      <c r="B40" s="185"/>
      <c r="C40" s="185"/>
      <c r="D40" s="185"/>
    </row>
    <row r="41" spans="2:4" x14ac:dyDescent="0.25">
      <c r="B41" s="185"/>
      <c r="C41" s="185"/>
      <c r="D41" s="185"/>
    </row>
    <row r="42" spans="2:4" x14ac:dyDescent="0.25">
      <c r="B42" s="185"/>
      <c r="C42" s="185"/>
      <c r="D42" s="185"/>
    </row>
    <row r="43" spans="2:4" x14ac:dyDescent="0.25">
      <c r="B43" s="185"/>
      <c r="C43" s="185"/>
      <c r="D43" s="185"/>
    </row>
    <row r="44" spans="2:4" x14ac:dyDescent="0.25">
      <c r="B44" s="185"/>
      <c r="C44" s="185"/>
      <c r="D44" s="185"/>
    </row>
    <row r="45" spans="2:4" x14ac:dyDescent="0.25">
      <c r="B45" s="185"/>
      <c r="C45" s="185"/>
      <c r="D45" s="185"/>
    </row>
    <row r="46" spans="2:4" x14ac:dyDescent="0.25">
      <c r="B46" s="185"/>
      <c r="C46" s="185"/>
      <c r="D46" s="185"/>
    </row>
    <row r="47" spans="2:4" x14ac:dyDescent="0.25">
      <c r="B47" s="185"/>
      <c r="C47" s="185"/>
      <c r="D47" s="185"/>
    </row>
    <row r="48" spans="2:4" x14ac:dyDescent="0.25">
      <c r="B48" s="185"/>
      <c r="C48" s="185"/>
      <c r="D48" s="185"/>
    </row>
    <row r="49" spans="2:4" x14ac:dyDescent="0.25">
      <c r="B49" s="185"/>
      <c r="C49" s="185"/>
      <c r="D49" s="185"/>
    </row>
    <row r="50" spans="2:4" x14ac:dyDescent="0.25">
      <c r="B50" s="185"/>
      <c r="C50" s="185"/>
      <c r="D50" s="185"/>
    </row>
    <row r="51" spans="2:4" x14ac:dyDescent="0.25">
      <c r="B51" s="185"/>
      <c r="C51" s="185"/>
      <c r="D51" s="185"/>
    </row>
    <row r="52" spans="2:4" x14ac:dyDescent="0.25">
      <c r="B52" s="185"/>
      <c r="C52" s="185"/>
      <c r="D52" s="185"/>
    </row>
    <row r="53" spans="2:4" x14ac:dyDescent="0.25">
      <c r="B53" s="185"/>
      <c r="C53" s="185"/>
      <c r="D53" s="185"/>
    </row>
    <row r="54" spans="2:4" x14ac:dyDescent="0.25">
      <c r="B54" s="185"/>
      <c r="C54" s="185"/>
      <c r="D54" s="185"/>
    </row>
    <row r="55" spans="2:4" x14ac:dyDescent="0.25">
      <c r="B55" s="185"/>
      <c r="C55" s="185"/>
      <c r="D55" s="185"/>
    </row>
    <row r="56" spans="2:4" x14ac:dyDescent="0.25">
      <c r="B56" s="185"/>
      <c r="C56" s="185"/>
      <c r="D56" s="185"/>
    </row>
    <row r="57" spans="2:4" x14ac:dyDescent="0.25">
      <c r="B57" s="185"/>
      <c r="C57" s="185"/>
      <c r="D57" s="185"/>
    </row>
    <row r="58" spans="2:4" x14ac:dyDescent="0.25">
      <c r="B58" s="185"/>
      <c r="C58" s="185"/>
      <c r="D58" s="185"/>
    </row>
    <row r="59" spans="2:4" x14ac:dyDescent="0.25">
      <c r="B59" s="185"/>
      <c r="C59" s="185"/>
      <c r="D59" s="185"/>
    </row>
    <row r="60" spans="2:4" x14ac:dyDescent="0.25">
      <c r="B60" s="185"/>
      <c r="C60" s="185"/>
      <c r="D60" s="185"/>
    </row>
    <row r="61" spans="2:4" x14ac:dyDescent="0.25">
      <c r="B61" s="185"/>
      <c r="C61" s="185"/>
      <c r="D61" s="185"/>
    </row>
    <row r="62" spans="2:4" x14ac:dyDescent="0.25">
      <c r="B62" s="185"/>
      <c r="C62" s="185"/>
      <c r="D62" s="185"/>
    </row>
    <row r="63" spans="2:4" x14ac:dyDescent="0.25">
      <c r="B63" s="185"/>
      <c r="C63" s="185"/>
      <c r="D63" s="185"/>
    </row>
    <row r="64" spans="2:4" x14ac:dyDescent="0.25">
      <c r="B64" s="185"/>
      <c r="C64" s="185"/>
      <c r="D64" s="185"/>
    </row>
    <row r="65" spans="2:4" x14ac:dyDescent="0.25">
      <c r="B65" s="185"/>
      <c r="C65" s="185"/>
      <c r="D65" s="185"/>
    </row>
    <row r="66" spans="2:4" x14ac:dyDescent="0.25">
      <c r="B66" s="185"/>
      <c r="C66" s="185"/>
      <c r="D66" s="185"/>
    </row>
    <row r="67" spans="2:4" x14ac:dyDescent="0.25">
      <c r="B67" s="185"/>
      <c r="C67" s="185"/>
      <c r="D67" s="185"/>
    </row>
    <row r="68" spans="2:4" x14ac:dyDescent="0.25">
      <c r="B68" s="185"/>
      <c r="C68" s="185"/>
      <c r="D68" s="185"/>
    </row>
    <row r="69" spans="2:4" x14ac:dyDescent="0.25">
      <c r="B69" s="185"/>
      <c r="C69" s="185"/>
      <c r="D69" s="185"/>
    </row>
    <row r="70" spans="2:4" x14ac:dyDescent="0.25">
      <c r="B70" s="185"/>
      <c r="C70" s="185"/>
      <c r="D70" s="185"/>
    </row>
    <row r="71" spans="2:4" x14ac:dyDescent="0.25">
      <c r="B71" s="185"/>
      <c r="C71" s="185"/>
      <c r="D71" s="185"/>
    </row>
    <row r="72" spans="2:4" x14ac:dyDescent="0.25">
      <c r="B72" s="185"/>
      <c r="C72" s="185"/>
      <c r="D72" s="185"/>
    </row>
    <row r="73" spans="2:4" x14ac:dyDescent="0.25">
      <c r="B73" s="185"/>
      <c r="C73" s="185"/>
      <c r="D73" s="185"/>
    </row>
    <row r="74" spans="2:4" x14ac:dyDescent="0.25">
      <c r="B74" s="185"/>
      <c r="C74" s="185"/>
      <c r="D74" s="185"/>
    </row>
    <row r="75" spans="2:4" x14ac:dyDescent="0.25">
      <c r="B75" s="185"/>
      <c r="C75" s="185"/>
      <c r="D75" s="185"/>
    </row>
    <row r="76" spans="2:4" x14ac:dyDescent="0.25">
      <c r="B76" s="185"/>
      <c r="C76" s="185"/>
      <c r="D76" s="185"/>
    </row>
    <row r="77" spans="2:4" x14ac:dyDescent="0.25">
      <c r="B77" s="185"/>
      <c r="C77" s="185"/>
      <c r="D77" s="185"/>
    </row>
    <row r="78" spans="2:4" x14ac:dyDescent="0.25">
      <c r="B78" s="185"/>
      <c r="C78" s="185"/>
      <c r="D78" s="185"/>
    </row>
    <row r="79" spans="2:4" x14ac:dyDescent="0.25">
      <c r="B79" s="185"/>
      <c r="C79" s="185"/>
      <c r="D79" s="185"/>
    </row>
    <row r="80" spans="2:4" x14ac:dyDescent="0.25">
      <c r="B80" s="185"/>
      <c r="C80" s="185"/>
      <c r="D80" s="185"/>
    </row>
    <row r="81" spans="2:4" x14ac:dyDescent="0.25">
      <c r="B81" s="185"/>
      <c r="C81" s="185"/>
      <c r="D81" s="185"/>
    </row>
    <row r="82" spans="2:4" x14ac:dyDescent="0.25">
      <c r="B82" s="185"/>
      <c r="C82" s="185"/>
      <c r="D82" s="185"/>
    </row>
    <row r="83" spans="2:4" x14ac:dyDescent="0.25">
      <c r="B83" s="185"/>
      <c r="C83" s="185"/>
      <c r="D83" s="185"/>
    </row>
    <row r="84" spans="2:4" x14ac:dyDescent="0.25">
      <c r="B84" s="185"/>
      <c r="C84" s="185"/>
      <c r="D84" s="185"/>
    </row>
    <row r="85" spans="2:4" x14ac:dyDescent="0.25">
      <c r="B85" s="185"/>
      <c r="C85" s="185"/>
      <c r="D85" s="185"/>
    </row>
    <row r="86" spans="2:4" x14ac:dyDescent="0.25">
      <c r="B86" s="185"/>
      <c r="C86" s="185"/>
      <c r="D86" s="185"/>
    </row>
    <row r="87" spans="2:4" x14ac:dyDescent="0.25">
      <c r="B87" s="185"/>
      <c r="C87" s="185"/>
      <c r="D87" s="185"/>
    </row>
    <row r="88" spans="2:4" x14ac:dyDescent="0.25">
      <c r="B88" s="185"/>
      <c r="C88" s="185"/>
      <c r="D88" s="185"/>
    </row>
    <row r="89" spans="2:4" x14ac:dyDescent="0.25">
      <c r="B89" s="185"/>
      <c r="C89" s="185"/>
      <c r="D89" s="185"/>
    </row>
    <row r="90" spans="2:4" x14ac:dyDescent="0.25">
      <c r="B90" s="185"/>
      <c r="C90" s="185"/>
      <c r="D90" s="185"/>
    </row>
    <row r="91" spans="2:4" x14ac:dyDescent="0.25">
      <c r="B91" s="185"/>
      <c r="C91" s="185"/>
      <c r="D91" s="185"/>
    </row>
    <row r="92" spans="2:4" x14ac:dyDescent="0.25">
      <c r="B92" s="185"/>
      <c r="C92" s="185"/>
      <c r="D92" s="185"/>
    </row>
    <row r="93" spans="2:4" x14ac:dyDescent="0.25">
      <c r="B93" s="185"/>
      <c r="C93" s="185"/>
      <c r="D93" s="185"/>
    </row>
    <row r="94" spans="2:4" x14ac:dyDescent="0.25">
      <c r="B94" s="185"/>
      <c r="C94" s="185"/>
      <c r="D94" s="185"/>
    </row>
    <row r="95" spans="2:4" x14ac:dyDescent="0.25">
      <c r="B95" s="185"/>
      <c r="C95" s="185"/>
      <c r="D95" s="185"/>
    </row>
    <row r="96" spans="2:4" x14ac:dyDescent="0.25">
      <c r="B96" s="185"/>
      <c r="C96" s="185"/>
      <c r="D96" s="185"/>
    </row>
    <row r="97" spans="2:4" x14ac:dyDescent="0.25">
      <c r="B97" s="185"/>
      <c r="C97" s="185"/>
      <c r="D97" s="185"/>
    </row>
    <row r="98" spans="2:4" x14ac:dyDescent="0.25">
      <c r="B98" s="185"/>
      <c r="C98" s="185"/>
      <c r="D98" s="185"/>
    </row>
    <row r="99" spans="2:4" x14ac:dyDescent="0.25">
      <c r="B99" s="185"/>
      <c r="C99" s="185"/>
      <c r="D99" s="185"/>
    </row>
    <row r="100" spans="2:4" x14ac:dyDescent="0.25">
      <c r="B100" s="185"/>
      <c r="C100" s="185"/>
      <c r="D100" s="185"/>
    </row>
    <row r="101" spans="2:4" x14ac:dyDescent="0.25">
      <c r="B101" s="185"/>
      <c r="C101" s="185"/>
      <c r="D101" s="185"/>
    </row>
    <row r="102" spans="2:4" x14ac:dyDescent="0.25">
      <c r="B102" s="185"/>
      <c r="C102" s="185"/>
      <c r="D102" s="185"/>
    </row>
    <row r="103" spans="2:4" x14ac:dyDescent="0.25">
      <c r="B103" s="185"/>
      <c r="C103" s="185"/>
      <c r="D103" s="185"/>
    </row>
    <row r="104" spans="2:4" x14ac:dyDescent="0.25">
      <c r="B104" s="185"/>
      <c r="C104" s="185"/>
      <c r="D104" s="185"/>
    </row>
    <row r="105" spans="2:4" x14ac:dyDescent="0.25">
      <c r="B105" s="185"/>
      <c r="C105" s="185"/>
      <c r="D105" s="185"/>
    </row>
    <row r="106" spans="2:4" x14ac:dyDescent="0.25">
      <c r="B106" s="185"/>
      <c r="C106" s="185"/>
      <c r="D106" s="185"/>
    </row>
    <row r="107" spans="2:4" x14ac:dyDescent="0.25">
      <c r="B107" s="185"/>
      <c r="C107" s="185"/>
      <c r="D107" s="185"/>
    </row>
    <row r="108" spans="2:4" x14ac:dyDescent="0.25">
      <c r="B108" s="185"/>
      <c r="C108" s="185"/>
      <c r="D108" s="185"/>
    </row>
    <row r="109" spans="2:4" x14ac:dyDescent="0.25">
      <c r="B109" s="185"/>
      <c r="C109" s="185"/>
      <c r="D109" s="185"/>
    </row>
    <row r="110" spans="2:4" x14ac:dyDescent="0.25">
      <c r="B110" s="185"/>
      <c r="C110" s="185"/>
      <c r="D110" s="185"/>
    </row>
    <row r="111" spans="2:4" x14ac:dyDescent="0.25">
      <c r="B111" s="185"/>
      <c r="C111" s="185"/>
      <c r="D111" s="185"/>
    </row>
    <row r="112" spans="2:4" x14ac:dyDescent="0.25">
      <c r="B112" s="185"/>
      <c r="C112" s="185"/>
      <c r="D112" s="185"/>
    </row>
    <row r="113" spans="2:4" x14ac:dyDescent="0.25">
      <c r="B113" s="185"/>
      <c r="C113" s="185"/>
      <c r="D113" s="185"/>
    </row>
    <row r="114" spans="2:4" x14ac:dyDescent="0.25">
      <c r="B114" s="185"/>
      <c r="C114" s="185"/>
      <c r="D114" s="185"/>
    </row>
    <row r="115" spans="2:4" x14ac:dyDescent="0.25">
      <c r="B115" s="185"/>
      <c r="C115" s="185"/>
      <c r="D115" s="185"/>
    </row>
    <row r="116" spans="2:4" x14ac:dyDescent="0.25">
      <c r="B116" s="185"/>
      <c r="C116" s="185"/>
      <c r="D116" s="185"/>
    </row>
    <row r="117" spans="2:4" x14ac:dyDescent="0.25">
      <c r="B117" s="185"/>
      <c r="C117" s="185"/>
      <c r="D117" s="185"/>
    </row>
    <row r="118" spans="2:4" x14ac:dyDescent="0.25">
      <c r="B118" s="185"/>
      <c r="C118" s="185"/>
      <c r="D118" s="185"/>
    </row>
    <row r="119" spans="2:4" x14ac:dyDescent="0.25">
      <c r="B119" s="185"/>
      <c r="C119" s="185"/>
      <c r="D119" s="185"/>
    </row>
    <row r="120" spans="2:4" x14ac:dyDescent="0.25">
      <c r="B120" s="185"/>
      <c r="C120" s="185"/>
      <c r="D120" s="185"/>
    </row>
    <row r="121" spans="2:4" x14ac:dyDescent="0.25">
      <c r="B121" s="185"/>
      <c r="C121" s="185"/>
      <c r="D121" s="185"/>
    </row>
    <row r="122" spans="2:4" x14ac:dyDescent="0.25">
      <c r="B122" s="185"/>
      <c r="C122" s="185"/>
      <c r="D122" s="185"/>
    </row>
    <row r="123" spans="2:4" x14ac:dyDescent="0.25">
      <c r="B123" s="185"/>
      <c r="C123" s="185"/>
      <c r="D123" s="185"/>
    </row>
    <row r="124" spans="2:4" x14ac:dyDescent="0.25">
      <c r="B124" s="185"/>
      <c r="C124" s="185"/>
      <c r="D124" s="185"/>
    </row>
    <row r="125" spans="2:4" x14ac:dyDescent="0.25">
      <c r="B125" s="185"/>
      <c r="C125" s="185"/>
      <c r="D125" s="185"/>
    </row>
    <row r="126" spans="2:4" x14ac:dyDescent="0.25">
      <c r="B126" s="185"/>
      <c r="C126" s="185"/>
      <c r="D126" s="185"/>
    </row>
    <row r="127" spans="2:4" x14ac:dyDescent="0.25">
      <c r="B127" s="185"/>
      <c r="C127" s="185"/>
      <c r="D127" s="185"/>
    </row>
    <row r="128" spans="2:4" x14ac:dyDescent="0.25">
      <c r="B128" s="185"/>
      <c r="C128" s="185"/>
      <c r="D128" s="185"/>
    </row>
    <row r="129" spans="2:4" x14ac:dyDescent="0.25">
      <c r="B129" s="185"/>
      <c r="C129" s="185"/>
      <c r="D129" s="185"/>
    </row>
    <row r="130" spans="2:4" x14ac:dyDescent="0.25">
      <c r="B130" s="185"/>
      <c r="C130" s="185"/>
      <c r="D130" s="185"/>
    </row>
    <row r="131" spans="2:4" x14ac:dyDescent="0.25">
      <c r="B131" s="185"/>
      <c r="C131" s="185"/>
      <c r="D131" s="185"/>
    </row>
    <row r="132" spans="2:4" x14ac:dyDescent="0.25">
      <c r="B132" s="185"/>
      <c r="C132" s="185"/>
      <c r="D132" s="185"/>
    </row>
    <row r="133" spans="2:4" x14ac:dyDescent="0.25">
      <c r="B133" s="185"/>
      <c r="C133" s="185"/>
      <c r="D133" s="185"/>
    </row>
    <row r="134" spans="2:4" x14ac:dyDescent="0.25">
      <c r="B134" s="185"/>
      <c r="C134" s="185"/>
      <c r="D134" s="185"/>
    </row>
    <row r="135" spans="2:4" x14ac:dyDescent="0.25">
      <c r="B135" s="185"/>
      <c r="C135" s="185"/>
      <c r="D135" s="185"/>
    </row>
    <row r="136" spans="2:4" x14ac:dyDescent="0.25">
      <c r="B136" s="185"/>
      <c r="C136" s="185"/>
      <c r="D136" s="185"/>
    </row>
    <row r="137" spans="2:4" x14ac:dyDescent="0.25">
      <c r="B137" s="185"/>
      <c r="C137" s="185"/>
      <c r="D137" s="185"/>
    </row>
    <row r="138" spans="2:4" x14ac:dyDescent="0.25">
      <c r="B138" s="185"/>
      <c r="C138" s="185"/>
      <c r="D138" s="185"/>
    </row>
    <row r="139" spans="2:4" x14ac:dyDescent="0.25">
      <c r="B139" s="185"/>
      <c r="C139" s="185"/>
      <c r="D139" s="185"/>
    </row>
    <row r="140" spans="2:4" x14ac:dyDescent="0.25">
      <c r="B140" s="185"/>
      <c r="C140" s="185"/>
      <c r="D140" s="185"/>
    </row>
    <row r="141" spans="2:4" x14ac:dyDescent="0.25">
      <c r="B141" s="185"/>
      <c r="C141" s="185"/>
      <c r="D141" s="185"/>
    </row>
    <row r="142" spans="2:4" x14ac:dyDescent="0.25">
      <c r="B142" s="185"/>
      <c r="C142" s="185"/>
      <c r="D142" s="185"/>
    </row>
    <row r="143" spans="2:4" x14ac:dyDescent="0.25">
      <c r="B143" s="185"/>
      <c r="C143" s="185"/>
      <c r="D143" s="185"/>
    </row>
    <row r="144" spans="2:4" x14ac:dyDescent="0.25">
      <c r="B144" s="185"/>
      <c r="C144" s="185"/>
      <c r="D144" s="185"/>
    </row>
    <row r="145" spans="2:4" x14ac:dyDescent="0.25">
      <c r="B145" s="185"/>
      <c r="C145" s="185"/>
      <c r="D145" s="185"/>
    </row>
    <row r="146" spans="2:4" x14ac:dyDescent="0.25">
      <c r="B146" s="185"/>
      <c r="C146" s="185"/>
      <c r="D146" s="185"/>
    </row>
    <row r="147" spans="2:4" x14ac:dyDescent="0.25">
      <c r="B147" s="185"/>
      <c r="C147" s="185"/>
      <c r="D147" s="185"/>
    </row>
    <row r="148" spans="2:4" x14ac:dyDescent="0.25">
      <c r="B148" s="185"/>
      <c r="C148" s="185"/>
      <c r="D148" s="185"/>
    </row>
    <row r="149" spans="2:4" x14ac:dyDescent="0.25">
      <c r="B149" s="185"/>
      <c r="C149" s="185"/>
      <c r="D149" s="185"/>
    </row>
    <row r="150" spans="2:4" x14ac:dyDescent="0.25">
      <c r="B150" s="185"/>
      <c r="C150" s="185"/>
      <c r="D150" s="185"/>
    </row>
    <row r="151" spans="2:4" x14ac:dyDescent="0.25">
      <c r="B151" s="185"/>
      <c r="C151" s="185"/>
      <c r="D151" s="185"/>
    </row>
    <row r="152" spans="2:4" x14ac:dyDescent="0.25">
      <c r="B152" s="185"/>
      <c r="C152" s="185"/>
      <c r="D152" s="185"/>
    </row>
    <row r="153" spans="2:4" x14ac:dyDescent="0.25">
      <c r="B153" s="185"/>
      <c r="C153" s="185"/>
      <c r="D153" s="185"/>
    </row>
    <row r="154" spans="2:4" x14ac:dyDescent="0.25">
      <c r="B154" s="185"/>
      <c r="C154" s="185"/>
      <c r="D154" s="185"/>
    </row>
    <row r="155" spans="2:4" x14ac:dyDescent="0.25">
      <c r="B155" s="185"/>
      <c r="C155" s="185"/>
      <c r="D155" s="185"/>
    </row>
    <row r="156" spans="2:4" x14ac:dyDescent="0.25">
      <c r="B156" s="185"/>
      <c r="C156" s="185"/>
      <c r="D156" s="185"/>
    </row>
    <row r="157" spans="2:4" x14ac:dyDescent="0.25">
      <c r="B157" s="185"/>
      <c r="C157" s="185"/>
      <c r="D157" s="185"/>
    </row>
    <row r="158" spans="2:4" x14ac:dyDescent="0.25">
      <c r="B158" s="185"/>
      <c r="C158" s="185"/>
      <c r="D158" s="185"/>
    </row>
    <row r="159" spans="2:4" x14ac:dyDescent="0.25">
      <c r="B159" s="185"/>
      <c r="C159" s="185"/>
      <c r="D159" s="185"/>
    </row>
    <row r="160" spans="2:4" x14ac:dyDescent="0.25">
      <c r="B160" s="185"/>
      <c r="C160" s="185"/>
      <c r="D160" s="185"/>
    </row>
    <row r="161" spans="2:4" x14ac:dyDescent="0.25">
      <c r="B161" s="185"/>
      <c r="C161" s="185"/>
      <c r="D161" s="185"/>
    </row>
    <row r="162" spans="2:4" x14ac:dyDescent="0.25">
      <c r="B162" s="185"/>
      <c r="C162" s="185"/>
      <c r="D162" s="185"/>
    </row>
    <row r="163" spans="2:4" x14ac:dyDescent="0.25">
      <c r="B163" s="185"/>
      <c r="C163" s="185"/>
      <c r="D163" s="185"/>
    </row>
    <row r="164" spans="2:4" x14ac:dyDescent="0.25">
      <c r="B164" s="185"/>
      <c r="C164" s="185"/>
      <c r="D164" s="185"/>
    </row>
    <row r="165" spans="2:4" x14ac:dyDescent="0.25">
      <c r="B165" s="185"/>
      <c r="C165" s="185"/>
      <c r="D165" s="185"/>
    </row>
    <row r="166" spans="2:4" x14ac:dyDescent="0.25">
      <c r="B166" s="185"/>
      <c r="C166" s="185"/>
      <c r="D166" s="185"/>
    </row>
    <row r="167" spans="2:4" x14ac:dyDescent="0.25">
      <c r="B167" s="185"/>
      <c r="C167" s="185"/>
      <c r="D167" s="185"/>
    </row>
    <row r="168" spans="2:4" x14ac:dyDescent="0.25">
      <c r="B168" s="185"/>
      <c r="C168" s="185"/>
      <c r="D168" s="185"/>
    </row>
    <row r="169" spans="2:4" x14ac:dyDescent="0.25">
      <c r="B169" s="185"/>
      <c r="C169" s="185"/>
      <c r="D169" s="185"/>
    </row>
    <row r="170" spans="2:4" x14ac:dyDescent="0.25">
      <c r="B170" s="185"/>
      <c r="C170" s="185"/>
      <c r="D170" s="185"/>
    </row>
    <row r="171" spans="2:4" x14ac:dyDescent="0.25">
      <c r="B171" s="185"/>
      <c r="C171" s="185"/>
      <c r="D171" s="185"/>
    </row>
    <row r="172" spans="2:4" x14ac:dyDescent="0.25">
      <c r="B172" s="185"/>
      <c r="C172" s="185"/>
      <c r="D172" s="185"/>
    </row>
    <row r="173" spans="2:4" x14ac:dyDescent="0.25">
      <c r="B173" s="185"/>
      <c r="C173" s="185"/>
      <c r="D173" s="185"/>
    </row>
    <row r="174" spans="2:4" x14ac:dyDescent="0.25">
      <c r="B174" s="185"/>
      <c r="C174" s="185"/>
      <c r="D174" s="185"/>
    </row>
    <row r="175" spans="2:4" x14ac:dyDescent="0.25">
      <c r="B175" s="185"/>
      <c r="C175" s="185"/>
      <c r="D175" s="185"/>
    </row>
    <row r="176" spans="2:4" x14ac:dyDescent="0.25">
      <c r="B176" s="185"/>
      <c r="C176" s="185"/>
      <c r="D176" s="185"/>
    </row>
    <row r="177" spans="2:4" x14ac:dyDescent="0.25">
      <c r="B177" s="185"/>
      <c r="C177" s="185"/>
      <c r="D177" s="185"/>
    </row>
    <row r="178" spans="2:4" x14ac:dyDescent="0.25">
      <c r="B178" s="185"/>
      <c r="C178" s="185"/>
      <c r="D178" s="185"/>
    </row>
    <row r="179" spans="2:4" x14ac:dyDescent="0.25">
      <c r="B179" s="185"/>
      <c r="C179" s="185"/>
      <c r="D179" s="185"/>
    </row>
    <row r="180" spans="2:4" x14ac:dyDescent="0.25">
      <c r="B180" s="185"/>
      <c r="C180" s="185"/>
      <c r="D180" s="185"/>
    </row>
    <row r="181" spans="2:4" x14ac:dyDescent="0.25">
      <c r="B181" s="185"/>
      <c r="C181" s="185"/>
      <c r="D181" s="185"/>
    </row>
    <row r="182" spans="2:4" x14ac:dyDescent="0.25">
      <c r="B182" s="185"/>
      <c r="C182" s="185"/>
      <c r="D182" s="185"/>
    </row>
    <row r="183" spans="2:4" x14ac:dyDescent="0.25">
      <c r="B183" s="185"/>
      <c r="C183" s="185"/>
      <c r="D183" s="185"/>
    </row>
    <row r="184" spans="2:4" x14ac:dyDescent="0.25">
      <c r="B184" s="185"/>
      <c r="C184" s="185"/>
      <c r="D184" s="185"/>
    </row>
    <row r="185" spans="2:4" x14ac:dyDescent="0.25">
      <c r="B185" s="185"/>
      <c r="C185" s="185"/>
      <c r="D185" s="185"/>
    </row>
    <row r="186" spans="2:4" x14ac:dyDescent="0.25">
      <c r="B186" s="185"/>
      <c r="C186" s="185"/>
      <c r="D186" s="185"/>
    </row>
    <row r="187" spans="2:4" x14ac:dyDescent="0.25">
      <c r="B187" s="185"/>
      <c r="C187" s="185"/>
      <c r="D187" s="185"/>
    </row>
    <row r="188" spans="2:4" x14ac:dyDescent="0.25">
      <c r="B188" s="185"/>
      <c r="C188" s="185"/>
      <c r="D188" s="185"/>
    </row>
    <row r="189" spans="2:4" x14ac:dyDescent="0.25">
      <c r="B189" s="185"/>
      <c r="C189" s="185"/>
      <c r="D189" s="185"/>
    </row>
    <row r="190" spans="2:4" x14ac:dyDescent="0.25">
      <c r="B190" s="185"/>
      <c r="C190" s="185"/>
      <c r="D190" s="185"/>
    </row>
    <row r="191" spans="2:4" x14ac:dyDescent="0.25">
      <c r="B191" s="185"/>
      <c r="C191" s="185"/>
      <c r="D191" s="185"/>
    </row>
    <row r="192" spans="2:4" x14ac:dyDescent="0.25">
      <c r="B192" s="185"/>
      <c r="C192" s="185"/>
      <c r="D192" s="185"/>
    </row>
    <row r="193" spans="2:4" x14ac:dyDescent="0.25">
      <c r="B193" s="185"/>
      <c r="C193" s="185"/>
      <c r="D193" s="185"/>
    </row>
    <row r="194" spans="2:4" x14ac:dyDescent="0.25">
      <c r="B194" s="185"/>
      <c r="C194" s="185"/>
      <c r="D194" s="185"/>
    </row>
    <row r="195" spans="2:4" x14ac:dyDescent="0.25">
      <c r="B195" s="185"/>
      <c r="C195" s="185"/>
      <c r="D195" s="185"/>
    </row>
    <row r="196" spans="2:4" x14ac:dyDescent="0.25">
      <c r="B196" s="185"/>
      <c r="C196" s="185"/>
      <c r="D196" s="185"/>
    </row>
    <row r="197" spans="2:4" x14ac:dyDescent="0.25">
      <c r="B197" s="185"/>
      <c r="C197" s="185"/>
      <c r="D197" s="185"/>
    </row>
    <row r="198" spans="2:4" x14ac:dyDescent="0.25">
      <c r="B198" s="185"/>
      <c r="C198" s="185"/>
      <c r="D198" s="185"/>
    </row>
    <row r="199" spans="2:4" x14ac:dyDescent="0.25">
      <c r="B199" s="185"/>
      <c r="C199" s="185"/>
      <c r="D199" s="185"/>
    </row>
    <row r="200" spans="2:4" x14ac:dyDescent="0.25">
      <c r="B200" s="185"/>
      <c r="C200" s="185"/>
      <c r="D200" s="185"/>
    </row>
    <row r="201" spans="2:4" x14ac:dyDescent="0.25">
      <c r="B201" s="185"/>
      <c r="C201" s="185"/>
      <c r="D201" s="185"/>
    </row>
    <row r="202" spans="2:4" x14ac:dyDescent="0.25">
      <c r="B202" s="185"/>
      <c r="C202" s="185"/>
      <c r="D202" s="185"/>
    </row>
    <row r="203" spans="2:4" x14ac:dyDescent="0.25">
      <c r="B203" s="185"/>
      <c r="C203" s="185"/>
      <c r="D203" s="185"/>
    </row>
    <row r="204" spans="2:4" x14ac:dyDescent="0.25">
      <c r="B204" s="185"/>
      <c r="C204" s="185"/>
      <c r="D204" s="185"/>
    </row>
    <row r="205" spans="2:4" x14ac:dyDescent="0.25">
      <c r="B205" s="185"/>
      <c r="C205" s="185"/>
      <c r="D205" s="185"/>
    </row>
    <row r="206" spans="2:4" x14ac:dyDescent="0.25">
      <c r="B206" s="185"/>
      <c r="C206" s="185"/>
      <c r="D206" s="185"/>
    </row>
    <row r="207" spans="2:4" x14ac:dyDescent="0.25">
      <c r="B207" s="185"/>
      <c r="C207" s="185"/>
      <c r="D207" s="185"/>
    </row>
    <row r="208" spans="2:4" x14ac:dyDescent="0.25">
      <c r="B208" s="185"/>
      <c r="C208" s="185"/>
      <c r="D208" s="185"/>
    </row>
    <row r="209" spans="2:4" x14ac:dyDescent="0.25">
      <c r="B209" s="185"/>
      <c r="C209" s="185"/>
      <c r="D209" s="185"/>
    </row>
    <row r="210" spans="2:4" x14ac:dyDescent="0.25">
      <c r="B210" s="185"/>
      <c r="C210" s="185"/>
      <c r="D210" s="185"/>
    </row>
    <row r="211" spans="2:4" x14ac:dyDescent="0.25">
      <c r="B211" s="185"/>
      <c r="C211" s="185"/>
      <c r="D211" s="185"/>
    </row>
    <row r="212" spans="2:4" x14ac:dyDescent="0.25">
      <c r="B212" s="185"/>
      <c r="C212" s="185"/>
      <c r="D212" s="185"/>
    </row>
    <row r="213" spans="2:4" x14ac:dyDescent="0.25">
      <c r="B213" s="185"/>
      <c r="C213" s="185"/>
      <c r="D213" s="185"/>
    </row>
    <row r="214" spans="2:4" x14ac:dyDescent="0.25">
      <c r="B214" s="185"/>
      <c r="C214" s="185"/>
      <c r="D214" s="185"/>
    </row>
    <row r="215" spans="2:4" x14ac:dyDescent="0.25">
      <c r="B215" s="185"/>
      <c r="C215" s="185"/>
      <c r="D215" s="185"/>
    </row>
    <row r="216" spans="2:4" x14ac:dyDescent="0.25">
      <c r="B216" s="185"/>
      <c r="C216" s="185"/>
      <c r="D216" s="185"/>
    </row>
    <row r="217" spans="2:4" x14ac:dyDescent="0.25">
      <c r="B217" s="185"/>
      <c r="C217" s="185"/>
      <c r="D217" s="185"/>
    </row>
    <row r="218" spans="2:4" x14ac:dyDescent="0.25">
      <c r="B218" s="185"/>
      <c r="C218" s="185"/>
      <c r="D218" s="185"/>
    </row>
    <row r="219" spans="2:4" x14ac:dyDescent="0.25">
      <c r="B219" s="185"/>
      <c r="C219" s="185"/>
      <c r="D219" s="185"/>
    </row>
    <row r="220" spans="2:4" x14ac:dyDescent="0.25">
      <c r="B220" s="185"/>
      <c r="C220" s="185"/>
      <c r="D220" s="185"/>
    </row>
    <row r="221" spans="2:4" x14ac:dyDescent="0.25">
      <c r="B221" s="185"/>
      <c r="C221" s="185"/>
      <c r="D221" s="185"/>
    </row>
    <row r="222" spans="2:4" x14ac:dyDescent="0.25">
      <c r="B222" s="185"/>
      <c r="C222" s="185"/>
      <c r="D222" s="185"/>
    </row>
    <row r="223" spans="2:4" x14ac:dyDescent="0.25">
      <c r="B223" s="185"/>
      <c r="C223" s="185"/>
      <c r="D223" s="185"/>
    </row>
    <row r="224" spans="2:4" x14ac:dyDescent="0.25">
      <c r="B224" s="185"/>
      <c r="C224" s="185"/>
      <c r="D224" s="185"/>
    </row>
    <row r="225" spans="2:4" x14ac:dyDescent="0.25">
      <c r="B225" s="185"/>
      <c r="C225" s="185"/>
      <c r="D225" s="185"/>
    </row>
    <row r="226" spans="2:4" x14ac:dyDescent="0.25">
      <c r="B226" s="185"/>
      <c r="C226" s="185"/>
      <c r="D226" s="185"/>
    </row>
    <row r="227" spans="2:4" x14ac:dyDescent="0.25">
      <c r="B227" s="185"/>
      <c r="C227" s="185"/>
      <c r="D227" s="185"/>
    </row>
    <row r="228" spans="2:4" x14ac:dyDescent="0.25">
      <c r="B228" s="185"/>
      <c r="C228" s="185"/>
      <c r="D228" s="185"/>
    </row>
    <row r="229" spans="2:4" x14ac:dyDescent="0.25">
      <c r="B229" s="185"/>
      <c r="C229" s="185"/>
      <c r="D229" s="185"/>
    </row>
    <row r="230" spans="2:4" x14ac:dyDescent="0.25">
      <c r="B230" s="185"/>
      <c r="C230" s="185"/>
      <c r="D230" s="185"/>
    </row>
    <row r="231" spans="2:4" x14ac:dyDescent="0.25">
      <c r="B231" s="185"/>
      <c r="C231" s="185"/>
      <c r="D231" s="185"/>
    </row>
    <row r="232" spans="2:4" x14ac:dyDescent="0.25">
      <c r="B232" s="185"/>
      <c r="C232" s="185"/>
      <c r="D232" s="185"/>
    </row>
    <row r="233" spans="2:4" x14ac:dyDescent="0.25">
      <c r="B233" s="185"/>
      <c r="C233" s="185"/>
      <c r="D233" s="185"/>
    </row>
    <row r="234" spans="2:4" x14ac:dyDescent="0.25">
      <c r="B234" s="185"/>
      <c r="C234" s="185"/>
      <c r="D234" s="185"/>
    </row>
    <row r="235" spans="2:4" x14ac:dyDescent="0.25">
      <c r="B235" s="185"/>
      <c r="C235" s="185"/>
      <c r="D235" s="185"/>
    </row>
    <row r="236" spans="2:4" x14ac:dyDescent="0.25">
      <c r="B236" s="185"/>
      <c r="C236" s="185"/>
      <c r="D236" s="185"/>
    </row>
    <row r="237" spans="2:4" x14ac:dyDescent="0.25">
      <c r="B237" s="185"/>
      <c r="C237" s="185"/>
      <c r="D237" s="185"/>
    </row>
    <row r="238" spans="2:4" x14ac:dyDescent="0.25">
      <c r="B238" s="185"/>
      <c r="C238" s="185"/>
      <c r="D238" s="185"/>
    </row>
    <row r="239" spans="2:4" x14ac:dyDescent="0.25">
      <c r="B239" s="185"/>
      <c r="C239" s="185"/>
      <c r="D239" s="185"/>
    </row>
    <row r="240" spans="2:4" x14ac:dyDescent="0.25">
      <c r="B240" s="185"/>
      <c r="C240" s="185"/>
      <c r="D240" s="185"/>
    </row>
    <row r="241" spans="2:4" x14ac:dyDescent="0.25">
      <c r="B241" s="185"/>
      <c r="C241" s="185"/>
      <c r="D241" s="185"/>
    </row>
    <row r="242" spans="2:4" x14ac:dyDescent="0.25">
      <c r="B242" s="185"/>
      <c r="C242" s="185"/>
      <c r="D242" s="185"/>
    </row>
    <row r="243" spans="2:4" x14ac:dyDescent="0.25">
      <c r="B243" s="185"/>
      <c r="C243" s="185"/>
      <c r="D243" s="185"/>
    </row>
    <row r="244" spans="2:4" x14ac:dyDescent="0.25">
      <c r="B244" s="185"/>
      <c r="C244" s="185"/>
      <c r="D244" s="185"/>
    </row>
    <row r="245" spans="2:4" x14ac:dyDescent="0.25">
      <c r="B245" s="185"/>
      <c r="C245" s="185"/>
      <c r="D245" s="185"/>
    </row>
    <row r="246" spans="2:4" x14ac:dyDescent="0.25">
      <c r="B246" s="185"/>
      <c r="C246" s="185"/>
      <c r="D246" s="185"/>
    </row>
    <row r="247" spans="2:4" x14ac:dyDescent="0.25">
      <c r="B247" s="185"/>
      <c r="C247" s="185"/>
      <c r="D247" s="185"/>
    </row>
    <row r="248" spans="2:4" x14ac:dyDescent="0.25">
      <c r="B248" s="185"/>
      <c r="C248" s="185"/>
      <c r="D248" s="185"/>
    </row>
    <row r="249" spans="2:4" x14ac:dyDescent="0.25">
      <c r="B249" s="185"/>
      <c r="C249" s="185"/>
      <c r="D249" s="185"/>
    </row>
    <row r="250" spans="2:4" x14ac:dyDescent="0.25">
      <c r="B250" s="185"/>
      <c r="C250" s="185"/>
      <c r="D250" s="185"/>
    </row>
    <row r="251" spans="2:4" x14ac:dyDescent="0.25">
      <c r="B251" s="185"/>
      <c r="C251" s="185"/>
      <c r="D251" s="185"/>
    </row>
    <row r="252" spans="2:4" x14ac:dyDescent="0.25">
      <c r="B252" s="185"/>
      <c r="C252" s="185"/>
      <c r="D252" s="185"/>
    </row>
    <row r="253" spans="2:4" x14ac:dyDescent="0.25">
      <c r="B253" s="185"/>
      <c r="C253" s="185"/>
      <c r="D253" s="185"/>
    </row>
    <row r="254" spans="2:4" x14ac:dyDescent="0.25">
      <c r="B254" s="185"/>
      <c r="C254" s="185"/>
      <c r="D254" s="185"/>
    </row>
    <row r="255" spans="2:4" x14ac:dyDescent="0.25">
      <c r="B255" s="185"/>
      <c r="C255" s="185"/>
      <c r="D255" s="185"/>
    </row>
    <row r="256" spans="2:4" x14ac:dyDescent="0.25">
      <c r="B256" s="185"/>
      <c r="C256" s="185"/>
      <c r="D256" s="185"/>
    </row>
    <row r="257" spans="2:4" x14ac:dyDescent="0.25">
      <c r="B257" s="185"/>
      <c r="C257" s="185"/>
      <c r="D257" s="185"/>
    </row>
    <row r="258" spans="2:4" x14ac:dyDescent="0.25">
      <c r="B258" s="185"/>
      <c r="C258" s="185"/>
      <c r="D258" s="185"/>
    </row>
    <row r="259" spans="2:4" x14ac:dyDescent="0.25">
      <c r="B259" s="185"/>
      <c r="C259" s="185"/>
      <c r="D259" s="185"/>
    </row>
    <row r="260" spans="2:4" x14ac:dyDescent="0.25">
      <c r="B260" s="185"/>
      <c r="C260" s="185"/>
      <c r="D260" s="185"/>
    </row>
    <row r="261" spans="2:4" x14ac:dyDescent="0.25">
      <c r="B261" s="185"/>
      <c r="C261" s="185"/>
      <c r="D261" s="185"/>
    </row>
    <row r="262" spans="2:4" x14ac:dyDescent="0.25">
      <c r="B262" s="185"/>
      <c r="C262" s="185"/>
      <c r="D262" s="185"/>
    </row>
    <row r="263" spans="2:4" x14ac:dyDescent="0.25">
      <c r="B263" s="185"/>
      <c r="C263" s="185"/>
      <c r="D263" s="185"/>
    </row>
    <row r="264" spans="2:4" x14ac:dyDescent="0.25">
      <c r="B264" s="185"/>
      <c r="C264" s="185"/>
      <c r="D264" s="185"/>
    </row>
    <row r="265" spans="2:4" x14ac:dyDescent="0.25">
      <c r="B265" s="185"/>
      <c r="C265" s="185"/>
      <c r="D265" s="185"/>
    </row>
    <row r="266" spans="2:4" x14ac:dyDescent="0.25">
      <c r="B266" s="185"/>
      <c r="C266" s="185"/>
      <c r="D266" s="185"/>
    </row>
    <row r="267" spans="2:4" x14ac:dyDescent="0.25">
      <c r="B267" s="185"/>
      <c r="C267" s="185"/>
      <c r="D267" s="185"/>
    </row>
    <row r="268" spans="2:4" x14ac:dyDescent="0.25">
      <c r="B268" s="185"/>
      <c r="C268" s="185"/>
      <c r="D268" s="185"/>
    </row>
    <row r="269" spans="2:4" x14ac:dyDescent="0.25">
      <c r="B269" s="185"/>
      <c r="C269" s="185"/>
      <c r="D269" s="185"/>
    </row>
    <row r="270" spans="2:4" x14ac:dyDescent="0.25">
      <c r="B270" s="185"/>
      <c r="C270" s="185"/>
      <c r="D270" s="185"/>
    </row>
    <row r="271" spans="2:4" x14ac:dyDescent="0.25">
      <c r="B271" s="185"/>
      <c r="C271" s="185"/>
      <c r="D271" s="185"/>
    </row>
    <row r="272" spans="2:4" x14ac:dyDescent="0.25">
      <c r="B272" s="185"/>
      <c r="C272" s="185"/>
      <c r="D272" s="185"/>
    </row>
    <row r="273" spans="2:4" x14ac:dyDescent="0.25">
      <c r="B273" s="185"/>
      <c r="C273" s="185"/>
      <c r="D273" s="185"/>
    </row>
    <row r="274" spans="2:4" x14ac:dyDescent="0.25">
      <c r="B274" s="185"/>
      <c r="C274" s="185"/>
      <c r="D274" s="185"/>
    </row>
    <row r="275" spans="2:4" x14ac:dyDescent="0.25">
      <c r="B275" s="185"/>
      <c r="C275" s="185"/>
      <c r="D275" s="185"/>
    </row>
    <row r="276" spans="2:4" x14ac:dyDescent="0.25">
      <c r="B276" s="185"/>
      <c r="C276" s="185"/>
      <c r="D276" s="185"/>
    </row>
    <row r="277" spans="2:4" x14ac:dyDescent="0.25">
      <c r="B277" s="185"/>
      <c r="C277" s="185"/>
      <c r="D277" s="185"/>
    </row>
    <row r="278" spans="2:4" x14ac:dyDescent="0.25">
      <c r="B278" s="185"/>
      <c r="C278" s="185"/>
      <c r="D278" s="185"/>
    </row>
    <row r="279" spans="2:4" x14ac:dyDescent="0.25">
      <c r="B279" s="185"/>
      <c r="C279" s="185"/>
      <c r="D279" s="185"/>
    </row>
    <row r="280" spans="2:4" x14ac:dyDescent="0.25">
      <c r="B280" s="185"/>
      <c r="C280" s="185"/>
      <c r="D280" s="185"/>
    </row>
    <row r="281" spans="2:4" x14ac:dyDescent="0.25">
      <c r="B281" s="185"/>
      <c r="C281" s="185"/>
      <c r="D281" s="185"/>
    </row>
    <row r="282" spans="2:4" x14ac:dyDescent="0.25">
      <c r="B282" s="185"/>
      <c r="C282" s="185"/>
      <c r="D282" s="185"/>
    </row>
    <row r="283" spans="2:4" x14ac:dyDescent="0.25">
      <c r="B283" s="185"/>
      <c r="C283" s="185"/>
      <c r="D283" s="185"/>
    </row>
    <row r="284" spans="2:4" x14ac:dyDescent="0.25">
      <c r="B284" s="185"/>
      <c r="C284" s="185"/>
      <c r="D284" s="185"/>
    </row>
    <row r="285" spans="2:4" x14ac:dyDescent="0.25">
      <c r="B285" s="185"/>
      <c r="C285" s="185"/>
      <c r="D285" s="185"/>
    </row>
    <row r="286" spans="2:4" x14ac:dyDescent="0.25">
      <c r="B286" s="185"/>
      <c r="C286" s="185"/>
      <c r="D286" s="185"/>
    </row>
    <row r="287" spans="2:4" x14ac:dyDescent="0.25">
      <c r="B287" s="185"/>
      <c r="C287" s="185"/>
      <c r="D287" s="185"/>
    </row>
    <row r="288" spans="2:4" x14ac:dyDescent="0.25">
      <c r="B288" s="185"/>
      <c r="C288" s="185"/>
      <c r="D288" s="185"/>
    </row>
    <row r="289" spans="2:4" x14ac:dyDescent="0.25">
      <c r="B289" s="185"/>
      <c r="C289" s="185"/>
      <c r="D289" s="185"/>
    </row>
    <row r="290" spans="2:4" x14ac:dyDescent="0.25">
      <c r="B290" s="185"/>
      <c r="C290" s="185"/>
      <c r="D290" s="185"/>
    </row>
    <row r="291" spans="2:4" x14ac:dyDescent="0.25">
      <c r="B291" s="185"/>
      <c r="C291" s="185"/>
      <c r="D291" s="185"/>
    </row>
    <row r="292" spans="2:4" x14ac:dyDescent="0.25">
      <c r="B292" s="185"/>
      <c r="C292" s="185"/>
      <c r="D292" s="185"/>
    </row>
    <row r="293" spans="2:4" x14ac:dyDescent="0.25">
      <c r="B293" s="185"/>
      <c r="C293" s="185"/>
      <c r="D293" s="185"/>
    </row>
    <row r="294" spans="2:4" x14ac:dyDescent="0.25">
      <c r="B294" s="185"/>
      <c r="C294" s="185"/>
      <c r="D294" s="185"/>
    </row>
    <row r="295" spans="2:4" x14ac:dyDescent="0.25">
      <c r="B295" s="185"/>
      <c r="C295" s="185"/>
      <c r="D295" s="185"/>
    </row>
    <row r="296" spans="2:4" x14ac:dyDescent="0.25">
      <c r="B296" s="185"/>
      <c r="C296" s="185"/>
      <c r="D296" s="185"/>
    </row>
    <row r="297" spans="2:4" x14ac:dyDescent="0.25">
      <c r="B297" s="185"/>
      <c r="C297" s="185"/>
      <c r="D297" s="185"/>
    </row>
    <row r="298" spans="2:4" x14ac:dyDescent="0.25">
      <c r="B298" s="185"/>
      <c r="C298" s="185"/>
      <c r="D298" s="185"/>
    </row>
    <row r="299" spans="2:4" x14ac:dyDescent="0.25">
      <c r="B299" s="185"/>
      <c r="C299" s="185"/>
      <c r="D299" s="185"/>
    </row>
    <row r="300" spans="2:4" x14ac:dyDescent="0.25">
      <c r="B300" s="185"/>
      <c r="C300" s="185"/>
      <c r="D300" s="185"/>
    </row>
    <row r="301" spans="2:4" x14ac:dyDescent="0.25">
      <c r="B301" s="185"/>
      <c r="C301" s="185"/>
      <c r="D301" s="185"/>
    </row>
    <row r="302" spans="2:4" x14ac:dyDescent="0.25">
      <c r="B302" s="185"/>
      <c r="C302" s="185"/>
      <c r="D302" s="185"/>
    </row>
    <row r="303" spans="2:4" x14ac:dyDescent="0.25">
      <c r="B303" s="185"/>
      <c r="C303" s="185"/>
      <c r="D303" s="185"/>
    </row>
    <row r="304" spans="2:4" x14ac:dyDescent="0.25">
      <c r="B304" s="185"/>
      <c r="C304" s="185"/>
      <c r="D304" s="185"/>
    </row>
    <row r="305" spans="2:4" x14ac:dyDescent="0.25">
      <c r="B305" s="185"/>
      <c r="C305" s="185"/>
      <c r="D305" s="185"/>
    </row>
    <row r="306" spans="2:4" x14ac:dyDescent="0.25">
      <c r="B306" s="185"/>
      <c r="C306" s="185"/>
      <c r="D306" s="185"/>
    </row>
    <row r="307" spans="2:4" x14ac:dyDescent="0.25">
      <c r="B307" s="185"/>
      <c r="C307" s="185"/>
      <c r="D307" s="185"/>
    </row>
    <row r="308" spans="2:4" x14ac:dyDescent="0.25">
      <c r="B308" s="185"/>
      <c r="C308" s="185"/>
      <c r="D308" s="185"/>
    </row>
    <row r="309" spans="2:4" x14ac:dyDescent="0.25">
      <c r="B309" s="185"/>
      <c r="C309" s="185"/>
      <c r="D309" s="185"/>
    </row>
    <row r="310" spans="2:4" x14ac:dyDescent="0.25">
      <c r="B310" s="185"/>
      <c r="C310" s="185"/>
      <c r="D310" s="185"/>
    </row>
    <row r="311" spans="2:4" x14ac:dyDescent="0.25">
      <c r="B311" s="185"/>
      <c r="C311" s="185"/>
      <c r="D311" s="185"/>
    </row>
    <row r="312" spans="2:4" x14ac:dyDescent="0.25">
      <c r="B312" s="185"/>
      <c r="C312" s="185"/>
      <c r="D312" s="185"/>
    </row>
    <row r="313" spans="2:4" x14ac:dyDescent="0.25">
      <c r="B313" s="185"/>
      <c r="C313" s="185"/>
      <c r="D313" s="185"/>
    </row>
    <row r="314" spans="2:4" x14ac:dyDescent="0.25">
      <c r="B314" s="185"/>
      <c r="C314" s="185"/>
      <c r="D314" s="185"/>
    </row>
    <row r="315" spans="2:4" x14ac:dyDescent="0.25">
      <c r="B315" s="185"/>
      <c r="C315" s="185"/>
      <c r="D315" s="185"/>
    </row>
    <row r="316" spans="2:4" x14ac:dyDescent="0.25">
      <c r="B316" s="185"/>
      <c r="C316" s="185"/>
      <c r="D316" s="185"/>
    </row>
    <row r="317" spans="2:4" x14ac:dyDescent="0.25">
      <c r="B317" s="185"/>
      <c r="C317" s="185"/>
      <c r="D317" s="185"/>
    </row>
    <row r="318" spans="2:4" x14ac:dyDescent="0.25">
      <c r="B318" s="185"/>
      <c r="C318" s="185"/>
      <c r="D318" s="185"/>
    </row>
    <row r="319" spans="2:4" x14ac:dyDescent="0.25">
      <c r="B319" s="185"/>
      <c r="C319" s="185"/>
      <c r="D319" s="185"/>
    </row>
    <row r="320" spans="2:4" x14ac:dyDescent="0.25">
      <c r="B320" s="185"/>
      <c r="C320" s="185"/>
      <c r="D320" s="185"/>
    </row>
    <row r="321" spans="2:4" x14ac:dyDescent="0.25">
      <c r="B321" s="185"/>
      <c r="C321" s="185"/>
      <c r="D321" s="185"/>
    </row>
    <row r="322" spans="2:4" x14ac:dyDescent="0.25">
      <c r="B322" s="185"/>
      <c r="C322" s="185"/>
      <c r="D322" s="185"/>
    </row>
    <row r="323" spans="2:4" x14ac:dyDescent="0.25">
      <c r="B323" s="185"/>
      <c r="C323" s="185"/>
      <c r="D323" s="185"/>
    </row>
    <row r="324" spans="2:4" x14ac:dyDescent="0.25">
      <c r="B324" s="185"/>
      <c r="C324" s="185"/>
      <c r="D324" s="185"/>
    </row>
    <row r="325" spans="2:4" x14ac:dyDescent="0.25">
      <c r="B325" s="185"/>
      <c r="C325" s="185"/>
      <c r="D325" s="185"/>
    </row>
    <row r="326" spans="2:4" x14ac:dyDescent="0.25">
      <c r="B326" s="185"/>
      <c r="C326" s="185"/>
      <c r="D326" s="185"/>
    </row>
    <row r="327" spans="2:4" x14ac:dyDescent="0.25">
      <c r="B327" s="185"/>
      <c r="C327" s="185"/>
      <c r="D327" s="185"/>
    </row>
    <row r="328" spans="2:4" x14ac:dyDescent="0.25">
      <c r="B328" s="185"/>
      <c r="C328" s="185"/>
      <c r="D328" s="185"/>
    </row>
    <row r="329" spans="2:4" x14ac:dyDescent="0.25">
      <c r="B329" s="185"/>
      <c r="C329" s="185"/>
      <c r="D329" s="185"/>
    </row>
    <row r="330" spans="2:4" x14ac:dyDescent="0.25">
      <c r="B330" s="185"/>
      <c r="C330" s="185"/>
      <c r="D330" s="185"/>
    </row>
    <row r="331" spans="2:4" x14ac:dyDescent="0.25">
      <c r="B331" s="185"/>
      <c r="C331" s="185"/>
      <c r="D331" s="185"/>
    </row>
    <row r="332" spans="2:4" x14ac:dyDescent="0.25">
      <c r="B332" s="185"/>
      <c r="C332" s="185"/>
      <c r="D332" s="185"/>
    </row>
    <row r="333" spans="2:4" x14ac:dyDescent="0.25">
      <c r="B333" s="185"/>
      <c r="C333" s="185"/>
      <c r="D333" s="185"/>
    </row>
    <row r="334" spans="2:4" x14ac:dyDescent="0.25">
      <c r="B334" s="185"/>
      <c r="C334" s="185"/>
      <c r="D334" s="185"/>
    </row>
    <row r="335" spans="2:4" x14ac:dyDescent="0.25">
      <c r="B335" s="185"/>
      <c r="C335" s="185"/>
      <c r="D335" s="185"/>
    </row>
    <row r="336" spans="2:4" x14ac:dyDescent="0.25">
      <c r="B336" s="185"/>
      <c r="C336" s="185"/>
      <c r="D336" s="185"/>
    </row>
    <row r="337" spans="2:4" x14ac:dyDescent="0.25">
      <c r="B337" s="185"/>
      <c r="C337" s="185"/>
      <c r="D337" s="185"/>
    </row>
    <row r="338" spans="2:4" x14ac:dyDescent="0.25">
      <c r="B338" s="185"/>
      <c r="C338" s="185"/>
      <c r="D338" s="185"/>
    </row>
    <row r="339" spans="2:4" x14ac:dyDescent="0.25">
      <c r="B339" s="185"/>
      <c r="C339" s="185"/>
      <c r="D339" s="185"/>
    </row>
    <row r="340" spans="2:4" x14ac:dyDescent="0.25">
      <c r="B340" s="185"/>
      <c r="C340" s="185"/>
      <c r="D340" s="185"/>
    </row>
    <row r="341" spans="2:4" x14ac:dyDescent="0.25">
      <c r="B341" s="185"/>
      <c r="C341" s="185"/>
      <c r="D341" s="185"/>
    </row>
    <row r="342" spans="2:4" x14ac:dyDescent="0.25">
      <c r="B342" s="185"/>
      <c r="C342" s="185"/>
      <c r="D342" s="185"/>
    </row>
    <row r="343" spans="2:4" x14ac:dyDescent="0.25">
      <c r="B343" s="185"/>
      <c r="C343" s="185"/>
      <c r="D343" s="185"/>
    </row>
    <row r="344" spans="2:4" x14ac:dyDescent="0.25">
      <c r="B344" s="185"/>
      <c r="C344" s="185"/>
      <c r="D344" s="185"/>
    </row>
    <row r="345" spans="2:4" x14ac:dyDescent="0.25">
      <c r="B345" s="185"/>
      <c r="C345" s="185"/>
      <c r="D345" s="185"/>
    </row>
    <row r="346" spans="2:4" x14ac:dyDescent="0.25">
      <c r="B346" s="185"/>
      <c r="C346" s="185"/>
      <c r="D346" s="185"/>
    </row>
    <row r="347" spans="2:4" x14ac:dyDescent="0.25">
      <c r="B347" s="185"/>
      <c r="C347" s="185"/>
      <c r="D347" s="185"/>
    </row>
    <row r="348" spans="2:4" x14ac:dyDescent="0.25">
      <c r="B348" s="185"/>
      <c r="C348" s="185"/>
      <c r="D348" s="185"/>
    </row>
    <row r="349" spans="2:4" x14ac:dyDescent="0.25">
      <c r="B349" s="185"/>
      <c r="C349" s="185"/>
      <c r="D349" s="185"/>
    </row>
    <row r="350" spans="2:4" x14ac:dyDescent="0.25">
      <c r="B350" s="185"/>
      <c r="C350" s="185"/>
      <c r="D350" s="185"/>
    </row>
    <row r="351" spans="2:4" x14ac:dyDescent="0.25">
      <c r="B351" s="185"/>
      <c r="C351" s="185"/>
      <c r="D351" s="185"/>
    </row>
    <row r="352" spans="2:4" x14ac:dyDescent="0.25">
      <c r="B352" s="185"/>
      <c r="C352" s="185"/>
      <c r="D352" s="185"/>
    </row>
    <row r="353" spans="2:4" x14ac:dyDescent="0.25">
      <c r="B353" s="185"/>
      <c r="C353" s="185"/>
      <c r="D353" s="185"/>
    </row>
    <row r="354" spans="2:4" x14ac:dyDescent="0.25">
      <c r="B354" s="185"/>
      <c r="C354" s="185"/>
      <c r="D354" s="185"/>
    </row>
    <row r="355" spans="2:4" x14ac:dyDescent="0.25">
      <c r="B355" s="185"/>
      <c r="C355" s="185"/>
      <c r="D355" s="185"/>
    </row>
    <row r="356" spans="2:4" x14ac:dyDescent="0.25">
      <c r="B356" s="185"/>
      <c r="C356" s="185"/>
      <c r="D356" s="185"/>
    </row>
    <row r="357" spans="2:4" x14ac:dyDescent="0.25">
      <c r="B357" s="185"/>
      <c r="C357" s="185"/>
      <c r="D357" s="185"/>
    </row>
    <row r="358" spans="2:4" x14ac:dyDescent="0.25">
      <c r="B358" s="185"/>
      <c r="C358" s="185"/>
      <c r="D358" s="185"/>
    </row>
    <row r="359" spans="2:4" x14ac:dyDescent="0.25">
      <c r="B359" s="185"/>
      <c r="C359" s="185"/>
      <c r="D359" s="185"/>
    </row>
    <row r="360" spans="2:4" x14ac:dyDescent="0.25">
      <c r="B360" s="185"/>
      <c r="C360" s="185"/>
      <c r="D360" s="185"/>
    </row>
    <row r="361" spans="2:4" x14ac:dyDescent="0.25">
      <c r="B361" s="185"/>
      <c r="C361" s="185"/>
      <c r="D361" s="185"/>
    </row>
    <row r="362" spans="2:4" x14ac:dyDescent="0.25">
      <c r="B362" s="185"/>
      <c r="C362" s="185"/>
      <c r="D362" s="185"/>
    </row>
    <row r="363" spans="2:4" x14ac:dyDescent="0.25">
      <c r="B363" s="185"/>
      <c r="C363" s="185"/>
      <c r="D363" s="185"/>
    </row>
    <row r="364" spans="2:4" x14ac:dyDescent="0.25">
      <c r="B364" s="185"/>
      <c r="C364" s="185"/>
      <c r="D364" s="185"/>
    </row>
    <row r="365" spans="2:4" x14ac:dyDescent="0.25">
      <c r="B365" s="185"/>
      <c r="C365" s="185"/>
      <c r="D365" s="185"/>
    </row>
    <row r="366" spans="2:4" x14ac:dyDescent="0.25">
      <c r="B366" s="185"/>
      <c r="C366" s="185"/>
      <c r="D366" s="185"/>
    </row>
    <row r="367" spans="2:4" x14ac:dyDescent="0.25">
      <c r="B367" s="185"/>
      <c r="C367" s="185"/>
      <c r="D367" s="185"/>
    </row>
    <row r="368" spans="2:4" x14ac:dyDescent="0.25">
      <c r="B368" s="185"/>
      <c r="C368" s="185"/>
      <c r="D368" s="185"/>
    </row>
    <row r="369" spans="2:4" x14ac:dyDescent="0.25">
      <c r="B369" s="185"/>
      <c r="C369" s="185"/>
      <c r="D369" s="185"/>
    </row>
    <row r="370" spans="2:4" x14ac:dyDescent="0.25">
      <c r="B370" s="185"/>
      <c r="C370" s="185"/>
      <c r="D370" s="185"/>
    </row>
    <row r="371" spans="2:4" x14ac:dyDescent="0.25">
      <c r="B371" s="185"/>
      <c r="C371" s="185"/>
      <c r="D371" s="185"/>
    </row>
    <row r="372" spans="2:4" x14ac:dyDescent="0.25">
      <c r="B372" s="185"/>
      <c r="C372" s="185"/>
      <c r="D372" s="185"/>
    </row>
    <row r="373" spans="2:4" x14ac:dyDescent="0.25">
      <c r="B373" s="185"/>
      <c r="C373" s="185"/>
      <c r="D373" s="185"/>
    </row>
    <row r="374" spans="2:4" x14ac:dyDescent="0.25">
      <c r="B374" s="185"/>
      <c r="C374" s="185"/>
      <c r="D374" s="185"/>
    </row>
    <row r="375" spans="2:4" x14ac:dyDescent="0.25">
      <c r="B375" s="185"/>
      <c r="C375" s="185"/>
      <c r="D375" s="185"/>
    </row>
    <row r="376" spans="2:4" x14ac:dyDescent="0.25">
      <c r="B376" s="185"/>
      <c r="C376" s="185"/>
      <c r="D376" s="185"/>
    </row>
    <row r="377" spans="2:4" x14ac:dyDescent="0.25">
      <c r="B377" s="185"/>
      <c r="C377" s="185"/>
      <c r="D377" s="185"/>
    </row>
    <row r="378" spans="2:4" x14ac:dyDescent="0.25">
      <c r="B378" s="185"/>
      <c r="C378" s="185"/>
      <c r="D378" s="185"/>
    </row>
    <row r="379" spans="2:4" x14ac:dyDescent="0.25">
      <c r="B379" s="185"/>
      <c r="C379" s="185"/>
      <c r="D379" s="185"/>
    </row>
    <row r="380" spans="2:4" x14ac:dyDescent="0.25">
      <c r="B380" s="185"/>
      <c r="C380" s="185"/>
      <c r="D380" s="185"/>
    </row>
    <row r="381" spans="2:4" x14ac:dyDescent="0.25">
      <c r="B381" s="185"/>
      <c r="C381" s="185"/>
      <c r="D381" s="185"/>
    </row>
    <row r="382" spans="2:4" x14ac:dyDescent="0.25">
      <c r="B382" s="185"/>
      <c r="C382" s="185"/>
      <c r="D382" s="185"/>
    </row>
    <row r="383" spans="2:4" x14ac:dyDescent="0.25">
      <c r="B383" s="185"/>
      <c r="C383" s="185"/>
      <c r="D383" s="185"/>
    </row>
    <row r="384" spans="2:4" x14ac:dyDescent="0.25">
      <c r="B384" s="185"/>
      <c r="C384" s="185"/>
      <c r="D384" s="185"/>
    </row>
    <row r="385" spans="2:4" x14ac:dyDescent="0.25">
      <c r="B385" s="185"/>
      <c r="C385" s="185"/>
      <c r="D385" s="185"/>
    </row>
    <row r="386" spans="2:4" x14ac:dyDescent="0.25">
      <c r="B386" s="185"/>
      <c r="C386" s="185"/>
      <c r="D386" s="185"/>
    </row>
    <row r="387" spans="2:4" x14ac:dyDescent="0.25">
      <c r="B387" s="185"/>
      <c r="C387" s="185"/>
      <c r="D387" s="185"/>
    </row>
    <row r="388" spans="2:4" x14ac:dyDescent="0.25">
      <c r="B388" s="185"/>
      <c r="C388" s="185"/>
      <c r="D388" s="185"/>
    </row>
    <row r="389" spans="2:4" x14ac:dyDescent="0.25">
      <c r="B389" s="185"/>
      <c r="C389" s="185"/>
      <c r="D389" s="185"/>
    </row>
    <row r="390" spans="2:4" x14ac:dyDescent="0.25">
      <c r="B390" s="185"/>
      <c r="C390" s="185"/>
      <c r="D390" s="185"/>
    </row>
    <row r="391" spans="2:4" x14ac:dyDescent="0.25">
      <c r="B391" s="185"/>
      <c r="C391" s="185"/>
      <c r="D391" s="185"/>
    </row>
    <row r="392" spans="2:4" x14ac:dyDescent="0.25">
      <c r="B392" s="185"/>
      <c r="C392" s="185"/>
      <c r="D392" s="185"/>
    </row>
    <row r="393" spans="2:4" x14ac:dyDescent="0.25">
      <c r="B393" s="185"/>
      <c r="C393" s="185"/>
      <c r="D393" s="185"/>
    </row>
    <row r="394" spans="2:4" x14ac:dyDescent="0.25">
      <c r="B394" s="185"/>
      <c r="C394" s="185"/>
      <c r="D394" s="185"/>
    </row>
    <row r="395" spans="2:4" x14ac:dyDescent="0.25">
      <c r="B395" s="185"/>
      <c r="C395" s="185"/>
      <c r="D395" s="185"/>
    </row>
    <row r="396" spans="2:4" x14ac:dyDescent="0.25">
      <c r="B396" s="185"/>
      <c r="C396" s="185"/>
      <c r="D396" s="185"/>
    </row>
    <row r="397" spans="2:4" x14ac:dyDescent="0.25">
      <c r="B397" s="185"/>
      <c r="C397" s="185"/>
      <c r="D397" s="185"/>
    </row>
    <row r="398" spans="2:4" x14ac:dyDescent="0.25">
      <c r="B398" s="185"/>
      <c r="C398" s="185"/>
      <c r="D398" s="185"/>
    </row>
    <row r="399" spans="2:4" x14ac:dyDescent="0.25">
      <c r="B399" s="185"/>
      <c r="C399" s="185"/>
      <c r="D399" s="185"/>
    </row>
    <row r="400" spans="2:4" x14ac:dyDescent="0.25">
      <c r="B400" s="185"/>
      <c r="C400" s="185"/>
      <c r="D400" s="185"/>
    </row>
    <row r="401" spans="2:4" x14ac:dyDescent="0.25">
      <c r="B401" s="185"/>
      <c r="C401" s="185"/>
      <c r="D401" s="185"/>
    </row>
    <row r="402" spans="2:4" x14ac:dyDescent="0.25">
      <c r="B402" s="185"/>
      <c r="C402" s="185"/>
      <c r="D402" s="185"/>
    </row>
    <row r="403" spans="2:4" x14ac:dyDescent="0.25">
      <c r="B403" s="185"/>
      <c r="C403" s="185"/>
      <c r="D403" s="185"/>
    </row>
    <row r="404" spans="2:4" x14ac:dyDescent="0.25">
      <c r="B404" s="185"/>
      <c r="C404" s="185"/>
      <c r="D404" s="185"/>
    </row>
    <row r="405" spans="2:4" x14ac:dyDescent="0.25">
      <c r="B405" s="185"/>
      <c r="C405" s="185"/>
      <c r="D405" s="185"/>
    </row>
    <row r="406" spans="2:4" x14ac:dyDescent="0.25">
      <c r="B406" s="185"/>
      <c r="C406" s="185"/>
      <c r="D406" s="185"/>
    </row>
    <row r="407" spans="2:4" x14ac:dyDescent="0.25">
      <c r="B407" s="185"/>
      <c r="C407" s="185"/>
      <c r="D407" s="185"/>
    </row>
    <row r="408" spans="2:4" x14ac:dyDescent="0.25">
      <c r="B408" s="185"/>
      <c r="C408" s="185"/>
      <c r="D408" s="185"/>
    </row>
    <row r="409" spans="2:4" x14ac:dyDescent="0.25">
      <c r="B409" s="185"/>
      <c r="C409" s="185"/>
      <c r="D409" s="185"/>
    </row>
    <row r="410" spans="2:4" x14ac:dyDescent="0.25">
      <c r="B410" s="185"/>
      <c r="C410" s="185"/>
      <c r="D410" s="185"/>
    </row>
    <row r="411" spans="2:4" x14ac:dyDescent="0.25">
      <c r="B411" s="185"/>
      <c r="C411" s="185"/>
      <c r="D411" s="185"/>
    </row>
    <row r="412" spans="2:4" x14ac:dyDescent="0.25">
      <c r="B412" s="185"/>
      <c r="C412" s="185"/>
      <c r="D412" s="185"/>
    </row>
    <row r="413" spans="2:4" x14ac:dyDescent="0.25">
      <c r="B413" s="185"/>
      <c r="C413" s="185"/>
      <c r="D413" s="185"/>
    </row>
    <row r="414" spans="2:4" x14ac:dyDescent="0.25">
      <c r="B414" s="185"/>
      <c r="C414" s="185"/>
      <c r="D414" s="185"/>
    </row>
    <row r="415" spans="2:4" x14ac:dyDescent="0.25">
      <c r="B415" s="185"/>
      <c r="C415" s="185"/>
      <c r="D415" s="185"/>
    </row>
    <row r="416" spans="2:4" x14ac:dyDescent="0.25">
      <c r="B416" s="185"/>
      <c r="C416" s="185"/>
      <c r="D416" s="185"/>
    </row>
    <row r="417" spans="2:4" x14ac:dyDescent="0.25">
      <c r="B417" s="185"/>
      <c r="C417" s="185"/>
      <c r="D417" s="185"/>
    </row>
    <row r="418" spans="2:4" x14ac:dyDescent="0.25">
      <c r="B418" s="185"/>
      <c r="C418" s="185"/>
      <c r="D418" s="185"/>
    </row>
    <row r="419" spans="2:4" x14ac:dyDescent="0.25">
      <c r="B419" s="185"/>
      <c r="C419" s="185"/>
      <c r="D419" s="185"/>
    </row>
    <row r="420" spans="2:4" x14ac:dyDescent="0.25">
      <c r="B420" s="185"/>
      <c r="C420" s="185"/>
      <c r="D420" s="185"/>
    </row>
    <row r="421" spans="2:4" x14ac:dyDescent="0.25">
      <c r="B421" s="185"/>
      <c r="C421" s="185"/>
      <c r="D421" s="185"/>
    </row>
    <row r="422" spans="2:4" x14ac:dyDescent="0.25">
      <c r="B422" s="185"/>
      <c r="C422" s="185"/>
      <c r="D422" s="185"/>
    </row>
    <row r="423" spans="2:4" x14ac:dyDescent="0.25">
      <c r="B423" s="185"/>
      <c r="C423" s="185"/>
      <c r="D423" s="185"/>
    </row>
    <row r="424" spans="2:4" x14ac:dyDescent="0.25">
      <c r="B424" s="185"/>
      <c r="C424" s="185"/>
      <c r="D424" s="185"/>
    </row>
    <row r="425" spans="2:4" x14ac:dyDescent="0.25">
      <c r="B425" s="185"/>
      <c r="C425" s="185"/>
      <c r="D425" s="185"/>
    </row>
    <row r="426" spans="2:4" x14ac:dyDescent="0.25">
      <c r="B426" s="185"/>
      <c r="C426" s="185"/>
      <c r="D426" s="185"/>
    </row>
    <row r="427" spans="2:4" x14ac:dyDescent="0.25">
      <c r="B427" s="185"/>
      <c r="C427" s="185"/>
      <c r="D427" s="185"/>
    </row>
    <row r="428" spans="2:4" x14ac:dyDescent="0.25">
      <c r="B428" s="185"/>
      <c r="C428" s="185"/>
      <c r="D428" s="185"/>
    </row>
    <row r="429" spans="2:4" x14ac:dyDescent="0.25">
      <c r="B429" s="185"/>
      <c r="C429" s="185"/>
      <c r="D429" s="185"/>
    </row>
    <row r="430" spans="2:4" x14ac:dyDescent="0.25">
      <c r="B430" s="185"/>
      <c r="C430" s="185"/>
      <c r="D430" s="185"/>
    </row>
    <row r="431" spans="2:4" x14ac:dyDescent="0.25">
      <c r="B431" s="185"/>
      <c r="C431" s="185"/>
      <c r="D431" s="185"/>
    </row>
    <row r="432" spans="2:4" x14ac:dyDescent="0.25">
      <c r="B432" s="185"/>
      <c r="C432" s="185"/>
      <c r="D432" s="185"/>
    </row>
    <row r="433" spans="2:4" x14ac:dyDescent="0.25">
      <c r="B433" s="185"/>
      <c r="C433" s="185"/>
      <c r="D433" s="185"/>
    </row>
    <row r="434" spans="2:4" x14ac:dyDescent="0.25">
      <c r="B434" s="185"/>
      <c r="C434" s="185"/>
      <c r="D434" s="185"/>
    </row>
    <row r="435" spans="2:4" x14ac:dyDescent="0.25">
      <c r="B435" s="185"/>
      <c r="C435" s="185"/>
      <c r="D435" s="185"/>
    </row>
    <row r="436" spans="2:4" x14ac:dyDescent="0.25">
      <c r="B436" s="185"/>
      <c r="C436" s="185"/>
      <c r="D436" s="185"/>
    </row>
    <row r="437" spans="2:4" x14ac:dyDescent="0.25">
      <c r="B437" s="185"/>
      <c r="C437" s="185"/>
      <c r="D437" s="185"/>
    </row>
    <row r="438" spans="2:4" x14ac:dyDescent="0.25">
      <c r="B438" s="185"/>
      <c r="C438" s="185"/>
      <c r="D438" s="185"/>
    </row>
    <row r="439" spans="2:4" x14ac:dyDescent="0.25">
      <c r="B439" s="185"/>
      <c r="C439" s="185"/>
      <c r="D439" s="185"/>
    </row>
    <row r="440" spans="2:4" x14ac:dyDescent="0.25">
      <c r="B440" s="185"/>
      <c r="C440" s="185"/>
      <c r="D440" s="185"/>
    </row>
    <row r="441" spans="2:4" x14ac:dyDescent="0.25">
      <c r="B441" s="185"/>
      <c r="C441" s="185"/>
      <c r="D441" s="185"/>
    </row>
    <row r="442" spans="2:4" x14ac:dyDescent="0.25">
      <c r="B442" s="185"/>
      <c r="C442" s="185"/>
      <c r="D442" s="185"/>
    </row>
    <row r="443" spans="2:4" x14ac:dyDescent="0.25">
      <c r="B443" s="185"/>
      <c r="C443" s="185"/>
      <c r="D443" s="185"/>
    </row>
    <row r="444" spans="2:4" x14ac:dyDescent="0.25">
      <c r="B444" s="185"/>
      <c r="C444" s="185"/>
      <c r="D444" s="185"/>
    </row>
    <row r="445" spans="2:4" x14ac:dyDescent="0.25">
      <c r="B445" s="185"/>
      <c r="C445" s="185"/>
      <c r="D445" s="185"/>
    </row>
    <row r="446" spans="2:4" x14ac:dyDescent="0.25">
      <c r="B446" s="185"/>
      <c r="C446" s="185"/>
      <c r="D446" s="185"/>
    </row>
    <row r="447" spans="2:4" x14ac:dyDescent="0.25">
      <c r="B447" s="185"/>
      <c r="C447" s="185"/>
      <c r="D447" s="185"/>
    </row>
    <row r="448" spans="2:4" x14ac:dyDescent="0.25">
      <c r="B448" s="185"/>
      <c r="C448" s="185"/>
      <c r="D448" s="185"/>
    </row>
    <row r="449" spans="2:4" x14ac:dyDescent="0.25">
      <c r="B449" s="185"/>
      <c r="C449" s="185"/>
      <c r="D449" s="185"/>
    </row>
    <row r="450" spans="2:4" x14ac:dyDescent="0.25">
      <c r="B450" s="185"/>
      <c r="C450" s="185"/>
      <c r="D450" s="185"/>
    </row>
    <row r="451" spans="2:4" x14ac:dyDescent="0.25">
      <c r="B451" s="185"/>
      <c r="C451" s="185"/>
      <c r="D451" s="185"/>
    </row>
    <row r="452" spans="2:4" x14ac:dyDescent="0.25">
      <c r="B452" s="185"/>
      <c r="C452" s="185"/>
      <c r="D452" s="185"/>
    </row>
    <row r="453" spans="2:4" x14ac:dyDescent="0.25">
      <c r="B453" s="185"/>
      <c r="C453" s="185"/>
      <c r="D453" s="185"/>
    </row>
    <row r="454" spans="2:4" x14ac:dyDescent="0.25">
      <c r="B454" s="185"/>
      <c r="C454" s="185"/>
      <c r="D454" s="185"/>
    </row>
    <row r="455" spans="2:4" x14ac:dyDescent="0.25">
      <c r="B455" s="185"/>
      <c r="C455" s="185"/>
      <c r="D455" s="185"/>
    </row>
    <row r="456" spans="2:4" x14ac:dyDescent="0.25">
      <c r="B456" s="185"/>
      <c r="C456" s="185"/>
      <c r="D456" s="185"/>
    </row>
    <row r="457" spans="2:4" x14ac:dyDescent="0.25">
      <c r="B457" s="185"/>
      <c r="C457" s="185"/>
      <c r="D457" s="185"/>
    </row>
    <row r="458" spans="2:4" x14ac:dyDescent="0.25">
      <c r="B458" s="185"/>
      <c r="C458" s="185"/>
      <c r="D458" s="185"/>
    </row>
    <row r="459" spans="2:4" x14ac:dyDescent="0.25">
      <c r="B459" s="185"/>
      <c r="C459" s="185"/>
      <c r="D459" s="185"/>
    </row>
    <row r="460" spans="2:4" x14ac:dyDescent="0.25">
      <c r="B460" s="185"/>
      <c r="C460" s="185"/>
      <c r="D460" s="185"/>
    </row>
    <row r="461" spans="2:4" x14ac:dyDescent="0.25">
      <c r="B461" s="185"/>
      <c r="C461" s="185"/>
      <c r="D461" s="185"/>
    </row>
    <row r="462" spans="2:4" x14ac:dyDescent="0.25">
      <c r="B462" s="185"/>
      <c r="C462" s="185"/>
      <c r="D462" s="185"/>
    </row>
    <row r="463" spans="2:4" x14ac:dyDescent="0.25">
      <c r="B463" s="185"/>
      <c r="C463" s="185"/>
      <c r="D463" s="185"/>
    </row>
    <row r="464" spans="2:4" x14ac:dyDescent="0.25">
      <c r="B464" s="185"/>
      <c r="C464" s="185"/>
      <c r="D464" s="185"/>
    </row>
    <row r="465" spans="2:4" x14ac:dyDescent="0.25">
      <c r="B465" s="185"/>
      <c r="C465" s="185"/>
      <c r="D465" s="185"/>
    </row>
    <row r="466" spans="2:4" x14ac:dyDescent="0.25">
      <c r="B466" s="185"/>
      <c r="C466" s="185"/>
      <c r="D466" s="185"/>
    </row>
    <row r="467" spans="2:4" x14ac:dyDescent="0.25">
      <c r="B467" s="185"/>
      <c r="C467" s="185"/>
      <c r="D467" s="185"/>
    </row>
    <row r="468" spans="2:4" x14ac:dyDescent="0.25">
      <c r="B468" s="185"/>
      <c r="C468" s="185"/>
      <c r="D468" s="185"/>
    </row>
    <row r="469" spans="2:4" x14ac:dyDescent="0.25">
      <c r="B469" s="185"/>
      <c r="C469" s="185"/>
      <c r="D469" s="185"/>
    </row>
    <row r="470" spans="2:4" x14ac:dyDescent="0.25">
      <c r="B470" s="185"/>
      <c r="C470" s="185"/>
      <c r="D470" s="185"/>
    </row>
    <row r="471" spans="2:4" x14ac:dyDescent="0.25">
      <c r="B471" s="185"/>
      <c r="C471" s="185"/>
      <c r="D471" s="185"/>
    </row>
    <row r="472" spans="2:4" x14ac:dyDescent="0.25">
      <c r="B472" s="185"/>
      <c r="C472" s="185"/>
      <c r="D472" s="185"/>
    </row>
    <row r="473" spans="2:4" x14ac:dyDescent="0.25">
      <c r="B473" s="185"/>
      <c r="C473" s="185"/>
      <c r="D473" s="185"/>
    </row>
    <row r="474" spans="2:4" x14ac:dyDescent="0.25">
      <c r="B474" s="185"/>
      <c r="C474" s="185"/>
      <c r="D474" s="185"/>
    </row>
    <row r="475" spans="2:4" x14ac:dyDescent="0.25">
      <c r="B475" s="185"/>
      <c r="C475" s="185"/>
      <c r="D475" s="185"/>
    </row>
    <row r="476" spans="2:4" x14ac:dyDescent="0.25">
      <c r="B476" s="185"/>
      <c r="C476" s="185"/>
      <c r="D476" s="185"/>
    </row>
    <row r="477" spans="2:4" x14ac:dyDescent="0.25">
      <c r="B477" s="185"/>
      <c r="C477" s="185"/>
      <c r="D477" s="185"/>
    </row>
    <row r="478" spans="2:4" x14ac:dyDescent="0.25">
      <c r="B478" s="185"/>
      <c r="C478" s="185"/>
      <c r="D478" s="185"/>
    </row>
    <row r="479" spans="2:4" x14ac:dyDescent="0.25">
      <c r="B479" s="185"/>
      <c r="C479" s="185"/>
      <c r="D479" s="185"/>
    </row>
    <row r="480" spans="2:4" x14ac:dyDescent="0.25">
      <c r="B480" s="185"/>
      <c r="C480" s="185"/>
      <c r="D480" s="185"/>
    </row>
    <row r="481" spans="2:4" x14ac:dyDescent="0.25">
      <c r="B481" s="185"/>
      <c r="C481" s="185"/>
      <c r="D481" s="185"/>
    </row>
    <row r="482" spans="2:4" x14ac:dyDescent="0.25">
      <c r="B482" s="185"/>
      <c r="C482" s="185"/>
      <c r="D482" s="185"/>
    </row>
    <row r="483" spans="2:4" x14ac:dyDescent="0.25">
      <c r="B483" s="185"/>
      <c r="C483" s="185"/>
      <c r="D483" s="185"/>
    </row>
    <row r="484" spans="2:4" x14ac:dyDescent="0.25">
      <c r="B484" s="185"/>
      <c r="C484" s="185"/>
      <c r="D484" s="185"/>
    </row>
    <row r="485" spans="2:4" x14ac:dyDescent="0.25">
      <c r="B485" s="185"/>
      <c r="C485" s="185"/>
      <c r="D485" s="185"/>
    </row>
    <row r="486" spans="2:4" x14ac:dyDescent="0.25">
      <c r="B486" s="185"/>
      <c r="C486" s="185"/>
      <c r="D486" s="185"/>
    </row>
    <row r="487" spans="2:4" x14ac:dyDescent="0.25">
      <c r="B487" s="185"/>
      <c r="C487" s="185"/>
      <c r="D487" s="185"/>
    </row>
    <row r="488" spans="2:4" x14ac:dyDescent="0.25">
      <c r="B488" s="185"/>
      <c r="C488" s="185"/>
      <c r="D488" s="185"/>
    </row>
    <row r="489" spans="2:4" x14ac:dyDescent="0.25">
      <c r="B489" s="185"/>
      <c r="C489" s="185"/>
      <c r="D489" s="185"/>
    </row>
    <row r="490" spans="2:4" x14ac:dyDescent="0.25">
      <c r="B490" s="185"/>
      <c r="C490" s="185"/>
      <c r="D490" s="185"/>
    </row>
    <row r="491" spans="2:4" x14ac:dyDescent="0.25">
      <c r="B491" s="185"/>
      <c r="C491" s="185"/>
      <c r="D491" s="185"/>
    </row>
    <row r="492" spans="2:4" x14ac:dyDescent="0.25">
      <c r="B492" s="185"/>
      <c r="C492" s="185"/>
      <c r="D492" s="185"/>
    </row>
    <row r="493" spans="2:4" x14ac:dyDescent="0.25">
      <c r="B493" s="185"/>
      <c r="C493" s="185"/>
      <c r="D493" s="185"/>
    </row>
    <row r="494" spans="2:4" x14ac:dyDescent="0.25">
      <c r="B494" s="185"/>
      <c r="C494" s="185"/>
      <c r="D494" s="185"/>
    </row>
    <row r="495" spans="2:4" x14ac:dyDescent="0.25">
      <c r="B495" s="185"/>
      <c r="C495" s="185"/>
      <c r="D495" s="185"/>
    </row>
    <row r="496" spans="2:4" x14ac:dyDescent="0.25">
      <c r="B496" s="185"/>
      <c r="C496" s="185"/>
      <c r="D496" s="185"/>
    </row>
    <row r="497" spans="2:4" x14ac:dyDescent="0.25">
      <c r="B497" s="185"/>
      <c r="C497" s="185"/>
      <c r="D497" s="185"/>
    </row>
    <row r="498" spans="2:4" x14ac:dyDescent="0.25">
      <c r="B498" s="185"/>
      <c r="C498" s="185"/>
      <c r="D498" s="185"/>
    </row>
    <row r="499" spans="2:4" x14ac:dyDescent="0.25">
      <c r="B499" s="185"/>
      <c r="C499" s="185"/>
      <c r="D499" s="185"/>
    </row>
    <row r="500" spans="2:4" x14ac:dyDescent="0.25">
      <c r="B500" s="185"/>
      <c r="C500" s="185"/>
      <c r="D500" s="185"/>
    </row>
    <row r="501" spans="2:4" x14ac:dyDescent="0.25">
      <c r="B501" s="185"/>
      <c r="C501" s="185"/>
      <c r="D501" s="185"/>
    </row>
    <row r="502" spans="2:4" x14ac:dyDescent="0.25">
      <c r="B502" s="185"/>
      <c r="C502" s="185"/>
      <c r="D502" s="185"/>
    </row>
    <row r="503" spans="2:4" x14ac:dyDescent="0.25">
      <c r="B503" s="185"/>
      <c r="C503" s="185"/>
      <c r="D503" s="185"/>
    </row>
    <row r="504" spans="2:4" x14ac:dyDescent="0.25">
      <c r="B504" s="185"/>
      <c r="C504" s="185"/>
      <c r="D504" s="185"/>
    </row>
    <row r="505" spans="2:4" x14ac:dyDescent="0.25">
      <c r="B505" s="185"/>
      <c r="C505" s="185"/>
      <c r="D505" s="185"/>
    </row>
    <row r="506" spans="2:4" x14ac:dyDescent="0.25">
      <c r="B506" s="185"/>
      <c r="C506" s="185"/>
      <c r="D506" s="185"/>
    </row>
    <row r="507" spans="2:4" x14ac:dyDescent="0.25">
      <c r="B507" s="185"/>
      <c r="C507" s="185"/>
      <c r="D507" s="185"/>
    </row>
    <row r="508" spans="2:4" x14ac:dyDescent="0.25">
      <c r="B508" s="185"/>
      <c r="C508" s="185"/>
      <c r="D508" s="185"/>
    </row>
    <row r="509" spans="2:4" x14ac:dyDescent="0.25">
      <c r="B509" s="185"/>
      <c r="C509" s="185"/>
      <c r="D509" s="185"/>
    </row>
    <row r="510" spans="2:4" x14ac:dyDescent="0.25">
      <c r="B510" s="185"/>
      <c r="C510" s="185"/>
      <c r="D510" s="185"/>
    </row>
    <row r="511" spans="2:4" x14ac:dyDescent="0.25">
      <c r="B511" s="185"/>
      <c r="C511" s="185"/>
      <c r="D511" s="185"/>
    </row>
    <row r="512" spans="2:4" x14ac:dyDescent="0.25">
      <c r="B512" s="185"/>
      <c r="C512" s="185"/>
      <c r="D512" s="185"/>
    </row>
    <row r="513" spans="2:4" x14ac:dyDescent="0.25">
      <c r="B513" s="185"/>
      <c r="C513" s="185"/>
      <c r="D513" s="185"/>
    </row>
    <row r="514" spans="2:4" x14ac:dyDescent="0.25">
      <c r="B514" s="185"/>
      <c r="C514" s="185"/>
      <c r="D514" s="185"/>
    </row>
    <row r="515" spans="2:4" x14ac:dyDescent="0.25">
      <c r="B515" s="185"/>
      <c r="C515" s="185"/>
      <c r="D515" s="185"/>
    </row>
    <row r="516" spans="2:4" x14ac:dyDescent="0.25">
      <c r="B516" s="185"/>
      <c r="C516" s="185"/>
      <c r="D516" s="185"/>
    </row>
    <row r="517" spans="2:4" x14ac:dyDescent="0.25">
      <c r="B517" s="185"/>
      <c r="C517" s="185"/>
      <c r="D517" s="185"/>
    </row>
    <row r="518" spans="2:4" x14ac:dyDescent="0.25">
      <c r="B518" s="185"/>
      <c r="C518" s="185"/>
      <c r="D518" s="185"/>
    </row>
    <row r="519" spans="2:4" x14ac:dyDescent="0.25">
      <c r="B519" s="185"/>
      <c r="C519" s="185"/>
      <c r="D519" s="185"/>
    </row>
    <row r="520" spans="2:4" x14ac:dyDescent="0.25">
      <c r="B520" s="185"/>
      <c r="C520" s="185"/>
      <c r="D520" s="185"/>
    </row>
    <row r="521" spans="2:4" x14ac:dyDescent="0.25">
      <c r="B521" s="185"/>
      <c r="C521" s="185"/>
      <c r="D521" s="185"/>
    </row>
    <row r="522" spans="2:4" x14ac:dyDescent="0.25">
      <c r="B522" s="185"/>
      <c r="C522" s="185"/>
      <c r="D522" s="185"/>
    </row>
    <row r="523" spans="2:4" x14ac:dyDescent="0.25">
      <c r="B523" s="185"/>
      <c r="C523" s="185"/>
      <c r="D523" s="185"/>
    </row>
    <row r="524" spans="2:4" x14ac:dyDescent="0.25">
      <c r="B524" s="185"/>
      <c r="C524" s="185"/>
      <c r="D524" s="185"/>
    </row>
    <row r="525" spans="2:4" x14ac:dyDescent="0.25">
      <c r="B525" s="185"/>
      <c r="C525" s="185"/>
      <c r="D525" s="185"/>
    </row>
    <row r="526" spans="2:4" x14ac:dyDescent="0.25">
      <c r="B526" s="185"/>
      <c r="C526" s="185"/>
      <c r="D526" s="185"/>
    </row>
    <row r="527" spans="2:4" x14ac:dyDescent="0.25">
      <c r="B527" s="185"/>
      <c r="C527" s="185"/>
      <c r="D527" s="185"/>
    </row>
    <row r="528" spans="2:4" x14ac:dyDescent="0.25">
      <c r="B528" s="185"/>
      <c r="C528" s="185"/>
      <c r="D528" s="185"/>
    </row>
    <row r="529" spans="2:4" x14ac:dyDescent="0.25">
      <c r="B529" s="185"/>
      <c r="C529" s="185"/>
      <c r="D529" s="185"/>
    </row>
    <row r="530" spans="2:4" x14ac:dyDescent="0.25">
      <c r="B530" s="185"/>
      <c r="C530" s="185"/>
      <c r="D530" s="185"/>
    </row>
    <row r="531" spans="2:4" x14ac:dyDescent="0.25">
      <c r="B531" s="185"/>
      <c r="C531" s="185"/>
      <c r="D531" s="185"/>
    </row>
    <row r="532" spans="2:4" x14ac:dyDescent="0.25">
      <c r="B532" s="185"/>
      <c r="C532" s="185"/>
      <c r="D532" s="185"/>
    </row>
    <row r="533" spans="2:4" x14ac:dyDescent="0.25">
      <c r="B533" s="185"/>
      <c r="C533" s="185"/>
      <c r="D533" s="185"/>
    </row>
    <row r="534" spans="2:4" x14ac:dyDescent="0.25">
      <c r="B534" s="185"/>
      <c r="C534" s="185"/>
      <c r="D534" s="185"/>
    </row>
    <row r="535" spans="2:4" x14ac:dyDescent="0.25">
      <c r="B535" s="185"/>
      <c r="C535" s="185"/>
      <c r="D535" s="185"/>
    </row>
    <row r="536" spans="2:4" x14ac:dyDescent="0.25">
      <c r="B536" s="185"/>
      <c r="C536" s="185"/>
      <c r="D536" s="185"/>
    </row>
    <row r="537" spans="2:4" x14ac:dyDescent="0.25">
      <c r="B537" s="185"/>
      <c r="C537" s="185"/>
      <c r="D537" s="185"/>
    </row>
    <row r="538" spans="2:4" x14ac:dyDescent="0.25">
      <c r="B538" s="185"/>
      <c r="C538" s="185"/>
      <c r="D538" s="185"/>
    </row>
    <row r="539" spans="2:4" x14ac:dyDescent="0.25">
      <c r="B539" s="185"/>
      <c r="C539" s="185"/>
      <c r="D539" s="185"/>
    </row>
    <row r="540" spans="2:4" x14ac:dyDescent="0.25">
      <c r="B540" s="185"/>
      <c r="C540" s="185"/>
      <c r="D540" s="185"/>
    </row>
    <row r="541" spans="2:4" x14ac:dyDescent="0.25">
      <c r="B541" s="185"/>
      <c r="C541" s="185"/>
      <c r="D541" s="185"/>
    </row>
    <row r="542" spans="2:4" x14ac:dyDescent="0.25">
      <c r="B542" s="185"/>
      <c r="C542" s="185"/>
      <c r="D542" s="185"/>
    </row>
    <row r="543" spans="2:4" x14ac:dyDescent="0.25">
      <c r="B543" s="185"/>
      <c r="C543" s="185"/>
      <c r="D543" s="185"/>
    </row>
    <row r="544" spans="2:4" x14ac:dyDescent="0.25">
      <c r="B544" s="185"/>
      <c r="C544" s="185"/>
      <c r="D544" s="185"/>
    </row>
    <row r="545" spans="2:4" x14ac:dyDescent="0.25">
      <c r="B545" s="185"/>
      <c r="C545" s="185"/>
      <c r="D545" s="185"/>
    </row>
    <row r="546" spans="2:4" x14ac:dyDescent="0.25">
      <c r="B546" s="185"/>
      <c r="C546" s="185"/>
      <c r="D546" s="185"/>
    </row>
    <row r="547" spans="2:4" x14ac:dyDescent="0.25">
      <c r="B547" s="185"/>
      <c r="C547" s="185"/>
      <c r="D547" s="185"/>
    </row>
    <row r="548" spans="2:4" x14ac:dyDescent="0.25">
      <c r="B548" s="185"/>
      <c r="C548" s="185"/>
      <c r="D548" s="185"/>
    </row>
    <row r="549" spans="2:4" x14ac:dyDescent="0.25">
      <c r="B549" s="185"/>
      <c r="C549" s="185"/>
      <c r="D549" s="185"/>
    </row>
    <row r="550" spans="2:4" x14ac:dyDescent="0.25">
      <c r="B550" s="185"/>
      <c r="C550" s="185"/>
      <c r="D550" s="185"/>
    </row>
    <row r="551" spans="2:4" x14ac:dyDescent="0.25">
      <c r="B551" s="185"/>
      <c r="C551" s="185"/>
      <c r="D551" s="185"/>
    </row>
    <row r="552" spans="2:4" x14ac:dyDescent="0.25">
      <c r="B552" s="185"/>
      <c r="C552" s="185"/>
      <c r="D552" s="185"/>
    </row>
    <row r="553" spans="2:4" x14ac:dyDescent="0.25">
      <c r="B553" s="185"/>
      <c r="C553" s="185"/>
      <c r="D553" s="185"/>
    </row>
    <row r="554" spans="2:4" x14ac:dyDescent="0.25">
      <c r="B554" s="185"/>
      <c r="C554" s="185"/>
      <c r="D554" s="185"/>
    </row>
    <row r="555" spans="2:4" x14ac:dyDescent="0.25">
      <c r="B555" s="185"/>
      <c r="C555" s="185"/>
      <c r="D555" s="185"/>
    </row>
    <row r="556" spans="2:4" x14ac:dyDescent="0.25">
      <c r="B556" s="185"/>
      <c r="C556" s="185"/>
      <c r="D556" s="185"/>
    </row>
    <row r="557" spans="2:4" x14ac:dyDescent="0.25">
      <c r="B557" s="185"/>
      <c r="C557" s="185"/>
      <c r="D557" s="185"/>
    </row>
    <row r="558" spans="2:4" x14ac:dyDescent="0.25">
      <c r="B558" s="185"/>
      <c r="C558" s="185"/>
      <c r="D558" s="185"/>
    </row>
    <row r="559" spans="2:4" x14ac:dyDescent="0.25">
      <c r="B559" s="185"/>
      <c r="C559" s="185"/>
      <c r="D559" s="185"/>
    </row>
    <row r="560" spans="2:4" x14ac:dyDescent="0.25">
      <c r="B560" s="185"/>
      <c r="C560" s="185"/>
      <c r="D560" s="185"/>
    </row>
    <row r="561" spans="2:4" x14ac:dyDescent="0.25">
      <c r="B561" s="185"/>
      <c r="C561" s="185"/>
      <c r="D561" s="185"/>
    </row>
    <row r="562" spans="2:4" x14ac:dyDescent="0.25">
      <c r="B562" s="185"/>
      <c r="C562" s="185"/>
      <c r="D562" s="185"/>
    </row>
    <row r="563" spans="2:4" x14ac:dyDescent="0.25">
      <c r="B563" s="185"/>
      <c r="C563" s="185"/>
      <c r="D563" s="185"/>
    </row>
    <row r="564" spans="2:4" x14ac:dyDescent="0.25">
      <c r="B564" s="185"/>
      <c r="C564" s="185"/>
      <c r="D564" s="185"/>
    </row>
    <row r="565" spans="2:4" x14ac:dyDescent="0.25">
      <c r="B565" s="185"/>
      <c r="C565" s="185"/>
      <c r="D565" s="185"/>
    </row>
    <row r="566" spans="2:4" x14ac:dyDescent="0.25">
      <c r="B566" s="185"/>
      <c r="C566" s="185"/>
      <c r="D566" s="185"/>
    </row>
    <row r="567" spans="2:4" x14ac:dyDescent="0.25">
      <c r="B567" s="185"/>
      <c r="C567" s="185"/>
      <c r="D567" s="185"/>
    </row>
    <row r="568" spans="2:4" x14ac:dyDescent="0.25">
      <c r="B568" s="185"/>
      <c r="C568" s="185"/>
      <c r="D568" s="185"/>
    </row>
    <row r="569" spans="2:4" x14ac:dyDescent="0.25">
      <c r="B569" s="185"/>
      <c r="C569" s="185"/>
      <c r="D569" s="185"/>
    </row>
    <row r="570" spans="2:4" x14ac:dyDescent="0.25">
      <c r="B570" s="185"/>
      <c r="C570" s="185"/>
      <c r="D570" s="185"/>
    </row>
    <row r="571" spans="2:4" x14ac:dyDescent="0.25">
      <c r="B571" s="185"/>
      <c r="C571" s="185"/>
      <c r="D571" s="185"/>
    </row>
    <row r="572" spans="2:4" x14ac:dyDescent="0.25">
      <c r="B572" s="185"/>
      <c r="C572" s="185"/>
      <c r="D572" s="185"/>
    </row>
    <row r="573" spans="2:4" x14ac:dyDescent="0.25">
      <c r="B573" s="185"/>
      <c r="C573" s="185"/>
      <c r="D573" s="185"/>
    </row>
    <row r="574" spans="2:4" x14ac:dyDescent="0.25">
      <c r="B574" s="185"/>
      <c r="C574" s="185"/>
      <c r="D574" s="185"/>
    </row>
    <row r="575" spans="2:4" x14ac:dyDescent="0.25">
      <c r="B575" s="185"/>
      <c r="C575" s="185"/>
      <c r="D575" s="185"/>
    </row>
    <row r="576" spans="2:4" x14ac:dyDescent="0.25">
      <c r="B576" s="185"/>
      <c r="C576" s="185"/>
      <c r="D576" s="185"/>
    </row>
    <row r="577" spans="2:4" x14ac:dyDescent="0.25">
      <c r="B577" s="185"/>
      <c r="C577" s="185"/>
      <c r="D577" s="185"/>
    </row>
    <row r="578" spans="2:4" x14ac:dyDescent="0.25">
      <c r="B578" s="185"/>
      <c r="C578" s="185"/>
      <c r="D578" s="185"/>
    </row>
    <row r="579" spans="2:4" x14ac:dyDescent="0.25">
      <c r="B579" s="185"/>
      <c r="C579" s="185"/>
      <c r="D579" s="185"/>
    </row>
    <row r="580" spans="2:4" x14ac:dyDescent="0.25">
      <c r="B580" s="185"/>
      <c r="C580" s="185"/>
      <c r="D580" s="185"/>
    </row>
    <row r="581" spans="2:4" x14ac:dyDescent="0.25">
      <c r="B581" s="185"/>
      <c r="C581" s="185"/>
      <c r="D581" s="185"/>
    </row>
    <row r="582" spans="2:4" x14ac:dyDescent="0.25">
      <c r="B582" s="185"/>
      <c r="C582" s="185"/>
      <c r="D582" s="185"/>
    </row>
    <row r="583" spans="2:4" x14ac:dyDescent="0.25">
      <c r="B583" s="185"/>
      <c r="C583" s="185"/>
      <c r="D583" s="185"/>
    </row>
    <row r="584" spans="2:4" x14ac:dyDescent="0.25">
      <c r="B584" s="185"/>
      <c r="C584" s="185"/>
      <c r="D584" s="185"/>
    </row>
    <row r="585" spans="2:4" x14ac:dyDescent="0.25">
      <c r="B585" s="185"/>
      <c r="C585" s="185"/>
      <c r="D585" s="185"/>
    </row>
    <row r="586" spans="2:4" x14ac:dyDescent="0.25">
      <c r="B586" s="185"/>
      <c r="C586" s="185"/>
      <c r="D586" s="185"/>
    </row>
    <row r="587" spans="2:4" x14ac:dyDescent="0.25">
      <c r="B587" s="185"/>
      <c r="C587" s="185"/>
      <c r="D587" s="185"/>
    </row>
    <row r="588" spans="2:4" x14ac:dyDescent="0.25">
      <c r="B588" s="185"/>
      <c r="C588" s="185"/>
      <c r="D588" s="185"/>
    </row>
    <row r="589" spans="2:4" x14ac:dyDescent="0.25">
      <c r="B589" s="185"/>
      <c r="C589" s="185"/>
      <c r="D589" s="185"/>
    </row>
    <row r="590" spans="2:4" x14ac:dyDescent="0.25">
      <c r="B590" s="185"/>
      <c r="C590" s="185"/>
      <c r="D590" s="185"/>
    </row>
    <row r="591" spans="2:4" x14ac:dyDescent="0.25">
      <c r="B591" s="185"/>
      <c r="C591" s="185"/>
      <c r="D591" s="185"/>
    </row>
    <row r="592" spans="2:4" x14ac:dyDescent="0.25">
      <c r="B592" s="185"/>
      <c r="C592" s="185"/>
      <c r="D592" s="185"/>
    </row>
    <row r="593" spans="2:4" x14ac:dyDescent="0.25">
      <c r="B593" s="185"/>
      <c r="C593" s="185"/>
      <c r="D593" s="185"/>
    </row>
    <row r="594" spans="2:4" x14ac:dyDescent="0.25">
      <c r="B594" s="185"/>
      <c r="C594" s="185"/>
      <c r="D594" s="185"/>
    </row>
    <row r="595" spans="2:4" x14ac:dyDescent="0.25">
      <c r="B595" s="185"/>
      <c r="C595" s="185"/>
      <c r="D595" s="185"/>
    </row>
    <row r="596" spans="2:4" x14ac:dyDescent="0.25">
      <c r="B596" s="185"/>
      <c r="C596" s="185"/>
      <c r="D596" s="185"/>
    </row>
    <row r="597" spans="2:4" x14ac:dyDescent="0.25">
      <c r="B597" s="185"/>
      <c r="C597" s="185"/>
      <c r="D597" s="185"/>
    </row>
    <row r="598" spans="2:4" x14ac:dyDescent="0.25">
      <c r="B598" s="185"/>
      <c r="C598" s="185"/>
      <c r="D598" s="185"/>
    </row>
    <row r="599" spans="2:4" x14ac:dyDescent="0.25">
      <c r="B599" s="185"/>
      <c r="C599" s="185"/>
      <c r="D599" s="185"/>
    </row>
    <row r="600" spans="2:4" x14ac:dyDescent="0.25">
      <c r="B600" s="185"/>
      <c r="C600" s="185"/>
      <c r="D600" s="185"/>
    </row>
    <row r="601" spans="2:4" x14ac:dyDescent="0.25">
      <c r="B601" s="185"/>
      <c r="C601" s="185"/>
      <c r="D601" s="185"/>
    </row>
    <row r="602" spans="2:4" x14ac:dyDescent="0.25">
      <c r="B602" s="185"/>
      <c r="C602" s="185"/>
      <c r="D602" s="185"/>
    </row>
    <row r="603" spans="2:4" x14ac:dyDescent="0.25">
      <c r="B603" s="185"/>
      <c r="C603" s="185"/>
      <c r="D603" s="185"/>
    </row>
    <row r="604" spans="2:4" x14ac:dyDescent="0.25">
      <c r="B604" s="185"/>
      <c r="C604" s="185"/>
      <c r="D604" s="185"/>
    </row>
    <row r="605" spans="2:4" x14ac:dyDescent="0.25">
      <c r="B605" s="185"/>
      <c r="C605" s="185"/>
      <c r="D605" s="185"/>
    </row>
    <row r="606" spans="2:4" x14ac:dyDescent="0.25">
      <c r="B606" s="185"/>
      <c r="C606" s="185"/>
      <c r="D606" s="185"/>
    </row>
    <row r="607" spans="2:4" x14ac:dyDescent="0.25">
      <c r="B607" s="185"/>
      <c r="C607" s="185"/>
      <c r="D607" s="185"/>
    </row>
    <row r="608" spans="2:4" x14ac:dyDescent="0.25">
      <c r="B608" s="185"/>
      <c r="C608" s="185"/>
      <c r="D608" s="185"/>
    </row>
    <row r="609" spans="2:4" x14ac:dyDescent="0.25">
      <c r="B609" s="185"/>
      <c r="C609" s="185"/>
      <c r="D609" s="185"/>
    </row>
    <row r="610" spans="2:4" x14ac:dyDescent="0.25">
      <c r="B610" s="185"/>
      <c r="C610" s="185"/>
      <c r="D610" s="185"/>
    </row>
    <row r="611" spans="2:4" x14ac:dyDescent="0.25">
      <c r="B611" s="185"/>
      <c r="C611" s="185"/>
      <c r="D611" s="185"/>
    </row>
    <row r="612" spans="2:4" x14ac:dyDescent="0.25">
      <c r="B612" s="185"/>
      <c r="C612" s="185"/>
      <c r="D612" s="185"/>
    </row>
    <row r="613" spans="2:4" x14ac:dyDescent="0.25">
      <c r="B613" s="185"/>
      <c r="C613" s="185"/>
      <c r="D613" s="185"/>
    </row>
    <row r="614" spans="2:4" x14ac:dyDescent="0.25">
      <c r="B614" s="185"/>
      <c r="C614" s="185"/>
      <c r="D614" s="185"/>
    </row>
    <row r="615" spans="2:4" x14ac:dyDescent="0.25">
      <c r="B615" s="185"/>
      <c r="C615" s="185"/>
      <c r="D615" s="185"/>
    </row>
    <row r="616" spans="2:4" x14ac:dyDescent="0.25">
      <c r="B616" s="185"/>
      <c r="C616" s="185"/>
      <c r="D616" s="185"/>
    </row>
    <row r="617" spans="2:4" x14ac:dyDescent="0.25">
      <c r="B617" s="185"/>
      <c r="C617" s="185"/>
      <c r="D617" s="185"/>
    </row>
    <row r="618" spans="2:4" x14ac:dyDescent="0.25">
      <c r="B618" s="185"/>
      <c r="C618" s="185"/>
      <c r="D618" s="185"/>
    </row>
    <row r="619" spans="2:4" x14ac:dyDescent="0.25">
      <c r="B619" s="185"/>
      <c r="C619" s="185"/>
      <c r="D619" s="185"/>
    </row>
    <row r="620" spans="2:4" x14ac:dyDescent="0.25">
      <c r="B620" s="185"/>
      <c r="C620" s="185"/>
      <c r="D620" s="185"/>
    </row>
    <row r="621" spans="2:4" x14ac:dyDescent="0.25">
      <c r="B621" s="185"/>
      <c r="C621" s="185"/>
      <c r="D621" s="185"/>
    </row>
    <row r="622" spans="2:4" x14ac:dyDescent="0.25">
      <c r="B622" s="185"/>
      <c r="C622" s="185"/>
      <c r="D622" s="185"/>
    </row>
    <row r="623" spans="2:4" x14ac:dyDescent="0.25">
      <c r="B623" s="185"/>
      <c r="C623" s="185"/>
      <c r="D623" s="185"/>
    </row>
    <row r="624" spans="2:4" x14ac:dyDescent="0.25">
      <c r="B624" s="185"/>
      <c r="C624" s="185"/>
      <c r="D624" s="185"/>
    </row>
    <row r="625" spans="2:4" x14ac:dyDescent="0.25">
      <c r="B625" s="185"/>
      <c r="C625" s="185"/>
      <c r="D625" s="185"/>
    </row>
    <row r="626" spans="2:4" x14ac:dyDescent="0.25">
      <c r="B626" s="185"/>
      <c r="C626" s="185"/>
      <c r="D626" s="185"/>
    </row>
    <row r="627" spans="2:4" x14ac:dyDescent="0.25">
      <c r="B627" s="185"/>
      <c r="C627" s="185"/>
      <c r="D627" s="185"/>
    </row>
    <row r="628" spans="2:4" x14ac:dyDescent="0.25">
      <c r="B628" s="185"/>
      <c r="C628" s="185"/>
      <c r="D628" s="185"/>
    </row>
    <row r="629" spans="2:4" x14ac:dyDescent="0.25">
      <c r="B629" s="185"/>
      <c r="C629" s="185"/>
      <c r="D629" s="185"/>
    </row>
    <row r="630" spans="2:4" x14ac:dyDescent="0.25">
      <c r="B630" s="185"/>
      <c r="C630" s="185"/>
      <c r="D630" s="185"/>
    </row>
    <row r="631" spans="2:4" x14ac:dyDescent="0.25">
      <c r="B631" s="185"/>
      <c r="C631" s="185"/>
      <c r="D631" s="185"/>
    </row>
    <row r="632" spans="2:4" x14ac:dyDescent="0.25">
      <c r="B632" s="185"/>
      <c r="C632" s="185"/>
      <c r="D632" s="185"/>
    </row>
    <row r="633" spans="2:4" x14ac:dyDescent="0.25">
      <c r="B633" s="185"/>
      <c r="C633" s="185"/>
      <c r="D633" s="185"/>
    </row>
    <row r="634" spans="2:4" x14ac:dyDescent="0.25">
      <c r="B634" s="185"/>
      <c r="C634" s="185"/>
      <c r="D634" s="185"/>
    </row>
    <row r="635" spans="2:4" x14ac:dyDescent="0.25">
      <c r="B635" s="185"/>
      <c r="C635" s="185"/>
      <c r="D635" s="185"/>
    </row>
    <row r="636" spans="2:4" x14ac:dyDescent="0.25">
      <c r="B636" s="185"/>
      <c r="C636" s="185"/>
      <c r="D636" s="185"/>
    </row>
    <row r="637" spans="2:4" x14ac:dyDescent="0.25">
      <c r="B637" s="185"/>
      <c r="C637" s="185"/>
      <c r="D637" s="185"/>
    </row>
    <row r="638" spans="2:4" x14ac:dyDescent="0.25">
      <c r="B638" s="185"/>
      <c r="C638" s="185"/>
      <c r="D638" s="185"/>
    </row>
    <row r="639" spans="2:4" x14ac:dyDescent="0.25">
      <c r="B639" s="185"/>
      <c r="C639" s="185"/>
      <c r="D639" s="185"/>
    </row>
    <row r="640" spans="2:4" x14ac:dyDescent="0.25">
      <c r="B640" s="185"/>
      <c r="C640" s="185"/>
      <c r="D640" s="185"/>
    </row>
    <row r="641" spans="2:4" x14ac:dyDescent="0.25">
      <c r="B641" s="185"/>
      <c r="C641" s="185"/>
      <c r="D641" s="185"/>
    </row>
    <row r="642" spans="2:4" x14ac:dyDescent="0.25">
      <c r="B642" s="185"/>
      <c r="C642" s="185"/>
      <c r="D642" s="185"/>
    </row>
    <row r="643" spans="2:4" x14ac:dyDescent="0.25">
      <c r="B643" s="185"/>
      <c r="C643" s="185"/>
      <c r="D643" s="185"/>
    </row>
    <row r="644" spans="2:4" x14ac:dyDescent="0.25">
      <c r="B644" s="185"/>
      <c r="C644" s="185"/>
      <c r="D644" s="185"/>
    </row>
    <row r="645" spans="2:4" x14ac:dyDescent="0.25">
      <c r="B645" s="185"/>
      <c r="C645" s="185"/>
      <c r="D645" s="185"/>
    </row>
    <row r="646" spans="2:4" x14ac:dyDescent="0.25">
      <c r="B646" s="185"/>
      <c r="C646" s="185"/>
      <c r="D646" s="185"/>
    </row>
    <row r="647" spans="2:4" x14ac:dyDescent="0.25">
      <c r="B647" s="185"/>
      <c r="C647" s="185"/>
      <c r="D647" s="185"/>
    </row>
    <row r="648" spans="2:4" x14ac:dyDescent="0.25">
      <c r="B648" s="185"/>
      <c r="C648" s="185"/>
      <c r="D648" s="185"/>
    </row>
    <row r="649" spans="2:4" x14ac:dyDescent="0.25">
      <c r="B649" s="185"/>
      <c r="C649" s="185"/>
      <c r="D649" s="185"/>
    </row>
    <row r="650" spans="2:4" x14ac:dyDescent="0.25">
      <c r="B650" s="185"/>
      <c r="C650" s="185"/>
      <c r="D650" s="185"/>
    </row>
    <row r="651" spans="2:4" x14ac:dyDescent="0.25">
      <c r="B651" s="185"/>
      <c r="C651" s="185"/>
      <c r="D651" s="185"/>
    </row>
    <row r="652" spans="2:4" x14ac:dyDescent="0.25">
      <c r="B652" s="185"/>
      <c r="C652" s="185"/>
      <c r="D652" s="185"/>
    </row>
    <row r="653" spans="2:4" x14ac:dyDescent="0.25">
      <c r="B653" s="185"/>
      <c r="C653" s="185"/>
      <c r="D653" s="185"/>
    </row>
    <row r="654" spans="2:4" x14ac:dyDescent="0.25">
      <c r="B654" s="185"/>
      <c r="C654" s="185"/>
      <c r="D654" s="185"/>
    </row>
    <row r="655" spans="2:4" x14ac:dyDescent="0.25">
      <c r="B655" s="185"/>
      <c r="C655" s="185"/>
      <c r="D655" s="185"/>
    </row>
    <row r="656" spans="2:4" x14ac:dyDescent="0.25">
      <c r="B656" s="185"/>
      <c r="C656" s="185"/>
      <c r="D656" s="185"/>
    </row>
    <row r="657" spans="2:4" x14ac:dyDescent="0.25">
      <c r="B657" s="185"/>
      <c r="C657" s="185"/>
      <c r="D657" s="185"/>
    </row>
    <row r="658" spans="2:4" x14ac:dyDescent="0.25">
      <c r="B658" s="185"/>
      <c r="C658" s="185"/>
      <c r="D658" s="185"/>
    </row>
    <row r="659" spans="2:4" x14ac:dyDescent="0.25">
      <c r="B659" s="185"/>
      <c r="C659" s="185"/>
      <c r="D659" s="185"/>
    </row>
    <row r="660" spans="2:4" x14ac:dyDescent="0.25">
      <c r="B660" s="185"/>
      <c r="C660" s="185"/>
      <c r="D660" s="185"/>
    </row>
    <row r="661" spans="2:4" x14ac:dyDescent="0.25">
      <c r="B661" s="185"/>
      <c r="C661" s="185"/>
      <c r="D661" s="185"/>
    </row>
    <row r="662" spans="2:4" x14ac:dyDescent="0.25">
      <c r="B662" s="185"/>
      <c r="C662" s="185"/>
      <c r="D662" s="185"/>
    </row>
    <row r="663" spans="2:4" x14ac:dyDescent="0.25">
      <c r="B663" s="185"/>
      <c r="C663" s="185"/>
      <c r="D663" s="185"/>
    </row>
    <row r="664" spans="2:4" x14ac:dyDescent="0.25">
      <c r="B664" s="185"/>
      <c r="C664" s="185"/>
      <c r="D664" s="185"/>
    </row>
    <row r="665" spans="2:4" x14ac:dyDescent="0.25">
      <c r="B665" s="185"/>
      <c r="C665" s="185"/>
      <c r="D665" s="185"/>
    </row>
    <row r="666" spans="2:4" x14ac:dyDescent="0.25">
      <c r="B666" s="185"/>
      <c r="C666" s="185"/>
      <c r="D666" s="185"/>
    </row>
    <row r="667" spans="2:4" x14ac:dyDescent="0.25">
      <c r="B667" s="185"/>
      <c r="C667" s="185"/>
      <c r="D667" s="185"/>
    </row>
    <row r="668" spans="2:4" x14ac:dyDescent="0.25">
      <c r="B668" s="185"/>
      <c r="C668" s="185"/>
      <c r="D668" s="185"/>
    </row>
    <row r="669" spans="2:4" x14ac:dyDescent="0.25">
      <c r="B669" s="185"/>
      <c r="C669" s="185"/>
      <c r="D669" s="185"/>
    </row>
    <row r="670" spans="2:4" x14ac:dyDescent="0.25">
      <c r="B670" s="185"/>
      <c r="C670" s="185"/>
      <c r="D670" s="185"/>
    </row>
    <row r="671" spans="2:4" x14ac:dyDescent="0.25">
      <c r="B671" s="185"/>
      <c r="C671" s="185"/>
      <c r="D671" s="185"/>
    </row>
    <row r="672" spans="2:4" x14ac:dyDescent="0.25">
      <c r="B672" s="185"/>
      <c r="C672" s="185"/>
      <c r="D672" s="185"/>
    </row>
    <row r="673" spans="2:4" x14ac:dyDescent="0.25">
      <c r="B673" s="185"/>
      <c r="C673" s="185"/>
      <c r="D673" s="185"/>
    </row>
    <row r="674" spans="2:4" x14ac:dyDescent="0.25">
      <c r="B674" s="185"/>
      <c r="C674" s="185"/>
      <c r="D674" s="185"/>
    </row>
    <row r="675" spans="2:4" x14ac:dyDescent="0.25">
      <c r="B675" s="185"/>
      <c r="C675" s="185"/>
      <c r="D675" s="185"/>
    </row>
    <row r="676" spans="2:4" x14ac:dyDescent="0.25">
      <c r="B676" s="185"/>
      <c r="C676" s="185"/>
      <c r="D676" s="185"/>
    </row>
    <row r="677" spans="2:4" x14ac:dyDescent="0.25">
      <c r="B677" s="185"/>
      <c r="C677" s="185"/>
      <c r="D677" s="185"/>
    </row>
    <row r="678" spans="2:4" x14ac:dyDescent="0.25">
      <c r="B678" s="185"/>
      <c r="C678" s="185"/>
      <c r="D678" s="185"/>
    </row>
    <row r="679" spans="2:4" x14ac:dyDescent="0.25">
      <c r="B679" s="185"/>
      <c r="C679" s="185"/>
      <c r="D679" s="185"/>
    </row>
    <row r="680" spans="2:4" x14ac:dyDescent="0.25">
      <c r="B680" s="185"/>
      <c r="C680" s="185"/>
      <c r="D680" s="185"/>
    </row>
    <row r="681" spans="2:4" x14ac:dyDescent="0.25">
      <c r="B681" s="185"/>
      <c r="C681" s="185"/>
      <c r="D681" s="185"/>
    </row>
    <row r="682" spans="2:4" x14ac:dyDescent="0.25">
      <c r="B682" s="185"/>
      <c r="C682" s="185"/>
      <c r="D682" s="185"/>
    </row>
    <row r="683" spans="2:4" x14ac:dyDescent="0.25">
      <c r="B683" s="185"/>
      <c r="C683" s="185"/>
      <c r="D683" s="185"/>
    </row>
    <row r="684" spans="2:4" x14ac:dyDescent="0.25">
      <c r="B684" s="185"/>
      <c r="C684" s="185"/>
      <c r="D684" s="185"/>
    </row>
    <row r="685" spans="2:4" x14ac:dyDescent="0.25">
      <c r="B685" s="185"/>
      <c r="C685" s="185"/>
      <c r="D685" s="185"/>
    </row>
    <row r="686" spans="2:4" x14ac:dyDescent="0.25">
      <c r="B686" s="185"/>
      <c r="C686" s="185"/>
      <c r="D686" s="185"/>
    </row>
    <row r="687" spans="2:4" x14ac:dyDescent="0.25">
      <c r="B687" s="185"/>
      <c r="C687" s="185"/>
      <c r="D687" s="185"/>
    </row>
    <row r="688" spans="2:4" x14ac:dyDescent="0.25">
      <c r="B688" s="185"/>
      <c r="C688" s="185"/>
      <c r="D688" s="185"/>
    </row>
    <row r="689" spans="2:4" x14ac:dyDescent="0.25">
      <c r="B689" s="185"/>
      <c r="C689" s="185"/>
      <c r="D689" s="185"/>
    </row>
    <row r="690" spans="2:4" x14ac:dyDescent="0.25">
      <c r="B690" s="185"/>
      <c r="C690" s="185"/>
      <c r="D690" s="185"/>
    </row>
    <row r="691" spans="2:4" x14ac:dyDescent="0.25">
      <c r="B691" s="185"/>
      <c r="C691" s="185"/>
      <c r="D691" s="185"/>
    </row>
    <row r="692" spans="2:4" x14ac:dyDescent="0.25">
      <c r="B692" s="185"/>
      <c r="C692" s="185"/>
      <c r="D692" s="185"/>
    </row>
    <row r="693" spans="2:4" x14ac:dyDescent="0.25">
      <c r="B693" s="185"/>
      <c r="C693" s="185"/>
      <c r="D693" s="185"/>
    </row>
    <row r="694" spans="2:4" x14ac:dyDescent="0.25">
      <c r="B694" s="185"/>
      <c r="C694" s="185"/>
      <c r="D694" s="185"/>
    </row>
    <row r="695" spans="2:4" x14ac:dyDescent="0.25">
      <c r="B695" s="185"/>
      <c r="C695" s="185"/>
      <c r="D695" s="185"/>
    </row>
    <row r="696" spans="2:4" x14ac:dyDescent="0.25">
      <c r="B696" s="185"/>
      <c r="C696" s="185"/>
      <c r="D696" s="185"/>
    </row>
    <row r="697" spans="2:4" x14ac:dyDescent="0.25">
      <c r="B697" s="185"/>
      <c r="C697" s="185"/>
      <c r="D697" s="185"/>
    </row>
    <row r="698" spans="2:4" x14ac:dyDescent="0.25">
      <c r="B698" s="185"/>
      <c r="C698" s="185"/>
      <c r="D698" s="185"/>
    </row>
    <row r="699" spans="2:4" x14ac:dyDescent="0.25">
      <c r="B699" s="185"/>
      <c r="C699" s="185"/>
      <c r="D699" s="185"/>
    </row>
    <row r="700" spans="2:4" x14ac:dyDescent="0.25">
      <c r="B700" s="185"/>
      <c r="C700" s="185"/>
      <c r="D700" s="185"/>
    </row>
    <row r="701" spans="2:4" x14ac:dyDescent="0.25">
      <c r="B701" s="185"/>
      <c r="C701" s="185"/>
      <c r="D701" s="185"/>
    </row>
    <row r="702" spans="2:4" x14ac:dyDescent="0.25">
      <c r="B702" s="185"/>
      <c r="C702" s="185"/>
      <c r="D702" s="185"/>
    </row>
    <row r="703" spans="2:4" x14ac:dyDescent="0.25">
      <c r="B703" s="185"/>
      <c r="C703" s="185"/>
      <c r="D703" s="185"/>
    </row>
    <row r="704" spans="2:4" x14ac:dyDescent="0.25">
      <c r="B704" s="185"/>
      <c r="C704" s="185"/>
      <c r="D704" s="185"/>
    </row>
    <row r="705" spans="2:4" x14ac:dyDescent="0.25">
      <c r="B705" s="185"/>
      <c r="C705" s="185"/>
      <c r="D705" s="185"/>
    </row>
    <row r="706" spans="2:4" x14ac:dyDescent="0.25">
      <c r="B706" s="185"/>
      <c r="C706" s="185"/>
      <c r="D706" s="185"/>
    </row>
    <row r="707" spans="2:4" x14ac:dyDescent="0.25">
      <c r="B707" s="185"/>
      <c r="C707" s="185"/>
      <c r="D707" s="185"/>
    </row>
    <row r="708" spans="2:4" x14ac:dyDescent="0.25">
      <c r="B708" s="185"/>
      <c r="C708" s="185"/>
      <c r="D708" s="185"/>
    </row>
    <row r="709" spans="2:4" x14ac:dyDescent="0.25">
      <c r="B709" s="185"/>
      <c r="C709" s="185"/>
      <c r="D709" s="185"/>
    </row>
    <row r="710" spans="2:4" x14ac:dyDescent="0.25">
      <c r="B710" s="185"/>
      <c r="C710" s="185"/>
      <c r="D710" s="185"/>
    </row>
    <row r="711" spans="2:4" x14ac:dyDescent="0.25">
      <c r="B711" s="185"/>
      <c r="C711" s="185"/>
      <c r="D711" s="185"/>
    </row>
    <row r="712" spans="2:4" x14ac:dyDescent="0.25">
      <c r="B712" s="185"/>
      <c r="C712" s="185"/>
      <c r="D712" s="185"/>
    </row>
    <row r="713" spans="2:4" x14ac:dyDescent="0.25">
      <c r="B713" s="185"/>
      <c r="C713" s="185"/>
      <c r="D713" s="185"/>
    </row>
    <row r="714" spans="2:4" x14ac:dyDescent="0.25">
      <c r="B714" s="185"/>
      <c r="C714" s="185"/>
      <c r="D714" s="185"/>
    </row>
    <row r="715" spans="2:4" x14ac:dyDescent="0.25">
      <c r="B715" s="185"/>
      <c r="C715" s="185"/>
      <c r="D715" s="185"/>
    </row>
    <row r="716" spans="2:4" x14ac:dyDescent="0.25">
      <c r="B716" s="185"/>
      <c r="C716" s="185"/>
      <c r="D716" s="185"/>
    </row>
    <row r="717" spans="2:4" x14ac:dyDescent="0.25">
      <c r="B717" s="185"/>
      <c r="C717" s="185"/>
      <c r="D717" s="185"/>
    </row>
    <row r="718" spans="2:4" x14ac:dyDescent="0.25">
      <c r="B718" s="185"/>
      <c r="C718" s="185"/>
      <c r="D718" s="185"/>
    </row>
    <row r="719" spans="2:4" x14ac:dyDescent="0.25">
      <c r="B719" s="185"/>
      <c r="C719" s="185"/>
      <c r="D719" s="185"/>
    </row>
    <row r="720" spans="2:4" x14ac:dyDescent="0.25">
      <c r="B720" s="185"/>
      <c r="C720" s="185"/>
      <c r="D720" s="185"/>
    </row>
    <row r="721" spans="2:4" x14ac:dyDescent="0.25">
      <c r="B721" s="185"/>
      <c r="C721" s="185"/>
      <c r="D721" s="185"/>
    </row>
    <row r="722" spans="2:4" x14ac:dyDescent="0.25">
      <c r="B722" s="185"/>
      <c r="C722" s="185"/>
      <c r="D722" s="185"/>
    </row>
    <row r="723" spans="2:4" x14ac:dyDescent="0.25">
      <c r="B723" s="185"/>
      <c r="C723" s="185"/>
      <c r="D723" s="185"/>
    </row>
    <row r="724" spans="2:4" x14ac:dyDescent="0.25">
      <c r="B724" s="185"/>
      <c r="C724" s="185"/>
      <c r="D724" s="185"/>
    </row>
    <row r="725" spans="2:4" x14ac:dyDescent="0.25">
      <c r="B725" s="185"/>
      <c r="C725" s="185"/>
      <c r="D725" s="185"/>
    </row>
    <row r="726" spans="2:4" x14ac:dyDescent="0.25">
      <c r="B726" s="185"/>
      <c r="C726" s="185"/>
      <c r="D726" s="185"/>
    </row>
    <row r="727" spans="2:4" x14ac:dyDescent="0.25">
      <c r="B727" s="185"/>
      <c r="C727" s="185"/>
      <c r="D727" s="185"/>
    </row>
    <row r="728" spans="2:4" x14ac:dyDescent="0.25">
      <c r="B728" s="185"/>
      <c r="C728" s="185"/>
      <c r="D728" s="185"/>
    </row>
    <row r="729" spans="2:4" x14ac:dyDescent="0.25">
      <c r="B729" s="185"/>
      <c r="C729" s="185"/>
      <c r="D729" s="185"/>
    </row>
    <row r="730" spans="2:4" x14ac:dyDescent="0.25">
      <c r="B730" s="185"/>
      <c r="C730" s="185"/>
      <c r="D730" s="185"/>
    </row>
    <row r="731" spans="2:4" x14ac:dyDescent="0.25">
      <c r="B731" s="185"/>
      <c r="C731" s="185"/>
      <c r="D731" s="185"/>
    </row>
    <row r="732" spans="2:4" x14ac:dyDescent="0.25">
      <c r="B732" s="185"/>
      <c r="C732" s="185"/>
      <c r="D732" s="185"/>
    </row>
    <row r="733" spans="2:4" x14ac:dyDescent="0.25">
      <c r="B733" s="185"/>
      <c r="C733" s="185"/>
      <c r="D733" s="185"/>
    </row>
    <row r="734" spans="2:4" x14ac:dyDescent="0.25">
      <c r="B734" s="185"/>
      <c r="C734" s="185"/>
      <c r="D734" s="185"/>
    </row>
    <row r="735" spans="2:4" x14ac:dyDescent="0.25">
      <c r="B735" s="185"/>
      <c r="C735" s="185"/>
      <c r="D735" s="185"/>
    </row>
    <row r="736" spans="2:4" x14ac:dyDescent="0.25">
      <c r="B736" s="185"/>
      <c r="C736" s="185"/>
      <c r="D736" s="185"/>
    </row>
    <row r="737" spans="2:4" x14ac:dyDescent="0.25">
      <c r="B737" s="185"/>
      <c r="C737" s="185"/>
      <c r="D737" s="185"/>
    </row>
    <row r="738" spans="2:4" x14ac:dyDescent="0.25">
      <c r="B738" s="185"/>
      <c r="C738" s="185"/>
      <c r="D738" s="185"/>
    </row>
    <row r="739" spans="2:4" x14ac:dyDescent="0.25">
      <c r="B739" s="185"/>
      <c r="C739" s="185"/>
      <c r="D739" s="185"/>
    </row>
    <row r="740" spans="2:4" x14ac:dyDescent="0.25">
      <c r="B740" s="185"/>
      <c r="C740" s="185"/>
      <c r="D740" s="185"/>
    </row>
    <row r="741" spans="2:4" x14ac:dyDescent="0.25">
      <c r="B741" s="185"/>
      <c r="C741" s="185"/>
      <c r="D741" s="185"/>
    </row>
    <row r="742" spans="2:4" x14ac:dyDescent="0.25">
      <c r="B742" s="185"/>
      <c r="C742" s="185"/>
      <c r="D742" s="185"/>
    </row>
    <row r="743" spans="2:4" x14ac:dyDescent="0.25">
      <c r="B743" s="185"/>
      <c r="C743" s="185"/>
      <c r="D743" s="185"/>
    </row>
    <row r="744" spans="2:4" x14ac:dyDescent="0.25">
      <c r="B744" s="185"/>
      <c r="C744" s="185"/>
      <c r="D744" s="185"/>
    </row>
    <row r="745" spans="2:4" x14ac:dyDescent="0.25">
      <c r="B745" s="185"/>
      <c r="C745" s="185"/>
      <c r="D745" s="185"/>
    </row>
    <row r="746" spans="2:4" x14ac:dyDescent="0.25">
      <c r="B746" s="185"/>
      <c r="C746" s="185"/>
      <c r="D746" s="185"/>
    </row>
    <row r="747" spans="2:4" x14ac:dyDescent="0.25">
      <c r="B747" s="185"/>
      <c r="C747" s="185"/>
      <c r="D747" s="185"/>
    </row>
    <row r="748" spans="2:4" x14ac:dyDescent="0.25">
      <c r="B748" s="185"/>
      <c r="C748" s="185"/>
      <c r="D748" s="185"/>
    </row>
    <row r="749" spans="2:4" x14ac:dyDescent="0.25">
      <c r="B749" s="185"/>
      <c r="C749" s="185"/>
      <c r="D749" s="185"/>
    </row>
    <row r="750" spans="2:4" x14ac:dyDescent="0.25">
      <c r="B750" s="185"/>
      <c r="C750" s="185"/>
      <c r="D750" s="185"/>
    </row>
    <row r="751" spans="2:4" x14ac:dyDescent="0.25">
      <c r="B751" s="185"/>
      <c r="C751" s="185"/>
      <c r="D751" s="185"/>
    </row>
    <row r="752" spans="2:4" x14ac:dyDescent="0.25">
      <c r="B752" s="185"/>
      <c r="C752" s="185"/>
      <c r="D752" s="185"/>
    </row>
    <row r="753" spans="2:4" x14ac:dyDescent="0.25">
      <c r="B753" s="185"/>
      <c r="C753" s="185"/>
      <c r="D753" s="185"/>
    </row>
    <row r="754" spans="2:4" x14ac:dyDescent="0.25">
      <c r="B754" s="185"/>
      <c r="C754" s="185"/>
      <c r="D754" s="185"/>
    </row>
    <row r="755" spans="2:4" x14ac:dyDescent="0.25">
      <c r="B755" s="185"/>
      <c r="C755" s="185"/>
      <c r="D755" s="185"/>
    </row>
    <row r="756" spans="2:4" x14ac:dyDescent="0.25">
      <c r="B756" s="185"/>
      <c r="C756" s="185"/>
      <c r="D756" s="185"/>
    </row>
    <row r="757" spans="2:4" x14ac:dyDescent="0.25">
      <c r="B757" s="185"/>
      <c r="C757" s="185"/>
      <c r="D757" s="185"/>
    </row>
    <row r="758" spans="2:4" x14ac:dyDescent="0.25">
      <c r="B758" s="185"/>
      <c r="C758" s="185"/>
      <c r="D758" s="185"/>
    </row>
    <row r="759" spans="2:4" x14ac:dyDescent="0.25">
      <c r="B759" s="185"/>
      <c r="C759" s="185"/>
      <c r="D759" s="185"/>
    </row>
    <row r="760" spans="2:4" x14ac:dyDescent="0.25">
      <c r="B760" s="185"/>
      <c r="C760" s="185"/>
      <c r="D760" s="185"/>
    </row>
    <row r="761" spans="2:4" x14ac:dyDescent="0.25">
      <c r="B761" s="185"/>
      <c r="C761" s="185"/>
      <c r="D761" s="185"/>
    </row>
    <row r="762" spans="2:4" x14ac:dyDescent="0.25">
      <c r="B762" s="185"/>
      <c r="C762" s="185"/>
      <c r="D762" s="185"/>
    </row>
    <row r="763" spans="2:4" x14ac:dyDescent="0.25">
      <c r="B763" s="185"/>
      <c r="C763" s="185"/>
      <c r="D763" s="185"/>
    </row>
    <row r="764" spans="2:4" x14ac:dyDescent="0.25">
      <c r="B764" s="185"/>
      <c r="C764" s="185"/>
      <c r="D764" s="185"/>
    </row>
    <row r="765" spans="2:4" x14ac:dyDescent="0.25">
      <c r="B765" s="185"/>
      <c r="C765" s="185"/>
      <c r="D765" s="185"/>
    </row>
    <row r="766" spans="2:4" x14ac:dyDescent="0.25">
      <c r="B766" s="185"/>
      <c r="C766" s="185"/>
      <c r="D766" s="185"/>
    </row>
    <row r="767" spans="2:4" x14ac:dyDescent="0.25">
      <c r="B767" s="185"/>
      <c r="C767" s="185"/>
      <c r="D767" s="185"/>
    </row>
    <row r="768" spans="2:4" x14ac:dyDescent="0.25">
      <c r="B768" s="185"/>
      <c r="C768" s="185"/>
      <c r="D768" s="185"/>
    </row>
    <row r="769" spans="2:4" x14ac:dyDescent="0.25">
      <c r="B769" s="185"/>
      <c r="C769" s="185"/>
      <c r="D769" s="185"/>
    </row>
    <row r="770" spans="2:4" x14ac:dyDescent="0.25">
      <c r="B770" s="185"/>
      <c r="C770" s="185"/>
      <c r="D770" s="185"/>
    </row>
    <row r="771" spans="2:4" x14ac:dyDescent="0.25">
      <c r="B771" s="185"/>
      <c r="C771" s="185"/>
      <c r="D771" s="185"/>
    </row>
    <row r="772" spans="2:4" x14ac:dyDescent="0.25">
      <c r="B772" s="185"/>
      <c r="C772" s="185"/>
      <c r="D772" s="185"/>
    </row>
    <row r="773" spans="2:4" x14ac:dyDescent="0.25">
      <c r="B773" s="185"/>
      <c r="C773" s="185"/>
      <c r="D773" s="185"/>
    </row>
    <row r="774" spans="2:4" x14ac:dyDescent="0.25">
      <c r="B774" s="185"/>
      <c r="C774" s="185"/>
      <c r="D774" s="185"/>
    </row>
    <row r="775" spans="2:4" x14ac:dyDescent="0.25">
      <c r="B775" s="185"/>
      <c r="C775" s="185"/>
      <c r="D775" s="185"/>
    </row>
    <row r="776" spans="2:4" x14ac:dyDescent="0.25">
      <c r="B776" s="185"/>
      <c r="C776" s="185"/>
      <c r="D776" s="185"/>
    </row>
    <row r="777" spans="2:4" x14ac:dyDescent="0.25">
      <c r="B777" s="185"/>
      <c r="C777" s="185"/>
      <c r="D777" s="185"/>
    </row>
    <row r="778" spans="2:4" x14ac:dyDescent="0.25">
      <c r="B778" s="185"/>
      <c r="C778" s="185"/>
      <c r="D778" s="185"/>
    </row>
    <row r="779" spans="2:4" x14ac:dyDescent="0.25">
      <c r="B779" s="185"/>
      <c r="C779" s="185"/>
      <c r="D779" s="185"/>
    </row>
    <row r="780" spans="2:4" x14ac:dyDescent="0.25">
      <c r="B780" s="185"/>
      <c r="C780" s="185"/>
      <c r="D780" s="185"/>
    </row>
    <row r="781" spans="2:4" x14ac:dyDescent="0.25">
      <c r="B781" s="185"/>
      <c r="C781" s="185"/>
      <c r="D781" s="185"/>
    </row>
    <row r="782" spans="2:4" x14ac:dyDescent="0.25">
      <c r="B782" s="185"/>
      <c r="C782" s="185"/>
      <c r="D782" s="185"/>
    </row>
    <row r="783" spans="2:4" x14ac:dyDescent="0.25">
      <c r="B783" s="185"/>
      <c r="C783" s="185"/>
      <c r="D783" s="185"/>
    </row>
    <row r="784" spans="2:4" x14ac:dyDescent="0.25">
      <c r="B784" s="185"/>
      <c r="C784" s="185"/>
      <c r="D784" s="185"/>
    </row>
    <row r="785" spans="2:4" x14ac:dyDescent="0.25">
      <c r="B785" s="185"/>
      <c r="C785" s="185"/>
      <c r="D785" s="185"/>
    </row>
    <row r="786" spans="2:4" x14ac:dyDescent="0.25">
      <c r="B786" s="185"/>
      <c r="C786" s="185"/>
      <c r="D786" s="185"/>
    </row>
    <row r="787" spans="2:4" x14ac:dyDescent="0.25">
      <c r="B787" s="185"/>
      <c r="C787" s="185"/>
      <c r="D787" s="185"/>
    </row>
    <row r="788" spans="2:4" x14ac:dyDescent="0.25">
      <c r="B788" s="185"/>
      <c r="C788" s="185"/>
      <c r="D788" s="185"/>
    </row>
    <row r="789" spans="2:4" x14ac:dyDescent="0.25">
      <c r="B789" s="185"/>
      <c r="C789" s="185"/>
      <c r="D789" s="185"/>
    </row>
    <row r="790" spans="2:4" x14ac:dyDescent="0.25">
      <c r="B790" s="185"/>
      <c r="C790" s="185"/>
      <c r="D790" s="185"/>
    </row>
    <row r="791" spans="2:4" x14ac:dyDescent="0.25">
      <c r="B791" s="185"/>
      <c r="C791" s="185"/>
      <c r="D791" s="185"/>
    </row>
    <row r="792" spans="2:4" x14ac:dyDescent="0.25">
      <c r="B792" s="185"/>
      <c r="C792" s="185"/>
      <c r="D792" s="185"/>
    </row>
    <row r="793" spans="2:4" x14ac:dyDescent="0.25">
      <c r="B793" s="185"/>
      <c r="C793" s="185"/>
      <c r="D793" s="185"/>
    </row>
    <row r="794" spans="2:4" x14ac:dyDescent="0.25">
      <c r="B794" s="185"/>
      <c r="C794" s="185"/>
      <c r="D794" s="185"/>
    </row>
    <row r="795" spans="2:4" x14ac:dyDescent="0.25">
      <c r="B795" s="185"/>
      <c r="C795" s="185"/>
      <c r="D795" s="185"/>
    </row>
    <row r="796" spans="2:4" x14ac:dyDescent="0.25">
      <c r="B796" s="185"/>
      <c r="C796" s="185"/>
      <c r="D796" s="185"/>
    </row>
    <row r="797" spans="2:4" x14ac:dyDescent="0.25">
      <c r="B797" s="185"/>
      <c r="C797" s="185"/>
      <c r="D797" s="185"/>
    </row>
    <row r="798" spans="2:4" x14ac:dyDescent="0.25">
      <c r="B798" s="185"/>
      <c r="C798" s="185"/>
      <c r="D798" s="185"/>
    </row>
    <row r="799" spans="2:4" x14ac:dyDescent="0.25">
      <c r="B799" s="185"/>
      <c r="C799" s="185"/>
      <c r="D799" s="185"/>
    </row>
    <row r="800" spans="2:4" x14ac:dyDescent="0.25">
      <c r="B800" s="185"/>
      <c r="C800" s="185"/>
      <c r="D800" s="185"/>
    </row>
    <row r="801" spans="2:4" x14ac:dyDescent="0.25">
      <c r="B801" s="185"/>
      <c r="C801" s="185"/>
      <c r="D801" s="185"/>
    </row>
    <row r="802" spans="2:4" x14ac:dyDescent="0.25">
      <c r="B802" s="185"/>
      <c r="C802" s="185"/>
      <c r="D802" s="185"/>
    </row>
    <row r="803" spans="2:4" x14ac:dyDescent="0.25">
      <c r="B803" s="185"/>
      <c r="C803" s="185"/>
      <c r="D803" s="185"/>
    </row>
    <row r="804" spans="2:4" x14ac:dyDescent="0.25">
      <c r="B804" s="185"/>
      <c r="C804" s="185"/>
      <c r="D804" s="185"/>
    </row>
    <row r="805" spans="2:4" x14ac:dyDescent="0.25">
      <c r="B805" s="185"/>
      <c r="C805" s="185"/>
      <c r="D805" s="185"/>
    </row>
    <row r="806" spans="2:4" x14ac:dyDescent="0.25">
      <c r="B806" s="185"/>
      <c r="C806" s="185"/>
      <c r="D806" s="185"/>
    </row>
    <row r="807" spans="2:4" x14ac:dyDescent="0.25">
      <c r="B807" s="185"/>
      <c r="C807" s="185"/>
      <c r="D807" s="185"/>
    </row>
    <row r="808" spans="2:4" x14ac:dyDescent="0.25">
      <c r="B808" s="185"/>
      <c r="C808" s="185"/>
      <c r="D808" s="185"/>
    </row>
    <row r="809" spans="2:4" x14ac:dyDescent="0.25">
      <c r="B809" s="185"/>
      <c r="C809" s="185"/>
      <c r="D809" s="185"/>
    </row>
    <row r="810" spans="2:4" x14ac:dyDescent="0.25">
      <c r="B810" s="185"/>
      <c r="C810" s="185"/>
      <c r="D810" s="185"/>
    </row>
    <row r="811" spans="2:4" x14ac:dyDescent="0.25">
      <c r="B811" s="185"/>
      <c r="C811" s="185"/>
      <c r="D811" s="185"/>
    </row>
    <row r="812" spans="2:4" x14ac:dyDescent="0.25">
      <c r="B812" s="185"/>
      <c r="C812" s="185"/>
      <c r="D812" s="185"/>
    </row>
    <row r="813" spans="2:4" x14ac:dyDescent="0.25">
      <c r="B813" s="185"/>
      <c r="C813" s="185"/>
      <c r="D813" s="185"/>
    </row>
    <row r="814" spans="2:4" x14ac:dyDescent="0.25">
      <c r="B814" s="185"/>
      <c r="C814" s="185"/>
      <c r="D814" s="185"/>
    </row>
    <row r="815" spans="2:4" x14ac:dyDescent="0.25">
      <c r="B815" s="185"/>
      <c r="C815" s="185"/>
      <c r="D815" s="185"/>
    </row>
    <row r="816" spans="2:4" x14ac:dyDescent="0.25">
      <c r="B816" s="185"/>
      <c r="C816" s="185"/>
      <c r="D816" s="185"/>
    </row>
    <row r="817" spans="2:4" x14ac:dyDescent="0.25">
      <c r="B817" s="185"/>
      <c r="C817" s="185"/>
      <c r="D817" s="185"/>
    </row>
    <row r="818" spans="2:4" x14ac:dyDescent="0.25">
      <c r="B818" s="185"/>
      <c r="C818" s="185"/>
      <c r="D818" s="185"/>
    </row>
    <row r="819" spans="2:4" x14ac:dyDescent="0.25">
      <c r="B819" s="185"/>
      <c r="C819" s="185"/>
      <c r="D819" s="185"/>
    </row>
    <row r="820" spans="2:4" x14ac:dyDescent="0.25">
      <c r="B820" s="185"/>
      <c r="C820" s="185"/>
      <c r="D820" s="185"/>
    </row>
    <row r="821" spans="2:4" x14ac:dyDescent="0.25">
      <c r="B821" s="185"/>
      <c r="C821" s="185"/>
      <c r="D821" s="185"/>
    </row>
    <row r="822" spans="2:4" x14ac:dyDescent="0.25">
      <c r="B822" s="185"/>
      <c r="C822" s="185"/>
      <c r="D822" s="185"/>
    </row>
    <row r="823" spans="2:4" x14ac:dyDescent="0.25">
      <c r="B823" s="185"/>
      <c r="C823" s="185"/>
      <c r="D823" s="185"/>
    </row>
    <row r="824" spans="2:4" x14ac:dyDescent="0.25">
      <c r="B824" s="185"/>
      <c r="C824" s="185"/>
      <c r="D824" s="185"/>
    </row>
    <row r="825" spans="2:4" x14ac:dyDescent="0.25">
      <c r="B825" s="185"/>
      <c r="C825" s="185"/>
      <c r="D825" s="185"/>
    </row>
    <row r="826" spans="2:4" x14ac:dyDescent="0.25">
      <c r="B826" s="185"/>
      <c r="C826" s="185"/>
      <c r="D826" s="185"/>
    </row>
    <row r="827" spans="2:4" x14ac:dyDescent="0.25">
      <c r="B827" s="185"/>
      <c r="C827" s="185"/>
      <c r="D827" s="185"/>
    </row>
    <row r="828" spans="2:4" x14ac:dyDescent="0.25">
      <c r="B828" s="185"/>
      <c r="C828" s="185"/>
      <c r="D828" s="185"/>
    </row>
    <row r="829" spans="2:4" x14ac:dyDescent="0.25">
      <c r="B829" s="185"/>
      <c r="C829" s="185"/>
      <c r="D829" s="185"/>
    </row>
    <row r="830" spans="2:4" x14ac:dyDescent="0.25">
      <c r="B830" s="185"/>
      <c r="C830" s="185"/>
      <c r="D830" s="185"/>
    </row>
    <row r="831" spans="2:4" x14ac:dyDescent="0.25">
      <c r="B831" s="185"/>
      <c r="C831" s="185"/>
      <c r="D831" s="185"/>
    </row>
    <row r="832" spans="2:4" x14ac:dyDescent="0.25">
      <c r="B832" s="185"/>
      <c r="C832" s="185"/>
      <c r="D832" s="185"/>
    </row>
    <row r="833" spans="2:4" x14ac:dyDescent="0.25">
      <c r="B833" s="185"/>
      <c r="C833" s="185"/>
      <c r="D833" s="185"/>
    </row>
    <row r="834" spans="2:4" x14ac:dyDescent="0.25">
      <c r="B834" s="185"/>
      <c r="C834" s="185"/>
      <c r="D834" s="185"/>
    </row>
    <row r="835" spans="2:4" x14ac:dyDescent="0.25">
      <c r="B835" s="185"/>
      <c r="C835" s="185"/>
      <c r="D835" s="185"/>
    </row>
    <row r="836" spans="2:4" x14ac:dyDescent="0.25">
      <c r="B836" s="185"/>
      <c r="C836" s="185"/>
      <c r="D836" s="185"/>
    </row>
    <row r="837" spans="2:4" x14ac:dyDescent="0.25">
      <c r="B837" s="185"/>
      <c r="C837" s="185"/>
      <c r="D837" s="185"/>
    </row>
    <row r="838" spans="2:4" x14ac:dyDescent="0.25">
      <c r="B838" s="185"/>
      <c r="C838" s="185"/>
      <c r="D838" s="185"/>
    </row>
    <row r="839" spans="2:4" x14ac:dyDescent="0.25">
      <c r="B839" s="185"/>
      <c r="C839" s="185"/>
      <c r="D839" s="185"/>
    </row>
    <row r="840" spans="2:4" x14ac:dyDescent="0.25">
      <c r="B840" s="185"/>
      <c r="C840" s="185"/>
      <c r="D840" s="185"/>
    </row>
    <row r="841" spans="2:4" x14ac:dyDescent="0.25">
      <c r="B841" s="185"/>
      <c r="C841" s="185"/>
      <c r="D841" s="185"/>
    </row>
    <row r="842" spans="2:4" x14ac:dyDescent="0.25">
      <c r="B842" s="185"/>
      <c r="C842" s="185"/>
      <c r="D842" s="185"/>
    </row>
    <row r="843" spans="2:4" x14ac:dyDescent="0.25">
      <c r="B843" s="185"/>
      <c r="C843" s="185"/>
      <c r="D843" s="185"/>
    </row>
    <row r="844" spans="2:4" x14ac:dyDescent="0.25">
      <c r="B844" s="185"/>
      <c r="C844" s="185"/>
      <c r="D844" s="185"/>
    </row>
    <row r="845" spans="2:4" x14ac:dyDescent="0.25">
      <c r="B845" s="185"/>
      <c r="C845" s="185"/>
      <c r="D845" s="185"/>
    </row>
    <row r="846" spans="2:4" x14ac:dyDescent="0.25">
      <c r="B846" s="185"/>
      <c r="C846" s="185"/>
      <c r="D846" s="185"/>
    </row>
    <row r="847" spans="2:4" x14ac:dyDescent="0.25">
      <c r="B847" s="185"/>
      <c r="C847" s="185"/>
      <c r="D847" s="185"/>
    </row>
    <row r="848" spans="2:4" x14ac:dyDescent="0.25">
      <c r="B848" s="185"/>
      <c r="C848" s="185"/>
      <c r="D848" s="185"/>
    </row>
    <row r="849" spans="2:4" x14ac:dyDescent="0.25">
      <c r="B849" s="185"/>
      <c r="C849" s="185"/>
      <c r="D849" s="185"/>
    </row>
    <row r="850" spans="2:4" x14ac:dyDescent="0.25">
      <c r="B850" s="185"/>
      <c r="C850" s="185"/>
      <c r="D850" s="185"/>
    </row>
    <row r="851" spans="2:4" x14ac:dyDescent="0.25">
      <c r="B851" s="185"/>
      <c r="C851" s="185"/>
      <c r="D851" s="185"/>
    </row>
    <row r="852" spans="2:4" x14ac:dyDescent="0.25">
      <c r="B852" s="185"/>
      <c r="C852" s="185"/>
      <c r="D852" s="185"/>
    </row>
    <row r="853" spans="2:4" x14ac:dyDescent="0.25">
      <c r="B853" s="185"/>
      <c r="C853" s="185"/>
      <c r="D853" s="185"/>
    </row>
    <row r="854" spans="2:4" x14ac:dyDescent="0.25">
      <c r="B854" s="185"/>
      <c r="C854" s="185"/>
      <c r="D854" s="185"/>
    </row>
    <row r="855" spans="2:4" x14ac:dyDescent="0.25">
      <c r="B855" s="185"/>
      <c r="C855" s="185"/>
      <c r="D855" s="185"/>
    </row>
    <row r="856" spans="2:4" x14ac:dyDescent="0.25">
      <c r="B856" s="185"/>
      <c r="C856" s="185"/>
      <c r="D856" s="185"/>
    </row>
    <row r="857" spans="2:4" x14ac:dyDescent="0.25">
      <c r="B857" s="185"/>
      <c r="C857" s="185"/>
      <c r="D857" s="185"/>
    </row>
    <row r="858" spans="2:4" x14ac:dyDescent="0.25">
      <c r="B858" s="185"/>
      <c r="C858" s="185"/>
      <c r="D858" s="185"/>
    </row>
    <row r="859" spans="2:4" x14ac:dyDescent="0.25">
      <c r="B859" s="185"/>
      <c r="C859" s="185"/>
      <c r="D859" s="185"/>
    </row>
    <row r="860" spans="2:4" x14ac:dyDescent="0.25">
      <c r="B860" s="185"/>
      <c r="C860" s="185"/>
      <c r="D860" s="185"/>
    </row>
    <row r="861" spans="2:4" x14ac:dyDescent="0.25">
      <c r="B861" s="185"/>
      <c r="C861" s="185"/>
      <c r="D861" s="185"/>
    </row>
    <row r="862" spans="2:4" x14ac:dyDescent="0.25">
      <c r="B862" s="185"/>
      <c r="C862" s="185"/>
      <c r="D862" s="185"/>
    </row>
    <row r="863" spans="2:4" x14ac:dyDescent="0.25">
      <c r="B863" s="185"/>
      <c r="C863" s="185"/>
      <c r="D863" s="185"/>
    </row>
    <row r="864" spans="2:4" x14ac:dyDescent="0.25">
      <c r="B864" s="185"/>
      <c r="C864" s="185"/>
      <c r="D864" s="185"/>
    </row>
    <row r="865" spans="2:4" x14ac:dyDescent="0.25">
      <c r="B865" s="185"/>
      <c r="C865" s="185"/>
      <c r="D865" s="185"/>
    </row>
    <row r="866" spans="2:4" x14ac:dyDescent="0.25">
      <c r="B866" s="185"/>
      <c r="C866" s="185"/>
      <c r="D866" s="185"/>
    </row>
    <row r="867" spans="2:4" x14ac:dyDescent="0.25">
      <c r="B867" s="185"/>
      <c r="C867" s="185"/>
      <c r="D867" s="185"/>
    </row>
    <row r="868" spans="2:4" x14ac:dyDescent="0.25">
      <c r="B868" s="185"/>
      <c r="C868" s="185"/>
      <c r="D868" s="185"/>
    </row>
    <row r="869" spans="2:4" x14ac:dyDescent="0.25">
      <c r="B869" s="185"/>
      <c r="C869" s="185"/>
      <c r="D869" s="185"/>
    </row>
    <row r="870" spans="2:4" x14ac:dyDescent="0.25">
      <c r="B870" s="185"/>
      <c r="C870" s="185"/>
      <c r="D870" s="185"/>
    </row>
    <row r="871" spans="2:4" x14ac:dyDescent="0.25">
      <c r="B871" s="185"/>
      <c r="C871" s="185"/>
      <c r="D871" s="185"/>
    </row>
    <row r="872" spans="2:4" x14ac:dyDescent="0.25">
      <c r="B872" s="185"/>
      <c r="C872" s="185"/>
      <c r="D872" s="185"/>
    </row>
    <row r="873" spans="2:4" x14ac:dyDescent="0.25">
      <c r="B873" s="185"/>
      <c r="C873" s="185"/>
      <c r="D873" s="185"/>
    </row>
    <row r="874" spans="2:4" x14ac:dyDescent="0.25">
      <c r="B874" s="185"/>
      <c r="C874" s="185"/>
      <c r="D874" s="185"/>
    </row>
    <row r="875" spans="2:4" x14ac:dyDescent="0.25">
      <c r="B875" s="185"/>
      <c r="C875" s="185"/>
      <c r="D875" s="185"/>
    </row>
    <row r="876" spans="2:4" x14ac:dyDescent="0.25">
      <c r="B876" s="185"/>
      <c r="C876" s="185"/>
      <c r="D876" s="185"/>
    </row>
    <row r="877" spans="2:4" x14ac:dyDescent="0.25">
      <c r="B877" s="185"/>
      <c r="C877" s="185"/>
      <c r="D877" s="185"/>
    </row>
    <row r="878" spans="2:4" x14ac:dyDescent="0.25">
      <c r="B878" s="185"/>
      <c r="C878" s="185"/>
      <c r="D878" s="185"/>
    </row>
    <row r="879" spans="2:4" x14ac:dyDescent="0.25">
      <c r="B879" s="185"/>
      <c r="C879" s="185"/>
      <c r="D879" s="185"/>
    </row>
    <row r="880" spans="2:4" x14ac:dyDescent="0.25">
      <c r="B880" s="185"/>
      <c r="C880" s="185"/>
      <c r="D880" s="185"/>
    </row>
    <row r="881" spans="2:4" x14ac:dyDescent="0.25">
      <c r="B881" s="185"/>
      <c r="C881" s="185"/>
      <c r="D881" s="185"/>
    </row>
    <row r="882" spans="2:4" x14ac:dyDescent="0.25">
      <c r="B882" s="185"/>
      <c r="C882" s="185"/>
      <c r="D882" s="185"/>
    </row>
    <row r="883" spans="2:4" x14ac:dyDescent="0.25">
      <c r="B883" s="185"/>
      <c r="C883" s="185"/>
      <c r="D883" s="185"/>
    </row>
    <row r="884" spans="2:4" x14ac:dyDescent="0.25">
      <c r="B884" s="185"/>
      <c r="C884" s="185"/>
      <c r="D884" s="185"/>
    </row>
    <row r="885" spans="2:4" x14ac:dyDescent="0.25">
      <c r="B885" s="185"/>
      <c r="C885" s="185"/>
      <c r="D885" s="185"/>
    </row>
    <row r="886" spans="2:4" x14ac:dyDescent="0.25">
      <c r="B886" s="185"/>
      <c r="C886" s="185"/>
      <c r="D886" s="185"/>
    </row>
    <row r="887" spans="2:4" x14ac:dyDescent="0.25">
      <c r="B887" s="185"/>
      <c r="C887" s="185"/>
      <c r="D887" s="185"/>
    </row>
    <row r="888" spans="2:4" x14ac:dyDescent="0.25">
      <c r="B888" s="185"/>
      <c r="C888" s="185"/>
      <c r="D888" s="185"/>
    </row>
    <row r="889" spans="2:4" x14ac:dyDescent="0.25">
      <c r="B889" s="185"/>
      <c r="C889" s="185"/>
      <c r="D889" s="185"/>
    </row>
    <row r="890" spans="2:4" x14ac:dyDescent="0.25">
      <c r="B890" s="185"/>
      <c r="C890" s="185"/>
      <c r="D890" s="185"/>
    </row>
    <row r="891" spans="2:4" x14ac:dyDescent="0.25">
      <c r="B891" s="185"/>
      <c r="C891" s="185"/>
      <c r="D891" s="185"/>
    </row>
    <row r="892" spans="2:4" x14ac:dyDescent="0.25">
      <c r="B892" s="185"/>
      <c r="C892" s="185"/>
      <c r="D892" s="185"/>
    </row>
    <row r="893" spans="2:4" x14ac:dyDescent="0.25">
      <c r="B893" s="185"/>
      <c r="C893" s="185"/>
      <c r="D893" s="185"/>
    </row>
    <row r="894" spans="2:4" x14ac:dyDescent="0.25">
      <c r="B894" s="185"/>
      <c r="C894" s="185"/>
      <c r="D894" s="185"/>
    </row>
    <row r="895" spans="2:4" x14ac:dyDescent="0.25">
      <c r="B895" s="185"/>
      <c r="C895" s="185"/>
      <c r="D895" s="185"/>
    </row>
    <row r="896" spans="2:4" x14ac:dyDescent="0.25">
      <c r="B896" s="185"/>
      <c r="C896" s="185"/>
      <c r="D896" s="185"/>
    </row>
    <row r="897" spans="2:4" x14ac:dyDescent="0.25">
      <c r="B897" s="185"/>
      <c r="C897" s="185"/>
      <c r="D897" s="185"/>
    </row>
    <row r="898" spans="2:4" x14ac:dyDescent="0.25">
      <c r="B898" s="185"/>
      <c r="C898" s="185"/>
      <c r="D898" s="185"/>
    </row>
    <row r="899" spans="2:4" x14ac:dyDescent="0.25">
      <c r="B899" s="185"/>
      <c r="C899" s="185"/>
      <c r="D899" s="185"/>
    </row>
    <row r="900" spans="2:4" x14ac:dyDescent="0.25">
      <c r="B900" s="185"/>
      <c r="C900" s="185"/>
      <c r="D900" s="185"/>
    </row>
    <row r="901" spans="2:4" x14ac:dyDescent="0.25">
      <c r="B901" s="185"/>
      <c r="C901" s="185"/>
      <c r="D901" s="185"/>
    </row>
    <row r="902" spans="2:4" x14ac:dyDescent="0.25">
      <c r="B902" s="185"/>
      <c r="C902" s="185"/>
      <c r="D902" s="185"/>
    </row>
    <row r="903" spans="2:4" x14ac:dyDescent="0.25">
      <c r="B903" s="185"/>
      <c r="C903" s="185"/>
      <c r="D903" s="185"/>
    </row>
    <row r="904" spans="2:4" x14ac:dyDescent="0.25">
      <c r="B904" s="185"/>
      <c r="C904" s="185"/>
      <c r="D904" s="185"/>
    </row>
    <row r="905" spans="2:4" x14ac:dyDescent="0.25">
      <c r="B905" s="185"/>
      <c r="C905" s="185"/>
      <c r="D905" s="185"/>
    </row>
    <row r="906" spans="2:4" x14ac:dyDescent="0.25">
      <c r="B906" s="185"/>
      <c r="C906" s="185"/>
      <c r="D906" s="185"/>
    </row>
    <row r="907" spans="2:4" x14ac:dyDescent="0.25">
      <c r="B907" s="185"/>
      <c r="C907" s="185"/>
      <c r="D907" s="185"/>
    </row>
    <row r="908" spans="2:4" x14ac:dyDescent="0.25">
      <c r="B908" s="185"/>
      <c r="C908" s="185"/>
      <c r="D908" s="185"/>
    </row>
    <row r="909" spans="2:4" x14ac:dyDescent="0.25">
      <c r="B909" s="185"/>
      <c r="C909" s="185"/>
      <c r="D909" s="185"/>
    </row>
    <row r="910" spans="2:4" x14ac:dyDescent="0.25">
      <c r="B910" s="185"/>
      <c r="C910" s="185"/>
      <c r="D910" s="185"/>
    </row>
    <row r="911" spans="2:4" x14ac:dyDescent="0.25">
      <c r="B911" s="185"/>
      <c r="C911" s="185"/>
      <c r="D911" s="185"/>
    </row>
    <row r="912" spans="2:4" x14ac:dyDescent="0.25">
      <c r="B912" s="185"/>
      <c r="C912" s="185"/>
      <c r="D912" s="185"/>
    </row>
    <row r="913" spans="2:4" x14ac:dyDescent="0.25">
      <c r="B913" s="185"/>
      <c r="C913" s="185"/>
      <c r="D913" s="185"/>
    </row>
    <row r="914" spans="2:4" x14ac:dyDescent="0.25">
      <c r="B914" s="185"/>
      <c r="C914" s="185"/>
      <c r="D914" s="185"/>
    </row>
    <row r="915" spans="2:4" x14ac:dyDescent="0.25">
      <c r="B915" s="185"/>
      <c r="C915" s="185"/>
      <c r="D915" s="185"/>
    </row>
    <row r="916" spans="2:4" x14ac:dyDescent="0.25">
      <c r="B916" s="185"/>
      <c r="C916" s="185"/>
      <c r="D916" s="185"/>
    </row>
    <row r="917" spans="2:4" x14ac:dyDescent="0.25">
      <c r="B917" s="185"/>
      <c r="C917" s="185"/>
      <c r="D917" s="185"/>
    </row>
    <row r="918" spans="2:4" x14ac:dyDescent="0.25">
      <c r="B918" s="185"/>
      <c r="C918" s="185"/>
      <c r="D918" s="185"/>
    </row>
    <row r="919" spans="2:4" x14ac:dyDescent="0.25">
      <c r="B919" s="185"/>
      <c r="C919" s="185"/>
      <c r="D919" s="185"/>
    </row>
    <row r="920" spans="2:4" x14ac:dyDescent="0.25">
      <c r="B920" s="185"/>
      <c r="C920" s="185"/>
      <c r="D920" s="185"/>
    </row>
    <row r="921" spans="2:4" x14ac:dyDescent="0.25">
      <c r="B921" s="185"/>
      <c r="C921" s="185"/>
      <c r="D921" s="185"/>
    </row>
    <row r="922" spans="2:4" x14ac:dyDescent="0.25">
      <c r="B922" s="185"/>
      <c r="C922" s="185"/>
      <c r="D922" s="185"/>
    </row>
    <row r="923" spans="2:4" x14ac:dyDescent="0.25">
      <c r="B923" s="185"/>
      <c r="C923" s="185"/>
      <c r="D923" s="185"/>
    </row>
    <row r="924" spans="2:4" x14ac:dyDescent="0.25">
      <c r="B924" s="185"/>
      <c r="C924" s="185"/>
      <c r="D924" s="185"/>
    </row>
    <row r="925" spans="2:4" x14ac:dyDescent="0.25">
      <c r="B925" s="185"/>
      <c r="C925" s="185"/>
      <c r="D925" s="185"/>
    </row>
    <row r="926" spans="2:4" x14ac:dyDescent="0.25">
      <c r="B926" s="185"/>
      <c r="C926" s="185"/>
      <c r="D926" s="185"/>
    </row>
    <row r="927" spans="2:4" x14ac:dyDescent="0.25">
      <c r="B927" s="185"/>
      <c r="C927" s="185"/>
      <c r="D927" s="185"/>
    </row>
    <row r="928" spans="2:4" x14ac:dyDescent="0.25">
      <c r="B928" s="185"/>
      <c r="C928" s="185"/>
      <c r="D928" s="185"/>
    </row>
    <row r="929" spans="2:4" x14ac:dyDescent="0.25">
      <c r="B929" s="185"/>
      <c r="C929" s="185"/>
      <c r="D929" s="185"/>
    </row>
    <row r="930" spans="2:4" x14ac:dyDescent="0.25">
      <c r="B930" s="185"/>
      <c r="C930" s="185"/>
      <c r="D930" s="185"/>
    </row>
    <row r="931" spans="2:4" x14ac:dyDescent="0.25">
      <c r="B931" s="185"/>
      <c r="C931" s="185"/>
      <c r="D931" s="185"/>
    </row>
    <row r="932" spans="2:4" x14ac:dyDescent="0.25">
      <c r="B932" s="185"/>
      <c r="C932" s="185"/>
      <c r="D932" s="185"/>
    </row>
    <row r="933" spans="2:4" x14ac:dyDescent="0.25">
      <c r="B933" s="185"/>
      <c r="C933" s="185"/>
      <c r="D933" s="185"/>
    </row>
    <row r="934" spans="2:4" x14ac:dyDescent="0.25">
      <c r="B934" s="185"/>
      <c r="C934" s="185"/>
      <c r="D934" s="185"/>
    </row>
    <row r="935" spans="2:4" x14ac:dyDescent="0.25">
      <c r="B935" s="185"/>
      <c r="C935" s="185"/>
      <c r="D935" s="185"/>
    </row>
    <row r="936" spans="2:4" x14ac:dyDescent="0.25">
      <c r="B936" s="185"/>
      <c r="C936" s="185"/>
      <c r="D936" s="185"/>
    </row>
    <row r="937" spans="2:4" x14ac:dyDescent="0.25">
      <c r="B937" s="185"/>
      <c r="C937" s="185"/>
      <c r="D937" s="185"/>
    </row>
    <row r="938" spans="2:4" x14ac:dyDescent="0.25">
      <c r="B938" s="185"/>
      <c r="C938" s="185"/>
      <c r="D938" s="185"/>
    </row>
    <row r="939" spans="2:4" x14ac:dyDescent="0.25">
      <c r="B939" s="185"/>
      <c r="C939" s="185"/>
      <c r="D939" s="185"/>
    </row>
    <row r="940" spans="2:4" x14ac:dyDescent="0.25">
      <c r="B940" s="185"/>
      <c r="C940" s="185"/>
      <c r="D940" s="185"/>
    </row>
    <row r="941" spans="2:4" x14ac:dyDescent="0.25">
      <c r="B941" s="185"/>
      <c r="C941" s="185"/>
      <c r="D941" s="185"/>
    </row>
    <row r="942" spans="2:4" x14ac:dyDescent="0.25">
      <c r="B942" s="185"/>
      <c r="C942" s="185"/>
      <c r="D942" s="185"/>
    </row>
    <row r="943" spans="2:4" x14ac:dyDescent="0.25">
      <c r="B943" s="185"/>
      <c r="C943" s="185"/>
      <c r="D943" s="185"/>
    </row>
    <row r="944" spans="2:4" x14ac:dyDescent="0.25">
      <c r="B944" s="185"/>
      <c r="C944" s="185"/>
      <c r="D944" s="185"/>
    </row>
    <row r="945" spans="2:4" x14ac:dyDescent="0.25">
      <c r="B945" s="185"/>
      <c r="C945" s="185"/>
      <c r="D945" s="185"/>
    </row>
    <row r="946" spans="2:4" x14ac:dyDescent="0.25">
      <c r="B946" s="185"/>
      <c r="C946" s="185"/>
      <c r="D946" s="185"/>
    </row>
    <row r="947" spans="2:4" x14ac:dyDescent="0.25">
      <c r="B947" s="185"/>
      <c r="C947" s="185"/>
      <c r="D947" s="185"/>
    </row>
    <row r="948" spans="2:4" x14ac:dyDescent="0.25">
      <c r="B948" s="185"/>
      <c r="C948" s="185"/>
      <c r="D948" s="185"/>
    </row>
    <row r="949" spans="2:4" x14ac:dyDescent="0.25">
      <c r="B949" s="185"/>
      <c r="C949" s="185"/>
      <c r="D949" s="185"/>
    </row>
    <row r="950" spans="2:4" x14ac:dyDescent="0.25">
      <c r="B950" s="185"/>
      <c r="C950" s="185"/>
      <c r="D950" s="185"/>
    </row>
    <row r="951" spans="2:4" x14ac:dyDescent="0.25">
      <c r="B951" s="185"/>
      <c r="C951" s="185"/>
      <c r="D951" s="185"/>
    </row>
    <row r="952" spans="2:4" x14ac:dyDescent="0.25">
      <c r="B952" s="185"/>
      <c r="C952" s="185"/>
      <c r="D952" s="185"/>
    </row>
    <row r="953" spans="2:4" x14ac:dyDescent="0.25">
      <c r="B953" s="185"/>
      <c r="C953" s="185"/>
      <c r="D953" s="185"/>
    </row>
    <row r="954" spans="2:4" x14ac:dyDescent="0.25">
      <c r="B954" s="185"/>
      <c r="C954" s="185"/>
      <c r="D954" s="185"/>
    </row>
    <row r="955" spans="2:4" x14ac:dyDescent="0.25">
      <c r="B955" s="185"/>
      <c r="C955" s="185"/>
      <c r="D955" s="185"/>
    </row>
    <row r="956" spans="2:4" x14ac:dyDescent="0.25">
      <c r="B956" s="185"/>
      <c r="C956" s="185"/>
      <c r="D956" s="185"/>
    </row>
    <row r="957" spans="2:4" x14ac:dyDescent="0.25">
      <c r="B957" s="185"/>
      <c r="C957" s="185"/>
      <c r="D957" s="185"/>
    </row>
    <row r="958" spans="2:4" x14ac:dyDescent="0.25">
      <c r="B958" s="185"/>
      <c r="C958" s="185"/>
      <c r="D958" s="185"/>
    </row>
    <row r="959" spans="2:4" x14ac:dyDescent="0.25">
      <c r="B959" s="185"/>
      <c r="C959" s="185"/>
      <c r="D959" s="185"/>
    </row>
    <row r="960" spans="2:4" x14ac:dyDescent="0.25">
      <c r="B960" s="185"/>
      <c r="C960" s="185"/>
      <c r="D960" s="185"/>
    </row>
    <row r="961" spans="2:4" x14ac:dyDescent="0.25">
      <c r="B961" s="185"/>
      <c r="C961" s="185"/>
      <c r="D961" s="185"/>
    </row>
    <row r="962" spans="2:4" x14ac:dyDescent="0.25">
      <c r="B962" s="185"/>
      <c r="C962" s="185"/>
      <c r="D962" s="185"/>
    </row>
    <row r="963" spans="2:4" x14ac:dyDescent="0.25">
      <c r="B963" s="185"/>
      <c r="C963" s="185"/>
      <c r="D963" s="185"/>
    </row>
    <row r="964" spans="2:4" x14ac:dyDescent="0.25">
      <c r="B964" s="185"/>
      <c r="C964" s="185"/>
      <c r="D964" s="185"/>
    </row>
    <row r="965" spans="2:4" x14ac:dyDescent="0.25">
      <c r="B965" s="185"/>
      <c r="C965" s="185"/>
      <c r="D965" s="185"/>
    </row>
    <row r="966" spans="2:4" x14ac:dyDescent="0.25">
      <c r="B966" s="185"/>
      <c r="C966" s="185"/>
      <c r="D966" s="185"/>
    </row>
    <row r="967" spans="2:4" x14ac:dyDescent="0.25">
      <c r="B967" s="185"/>
      <c r="C967" s="185"/>
      <c r="D967" s="185"/>
    </row>
    <row r="968" spans="2:4" x14ac:dyDescent="0.25">
      <c r="B968" s="185"/>
      <c r="C968" s="185"/>
      <c r="D968" s="185"/>
    </row>
    <row r="969" spans="2:4" x14ac:dyDescent="0.25">
      <c r="B969" s="185"/>
      <c r="C969" s="185"/>
      <c r="D969" s="185"/>
    </row>
    <row r="970" spans="2:4" x14ac:dyDescent="0.25">
      <c r="B970" s="185"/>
      <c r="C970" s="185"/>
      <c r="D970" s="185"/>
    </row>
    <row r="971" spans="2:4" x14ac:dyDescent="0.25">
      <c r="B971" s="185"/>
      <c r="C971" s="185"/>
      <c r="D971" s="185"/>
    </row>
    <row r="972" spans="2:4" x14ac:dyDescent="0.25">
      <c r="B972" s="185"/>
      <c r="C972" s="185"/>
      <c r="D972" s="185"/>
    </row>
    <row r="973" spans="2:4" x14ac:dyDescent="0.25">
      <c r="B973" s="185"/>
      <c r="C973" s="185"/>
      <c r="D973" s="185"/>
    </row>
    <row r="974" spans="2:4" x14ac:dyDescent="0.25">
      <c r="B974" s="185"/>
      <c r="C974" s="185"/>
      <c r="D974" s="185"/>
    </row>
    <row r="975" spans="2:4" x14ac:dyDescent="0.25">
      <c r="B975" s="185"/>
      <c r="C975" s="185"/>
      <c r="D975" s="185"/>
    </row>
    <row r="976" spans="2:4" x14ac:dyDescent="0.25">
      <c r="B976" s="185"/>
      <c r="C976" s="185"/>
      <c r="D976" s="185"/>
    </row>
    <row r="977" spans="2:4" x14ac:dyDescent="0.25">
      <c r="B977" s="185"/>
      <c r="C977" s="185"/>
      <c r="D977" s="185"/>
    </row>
    <row r="978" spans="2:4" x14ac:dyDescent="0.25">
      <c r="B978" s="185"/>
      <c r="C978" s="185"/>
      <c r="D978" s="185"/>
    </row>
    <row r="979" spans="2:4" x14ac:dyDescent="0.25">
      <c r="B979" s="185"/>
      <c r="C979" s="185"/>
      <c r="D979" s="185"/>
    </row>
    <row r="980" spans="2:4" x14ac:dyDescent="0.25">
      <c r="B980" s="185"/>
      <c r="C980" s="185"/>
      <c r="D980" s="185"/>
    </row>
    <row r="981" spans="2:4" x14ac:dyDescent="0.25">
      <c r="B981" s="185"/>
      <c r="C981" s="185"/>
      <c r="D981" s="185"/>
    </row>
    <row r="982" spans="2:4" x14ac:dyDescent="0.25">
      <c r="B982" s="185"/>
      <c r="C982" s="185"/>
      <c r="D982" s="185"/>
    </row>
    <row r="983" spans="2:4" x14ac:dyDescent="0.25">
      <c r="B983" s="185"/>
      <c r="C983" s="185"/>
      <c r="D983" s="185"/>
    </row>
    <row r="984" spans="2:4" x14ac:dyDescent="0.25">
      <c r="B984" s="185"/>
      <c r="C984" s="185"/>
      <c r="D984" s="185"/>
    </row>
    <row r="985" spans="2:4" x14ac:dyDescent="0.25">
      <c r="B985" s="185"/>
      <c r="C985" s="185"/>
      <c r="D985" s="185"/>
    </row>
    <row r="986" spans="2:4" x14ac:dyDescent="0.25">
      <c r="B986" s="185"/>
      <c r="C986" s="185"/>
      <c r="D986" s="185"/>
    </row>
    <row r="987" spans="2:4" x14ac:dyDescent="0.25">
      <c r="B987" s="185"/>
      <c r="C987" s="185"/>
      <c r="D987" s="185"/>
    </row>
    <row r="988" spans="2:4" x14ac:dyDescent="0.25">
      <c r="B988" s="185"/>
      <c r="C988" s="185"/>
      <c r="D988" s="185"/>
    </row>
    <row r="989" spans="2:4" x14ac:dyDescent="0.25">
      <c r="B989" s="185"/>
      <c r="C989" s="185"/>
      <c r="D989" s="185"/>
    </row>
    <row r="990" spans="2:4" x14ac:dyDescent="0.25">
      <c r="B990" s="185"/>
      <c r="C990" s="185"/>
      <c r="D990" s="185"/>
    </row>
    <row r="991" spans="2:4" x14ac:dyDescent="0.25">
      <c r="B991" s="185"/>
      <c r="C991" s="185"/>
      <c r="D991" s="185"/>
    </row>
    <row r="992" spans="2:4" x14ac:dyDescent="0.25">
      <c r="B992" s="185"/>
      <c r="C992" s="185"/>
      <c r="D992" s="185"/>
    </row>
    <row r="993" spans="2:4" x14ac:dyDescent="0.25">
      <c r="B993" s="185"/>
      <c r="C993" s="185"/>
      <c r="D993" s="185"/>
    </row>
    <row r="994" spans="2:4" x14ac:dyDescent="0.25">
      <c r="B994" s="185"/>
      <c r="C994" s="185"/>
      <c r="D994" s="185"/>
    </row>
    <row r="995" spans="2:4" x14ac:dyDescent="0.25">
      <c r="B995" s="185"/>
      <c r="C995" s="185"/>
      <c r="D995" s="185"/>
    </row>
    <row r="996" spans="2:4" x14ac:dyDescent="0.25">
      <c r="B996" s="185"/>
      <c r="C996" s="185"/>
      <c r="D996" s="185"/>
    </row>
    <row r="997" spans="2:4" x14ac:dyDescent="0.25">
      <c r="B997" s="185"/>
      <c r="C997" s="185"/>
      <c r="D997" s="185"/>
    </row>
    <row r="998" spans="2:4" x14ac:dyDescent="0.25">
      <c r="B998" s="185"/>
      <c r="C998" s="185"/>
      <c r="D998" s="185"/>
    </row>
    <row r="999" spans="2:4" x14ac:dyDescent="0.25">
      <c r="B999" s="185"/>
      <c r="C999" s="185"/>
      <c r="D999" s="185"/>
    </row>
    <row r="1000" spans="2:4" x14ac:dyDescent="0.25">
      <c r="B1000" s="185"/>
      <c r="C1000" s="185"/>
      <c r="D1000" s="185"/>
    </row>
    <row r="1001" spans="2:4" x14ac:dyDescent="0.25">
      <c r="B1001" s="185"/>
      <c r="C1001" s="185"/>
      <c r="D1001" s="185"/>
    </row>
    <row r="1002" spans="2:4" x14ac:dyDescent="0.25">
      <c r="B1002" s="185"/>
      <c r="C1002" s="185"/>
      <c r="D1002" s="185"/>
    </row>
    <row r="1003" spans="2:4" x14ac:dyDescent="0.25">
      <c r="B1003" s="185"/>
      <c r="C1003" s="185"/>
      <c r="D1003" s="1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Indonesia dan Jakarta</vt:lpstr>
      <vt:lpstr>Data Jakarta</vt:lpstr>
      <vt:lpstr>Data Suspek dll (Jakarta)</vt:lpstr>
      <vt:lpstr>RDT Ab</vt:lpstr>
      <vt:lpstr>RDT Ag</vt:lpstr>
      <vt:lpstr>Hasil Lab</vt:lpstr>
      <vt:lpstr>Pemakaman</vt:lpstr>
      <vt:lpstr>Vaksinasi</vt:lpstr>
      <vt:lpstr>Vaksinasi Wilayah</vt:lpstr>
      <vt:lpstr>Daily Vaksinasi Wilayah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Risqi Firdaus</cp:lastModifiedBy>
  <dcterms:modified xsi:type="dcterms:W3CDTF">2021-06-29T08:01:10Z</dcterms:modified>
</cp:coreProperties>
</file>