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4520" windowHeight="12675" activeTab="3"/>
  </bookViews>
  <sheets>
    <sheet name="FN_Snapshot" sheetId="1" r:id="rId1"/>
    <sheet name="FN_재무제표" sheetId="6" r:id="rId2"/>
    <sheet name="FN_컨센서스" sheetId="4" r:id="rId3"/>
    <sheet name="결과" sheetId="5" r:id="rId4"/>
    <sheet name="Data" sheetId="2" r:id="rId5"/>
    <sheet name="RIM 계산" sheetId="3" r:id="rId6"/>
  </sheets>
  <calcPr calcId="145621"/>
</workbook>
</file>

<file path=xl/calcChain.xml><?xml version="1.0" encoding="utf-8"?>
<calcChain xmlns="http://schemas.openxmlformats.org/spreadsheetml/2006/main">
  <c r="B115" i="1" l="1"/>
  <c r="B33" i="2" l="1"/>
  <c r="C33" i="2" l="1"/>
  <c r="D33" i="2" s="1"/>
  <c r="C32" i="2"/>
  <c r="B46" i="2" l="1"/>
  <c r="B32" i="2"/>
  <c r="D32" i="2"/>
  <c r="E32" i="2" l="1"/>
  <c r="F32" i="2" s="1"/>
  <c r="G32" i="2" s="1"/>
  <c r="B40" i="2"/>
  <c r="C40" i="2" s="1"/>
  <c r="D40" i="2" s="1"/>
  <c r="B39" i="2"/>
  <c r="B62" i="2" l="1"/>
  <c r="C62" i="2" s="1"/>
  <c r="B65" i="2"/>
  <c r="C65" i="2" s="1"/>
  <c r="D65" i="2" l="1"/>
  <c r="B59" i="2"/>
  <c r="C59" i="2" s="1"/>
  <c r="C64" i="2"/>
  <c r="D59" i="2" l="1"/>
  <c r="B64" i="2"/>
  <c r="D64" i="2"/>
  <c r="B58" i="2"/>
  <c r="E64" i="2"/>
  <c r="F64" i="2" l="1"/>
  <c r="B63" i="2"/>
  <c r="B60" i="2"/>
  <c r="D62" i="2"/>
  <c r="AE10" i="5"/>
  <c r="D61" i="2"/>
  <c r="E58" i="2"/>
  <c r="C58" i="2"/>
  <c r="D58" i="2"/>
  <c r="D63" i="2" l="1"/>
  <c r="D60" i="2"/>
  <c r="C63" i="2"/>
  <c r="C60" i="2"/>
  <c r="I21" i="5"/>
  <c r="E60" i="2"/>
  <c r="F21" i="5" s="1"/>
  <c r="E63" i="2"/>
  <c r="E90" i="2"/>
  <c r="F90" i="2" s="1"/>
  <c r="G90" i="2" s="1"/>
  <c r="B61" i="2"/>
  <c r="E61" i="2"/>
  <c r="C61" i="2"/>
  <c r="B89" i="2"/>
  <c r="F61" i="2" l="1"/>
  <c r="G64" i="2" s="1"/>
  <c r="F22" i="5" s="1"/>
  <c r="AE9" i="5" s="1"/>
  <c r="E86" i="2"/>
  <c r="F86" i="2" s="1"/>
  <c r="G86" i="2" s="1"/>
  <c r="D89" i="2"/>
  <c r="E89" i="2"/>
  <c r="C89" i="2"/>
  <c r="C85" i="2"/>
  <c r="G89" i="2"/>
  <c r="F89" i="2"/>
  <c r="G94" i="2" l="1"/>
  <c r="E94" i="2"/>
  <c r="F94" i="2"/>
  <c r="B51" i="2"/>
  <c r="C51" i="2" s="1"/>
  <c r="D51" i="2" s="1"/>
  <c r="B38" i="2"/>
  <c r="C38" i="2" s="1"/>
  <c r="D38" i="2" s="1"/>
  <c r="B17" i="2"/>
  <c r="C17" i="2" s="1"/>
  <c r="D17" i="2" s="1"/>
  <c r="D36" i="3"/>
  <c r="E36" i="3" s="1"/>
  <c r="F36" i="3" s="1"/>
  <c r="G36" i="3" s="1"/>
  <c r="H36" i="3" s="1"/>
  <c r="I36" i="3" s="1"/>
  <c r="J36" i="3" s="1"/>
  <c r="K36" i="3" s="1"/>
  <c r="L36" i="3" s="1"/>
  <c r="M36" i="3" s="1"/>
  <c r="D26" i="3"/>
  <c r="E26" i="3" s="1"/>
  <c r="F26" i="3" s="1"/>
  <c r="G26" i="3" s="1"/>
  <c r="H26" i="3" s="1"/>
  <c r="I26" i="3" s="1"/>
  <c r="J26" i="3" s="1"/>
  <c r="K26" i="3" s="1"/>
  <c r="L26" i="3" s="1"/>
  <c r="M26" i="3" s="1"/>
  <c r="D16" i="3"/>
  <c r="A15" i="2"/>
  <c r="B12" i="3" s="1"/>
  <c r="D85" i="2"/>
  <c r="G85" i="2"/>
  <c r="B37" i="2"/>
  <c r="F85" i="2"/>
  <c r="B50" i="2"/>
  <c r="A19" i="2"/>
  <c r="B85" i="2"/>
  <c r="E85" i="2"/>
  <c r="F93" i="2" l="1"/>
  <c r="E93" i="2"/>
  <c r="G93" i="2"/>
  <c r="G39" i="2"/>
  <c r="B9" i="5"/>
  <c r="E16" i="3"/>
  <c r="F16" i="3" s="1"/>
  <c r="G16" i="3" s="1"/>
  <c r="H16" i="3" s="1"/>
  <c r="I16" i="3" s="1"/>
  <c r="J16" i="3" s="1"/>
  <c r="K16" i="3" s="1"/>
  <c r="L16" i="3" s="1"/>
  <c r="M16" i="3" s="1"/>
  <c r="A20" i="2"/>
  <c r="A21" i="2"/>
  <c r="B10" i="5" l="1"/>
  <c r="B11" i="5"/>
  <c r="B12" i="2"/>
  <c r="C12" i="2" s="1"/>
  <c r="D12" i="2" s="1"/>
  <c r="B13" i="2"/>
  <c r="A13" i="2" l="1"/>
  <c r="E6" i="5" s="1"/>
  <c r="B8" i="2"/>
  <c r="C8" i="2" s="1"/>
  <c r="D8" i="2" s="1"/>
  <c r="B9" i="2"/>
  <c r="A9" i="2" l="1"/>
  <c r="E4" i="5" s="1"/>
  <c r="A10" i="2"/>
  <c r="E5" i="5" s="1"/>
  <c r="B5" i="2"/>
  <c r="C5" i="2" s="1"/>
  <c r="D5" i="2" s="1"/>
  <c r="B2" i="2"/>
  <c r="C2" i="2" s="1"/>
  <c r="B6" i="2"/>
  <c r="E11" i="3" l="1"/>
  <c r="F11" i="3" s="1"/>
  <c r="G11" i="3" s="1"/>
  <c r="A6" i="2"/>
  <c r="C6" i="5" s="1"/>
  <c r="D2" i="2"/>
  <c r="E76" i="2"/>
  <c r="E72" i="2"/>
  <c r="B3" i="2"/>
  <c r="C17" i="5" l="1"/>
  <c r="B10" i="3" s="1"/>
  <c r="F72" i="2"/>
  <c r="E99" i="2"/>
  <c r="F76" i="2"/>
  <c r="E103" i="2"/>
  <c r="A3" i="2"/>
  <c r="C5" i="5" s="1"/>
  <c r="C28" i="5" s="1"/>
  <c r="B55" i="2"/>
  <c r="C55" i="2" s="1"/>
  <c r="G72" i="2" l="1"/>
  <c r="F99" i="2"/>
  <c r="G76" i="2"/>
  <c r="F103" i="2"/>
  <c r="D55" i="2"/>
  <c r="B49" i="2"/>
  <c r="C49" i="2" s="1"/>
  <c r="D49" i="2" s="1"/>
  <c r="C46" i="2"/>
  <c r="B36" i="2"/>
  <c r="C36" i="2" s="1"/>
  <c r="D36" i="2" s="1"/>
  <c r="D71" i="2"/>
  <c r="G75" i="2"/>
  <c r="D54" i="2"/>
  <c r="D75" i="2"/>
  <c r="C54" i="2"/>
  <c r="B54" i="2"/>
  <c r="G71" i="2"/>
  <c r="B35" i="2"/>
  <c r="B75" i="2"/>
  <c r="B71" i="2"/>
  <c r="F75" i="2"/>
  <c r="C75" i="2"/>
  <c r="F71" i="2"/>
  <c r="E75" i="2"/>
  <c r="E71" i="2"/>
  <c r="C71" i="2"/>
  <c r="F39" i="2" l="1"/>
  <c r="H39" i="2" s="1"/>
  <c r="C4" i="5" s="1"/>
  <c r="F98" i="2"/>
  <c r="F3" i="3" s="1"/>
  <c r="B98" i="2"/>
  <c r="B3" i="3" s="1"/>
  <c r="E98" i="2"/>
  <c r="E3" i="3" s="1"/>
  <c r="C98" i="2"/>
  <c r="C3" i="3" s="1"/>
  <c r="D98" i="2"/>
  <c r="D3" i="3" s="1"/>
  <c r="G98" i="2"/>
  <c r="G3" i="3" s="1"/>
  <c r="B102" i="2"/>
  <c r="B4" i="3" s="1"/>
  <c r="E80" i="2"/>
  <c r="E107" i="2" s="1"/>
  <c r="D102" i="2"/>
  <c r="D4" i="3" s="1"/>
  <c r="C102" i="2"/>
  <c r="C4" i="3" s="1"/>
  <c r="F102" i="2"/>
  <c r="F4" i="3" s="1"/>
  <c r="G80" i="2"/>
  <c r="G107" i="2" s="1"/>
  <c r="E102" i="2"/>
  <c r="E4" i="3" s="1"/>
  <c r="F80" i="2"/>
  <c r="F107" i="2" s="1"/>
  <c r="G102" i="2"/>
  <c r="G4" i="3" s="1"/>
  <c r="G99" i="2"/>
  <c r="G103" i="2"/>
  <c r="C101" i="2"/>
  <c r="C97" i="2"/>
  <c r="D101" i="2"/>
  <c r="D97" i="2"/>
  <c r="B101" i="2"/>
  <c r="B97" i="2"/>
  <c r="C93" i="2"/>
  <c r="D93" i="2"/>
  <c r="B93" i="2"/>
  <c r="C79" i="2"/>
  <c r="D79" i="2"/>
  <c r="D106" i="2" s="1"/>
  <c r="D5" i="3" s="1"/>
  <c r="B79" i="2"/>
  <c r="C78" i="2"/>
  <c r="D78" i="2"/>
  <c r="B78" i="2"/>
  <c r="C92" i="2"/>
  <c r="D92" i="2"/>
  <c r="B92" i="2"/>
  <c r="C88" i="2"/>
  <c r="D88" i="2"/>
  <c r="B88" i="2"/>
  <c r="C84" i="2"/>
  <c r="D84" i="2"/>
  <c r="B84" i="2"/>
  <c r="D2" i="3"/>
  <c r="D48" i="3" s="1"/>
  <c r="D54" i="3" s="1"/>
  <c r="C2" i="3"/>
  <c r="C48" i="3" s="1"/>
  <c r="C54" i="3" s="1"/>
  <c r="B2" i="3"/>
  <c r="B48" i="3" s="1"/>
  <c r="D105" i="2"/>
  <c r="E21" i="5" s="1"/>
  <c r="J21" i="5" s="1"/>
  <c r="C105" i="2"/>
  <c r="D21" i="5" s="1"/>
  <c r="B105" i="2"/>
  <c r="C21" i="5" s="1"/>
  <c r="D74" i="2"/>
  <c r="C74" i="2"/>
  <c r="B74" i="2"/>
  <c r="D70" i="2"/>
  <c r="C70" i="2"/>
  <c r="B70" i="2"/>
  <c r="D53" i="2"/>
  <c r="C53" i="2"/>
  <c r="B53" i="2"/>
  <c r="D46" i="2"/>
  <c r="B43" i="2"/>
  <c r="B42" i="2"/>
  <c r="D43" i="2"/>
  <c r="C43" i="2"/>
  <c r="D42" i="2"/>
  <c r="K21" i="5" l="1"/>
  <c r="L21" i="5" s="1"/>
  <c r="M21" i="5"/>
  <c r="C106" i="2"/>
  <c r="C5" i="3" s="1"/>
  <c r="B106" i="2"/>
  <c r="B5" i="3" s="1"/>
  <c r="B54" i="3"/>
  <c r="G68" i="2"/>
  <c r="G79" i="2" s="1"/>
  <c r="G106" i="2" s="1"/>
  <c r="G5" i="3" s="1"/>
  <c r="F68" i="2"/>
  <c r="F79" i="2" s="1"/>
  <c r="E68" i="2"/>
  <c r="E79" i="2" s="1"/>
  <c r="E106" i="2" s="1"/>
  <c r="E5" i="3" s="1"/>
  <c r="F50" i="3"/>
  <c r="F51" i="3"/>
  <c r="F49" i="3"/>
  <c r="G51" i="3"/>
  <c r="G49" i="3"/>
  <c r="G50" i="3"/>
  <c r="E49" i="3"/>
  <c r="E50" i="3"/>
  <c r="E51" i="3"/>
  <c r="D49" i="3"/>
  <c r="D55" i="3" s="1"/>
  <c r="D50" i="3"/>
  <c r="D56" i="3" s="1"/>
  <c r="D51" i="3"/>
  <c r="D57" i="3" s="1"/>
  <c r="B49" i="3"/>
  <c r="B55" i="3" s="1"/>
  <c r="B51" i="3"/>
  <c r="B57" i="3" s="1"/>
  <c r="B50" i="3"/>
  <c r="B56" i="3" s="1"/>
  <c r="C49" i="3"/>
  <c r="C55" i="3" s="1"/>
  <c r="C51" i="3"/>
  <c r="C57" i="3" s="1"/>
  <c r="C50" i="3"/>
  <c r="C56" i="3" s="1"/>
  <c r="E101" i="2"/>
  <c r="E97" i="2"/>
  <c r="E92" i="2"/>
  <c r="E78" i="2"/>
  <c r="E84" i="2"/>
  <c r="E88" i="2"/>
  <c r="A45" i="2"/>
  <c r="A1" i="3" s="1"/>
  <c r="E22" i="5"/>
  <c r="E105" i="2"/>
  <c r="C24" i="5" s="1"/>
  <c r="E2" i="3"/>
  <c r="E48" i="3" s="1"/>
  <c r="E70" i="2"/>
  <c r="E74" i="2"/>
  <c r="C42" i="2"/>
  <c r="C22" i="5" l="1"/>
  <c r="D22" i="5"/>
  <c r="G47" i="3"/>
  <c r="F47" i="3"/>
  <c r="E47" i="3"/>
  <c r="A54" i="3"/>
  <c r="F106" i="2"/>
  <c r="D25" i="5" s="1"/>
  <c r="C25" i="5"/>
  <c r="E25" i="5"/>
  <c r="F101" i="2"/>
  <c r="F97" i="2"/>
  <c r="F92" i="2"/>
  <c r="F78" i="2"/>
  <c r="F84" i="2"/>
  <c r="F88" i="2"/>
  <c r="F105" i="2"/>
  <c r="D24" i="5" s="1"/>
  <c r="F2" i="3"/>
  <c r="F48" i="3" s="1"/>
  <c r="F70" i="2"/>
  <c r="F74" i="2"/>
  <c r="H22" i="5" l="1"/>
  <c r="G22" i="5"/>
  <c r="AE8" i="5" s="1"/>
  <c r="H21" i="5"/>
  <c r="H47" i="3"/>
  <c r="I47" i="3" s="1"/>
  <c r="J47" i="3" s="1"/>
  <c r="K47" i="3" s="1"/>
  <c r="L47" i="3" s="1"/>
  <c r="M47" i="3" s="1"/>
  <c r="N47" i="3" s="1"/>
  <c r="O47" i="3" s="1"/>
  <c r="P47" i="3" s="1"/>
  <c r="Q47" i="3" s="1"/>
  <c r="F5" i="3"/>
  <c r="AE7" i="5"/>
  <c r="G101" i="2"/>
  <c r="G97" i="2"/>
  <c r="G92" i="2"/>
  <c r="G78" i="2"/>
  <c r="G84" i="2"/>
  <c r="G88" i="2"/>
  <c r="G105" i="2"/>
  <c r="E24" i="5" s="1"/>
  <c r="G2" i="3"/>
  <c r="G48" i="3" s="1"/>
  <c r="G70" i="2"/>
  <c r="G74" i="2"/>
  <c r="B48" i="2"/>
  <c r="F25" i="5" l="1"/>
  <c r="AE6" i="5" s="1"/>
  <c r="D20" i="5" s="1"/>
  <c r="B9" i="3" s="1"/>
  <c r="B7" i="3"/>
  <c r="B8" i="3" s="1"/>
  <c r="B13" i="3" l="1"/>
  <c r="C15" i="3"/>
  <c r="D15" i="3" s="1"/>
  <c r="H48" i="3" s="1"/>
  <c r="B11" i="3"/>
  <c r="C20" i="3"/>
  <c r="E8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E54" i="3" l="1"/>
  <c r="E15" i="3"/>
  <c r="I48" i="3" s="1"/>
  <c r="F54" i="3" s="1"/>
  <c r="C30" i="3"/>
  <c r="F8" i="3" s="1"/>
  <c r="C40" i="3"/>
  <c r="G8" i="3" s="1"/>
  <c r="L37" i="3"/>
  <c r="H37" i="3"/>
  <c r="D37" i="3"/>
  <c r="M37" i="3"/>
  <c r="I37" i="3"/>
  <c r="E37" i="3"/>
  <c r="J37" i="3"/>
  <c r="K37" i="3"/>
  <c r="G37" i="3"/>
  <c r="F37" i="3"/>
  <c r="M27" i="3"/>
  <c r="I27" i="3"/>
  <c r="E27" i="3"/>
  <c r="J27" i="3"/>
  <c r="F27" i="3"/>
  <c r="K27" i="3"/>
  <c r="G27" i="3"/>
  <c r="L27" i="3"/>
  <c r="H27" i="3"/>
  <c r="D27" i="3"/>
  <c r="D17" i="3"/>
  <c r="E17" i="3"/>
  <c r="I17" i="3"/>
  <c r="M17" i="3"/>
  <c r="H17" i="3"/>
  <c r="L17" i="3"/>
  <c r="G17" i="3"/>
  <c r="K17" i="3"/>
  <c r="F17" i="3"/>
  <c r="J17" i="3"/>
  <c r="D18" i="3" l="1"/>
  <c r="F15" i="3"/>
  <c r="J48" i="3" s="1"/>
  <c r="G54" i="3" s="1"/>
  <c r="D28" i="3"/>
  <c r="D38" i="3"/>
  <c r="H50" i="3" l="1"/>
  <c r="D39" i="3"/>
  <c r="H51" i="3"/>
  <c r="D30" i="3"/>
  <c r="E28" i="3" s="1"/>
  <c r="D20" i="3"/>
  <c r="H49" i="3"/>
  <c r="D19" i="3"/>
  <c r="G15" i="3"/>
  <c r="K48" i="3" s="1"/>
  <c r="H54" i="3" s="1"/>
  <c r="D29" i="3"/>
  <c r="D40" i="3"/>
  <c r="E38" i="3" s="1"/>
  <c r="E56" i="3" l="1"/>
  <c r="E55" i="3"/>
  <c r="E57" i="3"/>
  <c r="E18" i="3"/>
  <c r="E39" i="3"/>
  <c r="I51" i="3"/>
  <c r="F57" i="3" s="1"/>
  <c r="E29" i="3"/>
  <c r="I50" i="3"/>
  <c r="F56" i="3" s="1"/>
  <c r="E30" i="3"/>
  <c r="F28" i="3" s="1"/>
  <c r="H15" i="3"/>
  <c r="L48" i="3" s="1"/>
  <c r="I54" i="3" s="1"/>
  <c r="E40" i="3"/>
  <c r="F38" i="3" s="1"/>
  <c r="I49" i="3" l="1"/>
  <c r="E20" i="3"/>
  <c r="E19" i="3"/>
  <c r="F29" i="3"/>
  <c r="J50" i="3"/>
  <c r="G56" i="3" s="1"/>
  <c r="F39" i="3"/>
  <c r="J51" i="3"/>
  <c r="I15" i="3"/>
  <c r="M48" i="3" s="1"/>
  <c r="J54" i="3" s="1"/>
  <c r="F40" i="3"/>
  <c r="F30" i="3"/>
  <c r="G57" i="3" l="1"/>
  <c r="F55" i="3"/>
  <c r="F18" i="3"/>
  <c r="F20" i="3" s="1"/>
  <c r="J15" i="3"/>
  <c r="G38" i="3"/>
  <c r="G28" i="3"/>
  <c r="G18" i="3" l="1"/>
  <c r="J49" i="3"/>
  <c r="F19" i="3"/>
  <c r="G29" i="3"/>
  <c r="K50" i="3"/>
  <c r="G39" i="3"/>
  <c r="K51" i="3"/>
  <c r="K15" i="3"/>
  <c r="N48" i="3"/>
  <c r="G40" i="3"/>
  <c r="G30" i="3"/>
  <c r="K54" i="3" l="1"/>
  <c r="H56" i="3"/>
  <c r="G55" i="3"/>
  <c r="H57" i="3"/>
  <c r="G20" i="3"/>
  <c r="K49" i="3"/>
  <c r="H55" i="3" s="1"/>
  <c r="G19" i="3"/>
  <c r="L15" i="3"/>
  <c r="O48" i="3"/>
  <c r="H38" i="3"/>
  <c r="H28" i="3"/>
  <c r="L54" i="3" l="1"/>
  <c r="H18" i="3"/>
  <c r="H20" i="3" s="1"/>
  <c r="H39" i="3"/>
  <c r="L51" i="3"/>
  <c r="H29" i="3"/>
  <c r="L50" i="3"/>
  <c r="M15" i="3"/>
  <c r="Q48" i="3" s="1"/>
  <c r="P48" i="3"/>
  <c r="M54" i="3" s="1"/>
  <c r="H30" i="3"/>
  <c r="I28" i="3" s="1"/>
  <c r="H40" i="3"/>
  <c r="I57" i="3" l="1"/>
  <c r="I56" i="3"/>
  <c r="N54" i="3"/>
  <c r="I18" i="3"/>
  <c r="M49" i="3" s="1"/>
  <c r="L49" i="3"/>
  <c r="H19" i="3"/>
  <c r="I29" i="3"/>
  <c r="M50" i="3"/>
  <c r="I38" i="3"/>
  <c r="I30" i="3"/>
  <c r="J56" i="3" l="1"/>
  <c r="J55" i="3"/>
  <c r="I55" i="3"/>
  <c r="I20" i="3"/>
  <c r="J18" i="3" s="1"/>
  <c r="I19" i="3"/>
  <c r="I39" i="3"/>
  <c r="M51" i="3"/>
  <c r="I40" i="3"/>
  <c r="J38" i="3" s="1"/>
  <c r="J28" i="3"/>
  <c r="J57" i="3" l="1"/>
  <c r="J39" i="3"/>
  <c r="N51" i="3"/>
  <c r="K57" i="3" s="1"/>
  <c r="J29" i="3"/>
  <c r="N50" i="3"/>
  <c r="J19" i="3"/>
  <c r="N49" i="3"/>
  <c r="J40" i="3"/>
  <c r="J30" i="3"/>
  <c r="J20" i="3"/>
  <c r="K56" i="3" l="1"/>
  <c r="K55" i="3"/>
  <c r="K38" i="3"/>
  <c r="K28" i="3"/>
  <c r="K18" i="3"/>
  <c r="K39" i="3" l="1"/>
  <c r="O51" i="3"/>
  <c r="K29" i="3"/>
  <c r="O50" i="3"/>
  <c r="K19" i="3"/>
  <c r="O49" i="3"/>
  <c r="K40" i="3"/>
  <c r="K30" i="3"/>
  <c r="K20" i="3"/>
  <c r="L55" i="3" l="1"/>
  <c r="L57" i="3"/>
  <c r="L56" i="3"/>
  <c r="L38" i="3"/>
  <c r="L28" i="3"/>
  <c r="L18" i="3"/>
  <c r="L39" i="3" l="1"/>
  <c r="P51" i="3"/>
  <c r="L29" i="3"/>
  <c r="P50" i="3"/>
  <c r="L19" i="3"/>
  <c r="P49" i="3"/>
  <c r="L40" i="3"/>
  <c r="M38" i="3" s="1"/>
  <c r="L30" i="3"/>
  <c r="M28" i="3" s="1"/>
  <c r="L20" i="3"/>
  <c r="M55" i="3" l="1"/>
  <c r="M57" i="3"/>
  <c r="M56" i="3"/>
  <c r="M39" i="3"/>
  <c r="C41" i="3" s="1"/>
  <c r="G9" i="3" s="1"/>
  <c r="Q51" i="3"/>
  <c r="N57" i="3" s="1"/>
  <c r="M29" i="3"/>
  <c r="C31" i="3" s="1"/>
  <c r="F9" i="3" s="1"/>
  <c r="Q50" i="3"/>
  <c r="N56" i="3" s="1"/>
  <c r="M40" i="3"/>
  <c r="M30" i="3"/>
  <c r="M18" i="3"/>
  <c r="C32" i="3" l="1"/>
  <c r="C42" i="3"/>
  <c r="M19" i="3"/>
  <c r="C21" i="3" s="1"/>
  <c r="Q49" i="3"/>
  <c r="N55" i="3" s="1"/>
  <c r="M20" i="3"/>
  <c r="C43" i="3" l="1"/>
  <c r="G10" i="3" s="1"/>
  <c r="C33" i="3"/>
  <c r="F10" i="3" s="1"/>
  <c r="C22" i="3"/>
  <c r="E9" i="3"/>
  <c r="G13" i="3" l="1"/>
  <c r="G31" i="5" s="1"/>
  <c r="G12" i="3"/>
  <c r="F31" i="5" s="1"/>
  <c r="F13" i="3"/>
  <c r="G30" i="5" s="1"/>
  <c r="F12" i="3"/>
  <c r="F30" i="5" s="1"/>
  <c r="C23" i="3"/>
  <c r="E10" i="3" s="1"/>
  <c r="E12" i="3" s="1"/>
  <c r="F29" i="5" s="1"/>
  <c r="F32" i="5" l="1"/>
  <c r="C29" i="5" s="1"/>
  <c r="D29" i="5" s="1"/>
  <c r="E13" i="3"/>
  <c r="G29" i="5" s="1"/>
  <c r="G32" i="5" l="1"/>
  <c r="C30" i="5"/>
  <c r="C31" i="5"/>
</calcChain>
</file>

<file path=xl/sharedStrings.xml><?xml version="1.0" encoding="utf-8"?>
<sst xmlns="http://schemas.openxmlformats.org/spreadsheetml/2006/main" count="1610" uniqueCount="695">
  <si>
    <t>본문 바로가기 메뉴 바로가기</t>
  </si>
  <si>
    <t>상장기업분석</t>
  </si>
  <si>
    <t>열기</t>
  </si>
  <si>
    <t>인쇄</t>
  </si>
  <si>
    <t>기업정보</t>
  </si>
  <si>
    <t>Snapshot기업개요재무제표재무비율투자지표컨센서스</t>
  </si>
  <si>
    <t>지분분석업종분석경쟁사비교거래소공시금감원공시</t>
  </si>
  <si>
    <t>ETF/ETN 정보</t>
  </si>
  <si>
    <t>ETF Snapshot 성과 및 위험분석 ETN Snapshot</t>
  </si>
  <si>
    <t>리포트</t>
  </si>
  <si>
    <t>리포트동향 요약리포트</t>
  </si>
  <si>
    <t>실적속보</t>
  </si>
  <si>
    <t>컨센서스 스크리닝</t>
  </si>
  <si>
    <t>목표주가 괴리율 컨센서스 상/하향 비율 어닝서프라이즈 턴어라운드</t>
  </si>
  <si>
    <t>랭킹 분석</t>
  </si>
  <si>
    <t>업종별 순위 지표별 순위</t>
  </si>
  <si>
    <t>캘린더</t>
  </si>
  <si>
    <t>부가정보</t>
  </si>
  <si>
    <t>신용등급 기업주소록</t>
  </si>
  <si>
    <t>이용안내</t>
  </si>
  <si>
    <t>| 홈페이지</t>
  </si>
  <si>
    <t>홈페이지</t>
  </si>
  <si>
    <t>전화번호</t>
  </si>
  <si>
    <t>주소</t>
  </si>
  <si>
    <t>PER(Price Earning Ratio)</t>
  </si>
  <si>
    <t>전일자 보통주 수정주가 / 최근 결산 EPS(주당순이익)</t>
  </si>
  <si>
    <t>* EPS = 당기순이익 / 수정평균발행주식수</t>
  </si>
  <si>
    <t>PER</t>
  </si>
  <si>
    <t>-</t>
  </si>
  <si>
    <t>12M PER</t>
  </si>
  <si>
    <t>전일자 보통주 수정주가 / 12개월 Forward EPS</t>
  </si>
  <si>
    <t>업종 PER</t>
  </si>
  <si>
    <t>PBR(Price Book-value Ratio)</t>
  </si>
  <si>
    <t>전일자 보통주 수정주가 / 최근 결산기 BPS(주당순자산)</t>
  </si>
  <si>
    <t>* BPS=(지배주주지분-자기주식) / 무상조정기말주식수(우선주 및 자사주 포함)</t>
  </si>
  <si>
    <t>PBR</t>
  </si>
  <si>
    <t>배당수익률</t>
  </si>
  <si>
    <t>{최근 결산기 보통주 DPS(현금, 무상조정) / 전일자 보통주 수정주가} *100</t>
  </si>
  <si>
    <t>3개월1년3년</t>
  </si>
  <si>
    <t>SELLBUY</t>
  </si>
  <si>
    <t>외국인 보유비중 시가총액</t>
  </si>
  <si>
    <t>주가추이, 내부자거래1년</t>
  </si>
  <si>
    <t>주가추이,내부자거래 차트: 자세한 내용은 클릭후 팝업창 참고</t>
  </si>
  <si>
    <t>외국인 보유비중, 시가총액1년</t>
  </si>
  <si>
    <t>외국인 보유비중,시가총액 차트 : 자세한 내용은 클릭후 팝업창 참고</t>
  </si>
  <si>
    <t>상대수익률</t>
  </si>
  <si>
    <t>* 상대수익률은 조회시작일의 값을 100포인트로 변환하여 산출된</t>
  </si>
  <si>
    <t>   값입니다.</t>
  </si>
  <si>
    <t>* 특정일의 상대수익률 포인트는 (특정일의 지수 및 주가/조회 기준</t>
  </si>
  <si>
    <t>   시작점의 지수 및 주가) * 100 입니다.</t>
  </si>
  <si>
    <t>상대수익률1년</t>
  </si>
  <si>
    <t>상대수익률 차트 : 자세한 내용은 클릭후 팝업창 참고</t>
  </si>
  <si>
    <t>시세현황</t>
  </si>
  <si>
    <t>단위 : 원, 주, %</t>
  </si>
  <si>
    <t>종가/ 전일대비</t>
  </si>
  <si>
    <t>거래량</t>
  </si>
  <si>
    <t>52주.최고가/ 최저가</t>
  </si>
  <si>
    <t>거래대금(억원)</t>
  </si>
  <si>
    <t>수익률(1M/ 3M/ 6M/ 1Y)</t>
  </si>
  <si>
    <t>외국인 보유비중</t>
  </si>
  <si>
    <t>시가총액(억원)</t>
  </si>
  <si>
    <t>베타</t>
  </si>
  <si>
    <t>발행주식수(보통주/ 우선주)</t>
  </si>
  <si>
    <t>액면가</t>
  </si>
  <si>
    <t>실적이슈</t>
  </si>
  <si>
    <t>  전년동기대비(%)</t>
  </si>
  <si>
    <t>운용사별 보유 현황</t>
  </si>
  <si>
    <t>단위 : 천주, 억원, %</t>
  </si>
  <si>
    <t>운용사명</t>
  </si>
  <si>
    <t>보유수량</t>
  </si>
  <si>
    <t>시가평가액</t>
  </si>
  <si>
    <t>상장주식수내비중</t>
  </si>
  <si>
    <t>운용사내비중</t>
  </si>
  <si>
    <t>* 컨텐츠의 보유 수량, 상장주식 내 비중, 운용사 내 비중 값은 최근 분기말에 공시한 공모펀드 보고서 기준이며, 보유수량 기준 상위 10위 까지 운용사를 보여줍니다.</t>
  </si>
  <si>
    <t>주주현황</t>
  </si>
  <si>
    <t>단위 : 주, %</t>
  </si>
  <si>
    <t>항목</t>
  </si>
  <si>
    <t>주권의 수</t>
  </si>
  <si>
    <t>지분율</t>
  </si>
  <si>
    <t>최종변동일</t>
  </si>
  <si>
    <t>* 위 내용은 금융감독원 지분공시보고서 기준으로 작성되었으며(단, 자기주식 현황은 별도관리), 주주명은 지분율 상위 5개까지만 보여집니다.</t>
  </si>
  <si>
    <t>* 주식 등의 보유비율이 5%미만이거나, 임원이 아닌 주주는 지분공시보고 제외 대상으로서 표시할 수 없습니다.</t>
  </si>
  <si>
    <t>* 주권의 수 : 의결권이 있는 주식수 (보통주+의결권 있는 우선주)</t>
  </si>
  <si>
    <t>주주구분 현황</t>
  </si>
  <si>
    <t>주주구분</t>
  </si>
  <si>
    <t>대표주주수</t>
  </si>
  <si>
    <t>최대주주등 (본인+특별관계자)</t>
  </si>
  <si>
    <t>10%이상주주 (본인+특별관계자)</t>
  </si>
  <si>
    <t>5%이상주주 (본인+특별관계자)</t>
  </si>
  <si>
    <t>임원 (5%미만 중, 임원인자)</t>
  </si>
  <si>
    <t>자기주식 (자사주+자사주펀드)</t>
  </si>
  <si>
    <t>* 주주 구분자별 지분율은 서로 중복되지 않습니다.</t>
  </si>
  <si>
    <t>신용등급현황 기업어음 (CP)</t>
  </si>
  <si>
    <t>신용등급현황 기업어읍(CP)</t>
  </si>
  <si>
    <t>KIS</t>
  </si>
  <si>
    <t>KR</t>
  </si>
  <si>
    <t>NICE</t>
  </si>
  <si>
    <t>신용등급현황 회사채(Bond)</t>
  </si>
  <si>
    <t>투자의견 컨센서스</t>
  </si>
  <si>
    <t>단위 : 배, 원, %</t>
  </si>
  <si>
    <t>강력매도</t>
  </si>
  <si>
    <t>매도</t>
  </si>
  <si>
    <t>중립</t>
  </si>
  <si>
    <t>매수</t>
  </si>
  <si>
    <t>강력매수</t>
  </si>
  <si>
    <t>투자의견</t>
  </si>
  <si>
    <t>목표주가</t>
  </si>
  <si>
    <t>EPS</t>
  </si>
  <si>
    <t>추정기관수</t>
  </si>
  <si>
    <t>* 1=Sell, 2=U/Weight, 3=Neutral, 4=Buy, 5=S/Buy</t>
  </si>
  <si>
    <t>* EPS, PER 은 FY1에 대한 증권사 평균 추정실적임.</t>
  </si>
  <si>
    <t>투자의견 및 목표주가</t>
  </si>
  <si>
    <t>투자의견,적정주가,수정주가 차트 : 자세한 내용은 클릭후 팝업창 참고</t>
  </si>
  <si>
    <t>투자의견 분포</t>
  </si>
  <si>
    <t xml:space="preserve">관련 데이터가 없습니다. </t>
  </si>
  <si>
    <t>Business Summary</t>
  </si>
  <si>
    <t>업종 비교</t>
  </si>
  <si>
    <t>단위 : 억원, 배, %</t>
  </si>
  <si>
    <t>연결별도</t>
  </si>
  <si>
    <t>구분</t>
  </si>
  <si>
    <t>시가총액</t>
  </si>
  <si>
    <t>매출액</t>
  </si>
  <si>
    <t>영업이익</t>
  </si>
  <si>
    <t>EPS(원)</t>
  </si>
  <si>
    <t>최근결산 보통주 수정가 / 최근결산 EPS</t>
  </si>
  <si>
    <t>EV/EBITDA</t>
  </si>
  <si>
    <t>(시가총액+순차입금)/EBITDA</t>
  </si>
  <si>
    <t>ROE</t>
  </si>
  <si>
    <t>베타(1년)</t>
  </si>
  <si>
    <t>EPSPEREV/EBITDAROE배당수익률</t>
  </si>
  <si>
    <t>PER 차트 : 자세한 내용은 클릭후 팝업창 참고</t>
  </si>
  <si>
    <t>* 직전 회계년도 결산 Data입니다.(단 시가총액은 전일기준임)</t>
  </si>
  <si>
    <t>* 영업이익은 제조업인 경우 영업이익, 금융업인 경우 영업손익입니다.</t>
  </si>
  <si>
    <t>Band Chart</t>
  </si>
  <si>
    <t>PER Band</t>
  </si>
  <si>
    <t>PER 밴드 차트 : 자세한 내용은 클릭후 팝업창 참고</t>
  </si>
  <si>
    <t>PBR Band</t>
  </si>
  <si>
    <t>PBR 밴드 차트 : 자세한 내용은 클릭후 팝업창 참고</t>
  </si>
  <si>
    <t>Financial Highlight</t>
  </si>
  <si>
    <t>단위 : 억원, %, 배, 천주</t>
  </si>
  <si>
    <t>전체연간분기</t>
  </si>
  <si>
    <t>IFRS(연결)</t>
  </si>
  <si>
    <t>Annual</t>
  </si>
  <si>
    <t>Net Quarter</t>
  </si>
  <si>
    <t>당기순이익</t>
  </si>
  <si>
    <t>  지배주주순이익</t>
  </si>
  <si>
    <t>  비지배주주순이익</t>
  </si>
  <si>
    <t>자산총계</t>
  </si>
  <si>
    <t>부채총계</t>
  </si>
  <si>
    <t>자본총계</t>
  </si>
  <si>
    <t>  지배주주지분</t>
  </si>
  <si>
    <t>  비지배주주지분</t>
  </si>
  <si>
    <t>자본금</t>
  </si>
  <si>
    <t>부채비율(%)</t>
  </si>
  <si>
    <t>(총부채 / 총자본) * 100</t>
  </si>
  <si>
    <t>부채비율</t>
  </si>
  <si>
    <t>유보율(%)</t>
  </si>
  <si>
    <t>(유보액 / 자본금) * 100</t>
  </si>
  <si>
    <t>유보율</t>
  </si>
  <si>
    <t>영업이익률(%)</t>
  </si>
  <si>
    <t>(영업이익 / 영업수익) * 100</t>
  </si>
  <si>
    <t>영업이익률</t>
  </si>
  <si>
    <t>지배주주 귀속순이익률(%)</t>
  </si>
  <si>
    <t>(지배주주순이익 / 영업수익) * 100</t>
  </si>
  <si>
    <t>지배주주순이익률</t>
  </si>
  <si>
    <t>ROA(%)</t>
  </si>
  <si>
    <t>(당기순이익(연율화) / 총자산(평균)) * 100</t>
  </si>
  <si>
    <t>ROA</t>
  </si>
  <si>
    <t>ROE(%)</t>
  </si>
  <si>
    <t>(지배주주순이익(연율화) / 지배주주지분(평균)) * 100</t>
  </si>
  <si>
    <t>지배주주순이익 / 수정평균주식수</t>
  </si>
  <si>
    <t>BPS(원)</t>
  </si>
  <si>
    <t>지배주주순자산(자사주차감전) / 수정기말주식수</t>
  </si>
  <si>
    <t>DPS(원)</t>
  </si>
  <si>
    <t>DPS(보통주,현금) * 무상조정수정계수(보통주)</t>
  </si>
  <si>
    <t>PER(배)</t>
  </si>
  <si>
    <t>수정주가(보통주) / 수정EPS</t>
  </si>
  <si>
    <t>PBR(배)</t>
  </si>
  <si>
    <t>수정주가(보통주) / 수정BPS</t>
  </si>
  <si>
    <t>발행주식수</t>
  </si>
  <si>
    <t>배당수익률(%)</t>
  </si>
  <si>
    <t>(배당금(보통주,현금) / 시가총액(보통)) * 100</t>
  </si>
  <si>
    <t>(E) : Estimate</t>
  </si>
  <si>
    <t>컨센서스, 추정치</t>
  </si>
  <si>
    <t>순이익률(%)</t>
  </si>
  <si>
    <t>순이익률</t>
  </si>
  <si>
    <t>* 주가는 해당 결산기일 수정주가 기준이며, EPS, BPS, DPS는 무상증자와 액면변경, 주식배당 등을 감안하여 현재기준으로 과거 Data를 수정 하였습니다.</t>
  </si>
  <si>
    <t>* 연결기업의 순이익, EPS, 순이익률, ROE, BPS, 자본총계는 지배주주귀속순이익과 지배주주지분 기준입니다.</t>
  </si>
  <si>
    <t>* 영업이익률, EBITDA, EBIT, NOPLAT는 조정영업이익 기준입니다.</t>
  </si>
  <si>
    <t>* 자산총액 2조원 미만의 기업은 2012년까지 분기 및 반기 연결재무제표 의무 공시가 유예되므로, 해당 기업의 연결 기준 Net Quarter의 항목은 비어있는 것이 정상입니다.</t>
  </si>
  <si>
    <t>(단, 재무상태표의 경우 4분기 Net Quarter는 공시되는 Annual과 동일함)</t>
  </si>
  <si>
    <t>* 기업이 발표한 잠정실적에 지배주주순이익이 포함되지 않은 경우, EPS는 순이익/ 평균발행주식수로 계산됩니다.</t>
  </si>
  <si>
    <t>* 기업이 Net Quarter기준으로 잠정실적을 공시하지 않은경우, 해당값은 누적기준 잠정실적에서 전분기까지의 실적을 차감하여 산출합니다.</t>
  </si>
  <si>
    <t>투자회사 종목은 금융감독원 전자공시시스템에 사업보고서를 공시하지 않기에, 기업개요 정보를 제공하지 않습니다.</t>
  </si>
  <si>
    <t>fnguide.com</t>
  </si>
  <si>
    <t>FnGuide에서 제공하는 정보는 신뢰할 만한 자료 및 정보로부터 얻어진 것이나 그 정확성이나 완전성을 보장 할 수 없으며, 시간이 경과함에 따라 변경될 수 있습니다. 따라서 정보의 오류, 누락에 대하여 FnGuide 또는FnGuide에 자료를 제공하는 회사에서는 그 결과에 대해 법적인 책임을 지지 않습니다.</t>
  </si>
  <si>
    <t>웹 접근성 우수사이트 인증마크(WA인증마크)</t>
  </si>
  <si>
    <t>캡션</t>
  </si>
  <si>
    <t>헤더</t>
  </si>
  <si>
    <t>내용</t>
  </si>
  <si>
    <t>실적&amp;컨센서스 추이</t>
  </si>
  <si>
    <t>단위 : 억원, 배</t>
  </si>
  <si>
    <t>연간분기</t>
  </si>
  <si>
    <t>조회</t>
  </si>
  <si>
    <t>IFRS (연결) | 연간</t>
  </si>
  <si>
    <t>2018/12(E)</t>
  </si>
  <si>
    <t>매출액계산에 참여한 계정 감추기</t>
  </si>
  <si>
    <t>    전년동기대비(%)</t>
  </si>
  <si>
    <t>    컨센서스대비(%)</t>
  </si>
  <si>
    <t> -</t>
  </si>
  <si>
    <t>영업이익계산에 참여한 계정 감추기</t>
  </si>
  <si>
    <t>당기순이익계산에 참여한 계정 감추기</t>
  </si>
  <si>
    <t>지배주주순이익</t>
  </si>
  <si>
    <t>지배주주지분</t>
  </si>
  <si>
    <t>BPS</t>
  </si>
  <si>
    <t>DPS</t>
  </si>
  <si>
    <t>컨센서스 시계열 추이</t>
  </si>
  <si>
    <t>증권사별 적정주가 &amp; 투자의견</t>
  </si>
  <si>
    <t>단위 : 원, %</t>
  </si>
  <si>
    <t>추정기관</t>
  </si>
  <si>
    <t>추정일자</t>
  </si>
  <si>
    <t>적정주가</t>
  </si>
  <si>
    <t>직전 적정주가</t>
  </si>
  <si>
    <t>증감율</t>
  </si>
  <si>
    <t>직전 투자의견</t>
  </si>
  <si>
    <t>실적&amp;컨센서스 추이 차트 : 자세한 내용은 클릭후 팝업창 참고</t>
  </si>
  <si>
    <t>매출액영업이익지배주주순이익EPSPER12M PER</t>
  </si>
  <si>
    <t>매출액 차트 : 자세한 내용은 클릭후 팝업창 참고</t>
  </si>
  <si>
    <t>제목제목</t>
  </si>
  <si>
    <t>내용내용내용내용내용내용내용내용</t>
  </si>
  <si>
    <t>컨센서스</t>
    <phoneticPr fontId="2" type="noConversion"/>
  </si>
  <si>
    <t>회사이름</t>
    <phoneticPr fontId="2" type="noConversion"/>
  </si>
  <si>
    <t>지배주주지분</t>
    <phoneticPr fontId="2" type="noConversion"/>
  </si>
  <si>
    <t>년도</t>
    <phoneticPr fontId="2" type="noConversion"/>
  </si>
  <si>
    <t>ROE(실적)</t>
    <phoneticPr fontId="2" type="noConversion"/>
  </si>
  <si>
    <t>ROE(추정)</t>
    <phoneticPr fontId="2" type="noConversion"/>
  </si>
  <si>
    <t>지배주주순이익</t>
    <phoneticPr fontId="2" type="noConversion"/>
  </si>
  <si>
    <t>지배주주지분</t>
    <phoneticPr fontId="2" type="noConversion"/>
  </si>
  <si>
    <t>지배주주지분(평균)</t>
    <phoneticPr fontId="2" type="noConversion"/>
  </si>
  <si>
    <t>지배주주지분 순이익</t>
    <phoneticPr fontId="2" type="noConversion"/>
  </si>
  <si>
    <t xml:space="preserve">지배주주지분  </t>
    <phoneticPr fontId="2" type="noConversion"/>
  </si>
  <si>
    <t>ROE</t>
    <phoneticPr fontId="2" type="noConversion"/>
  </si>
  <si>
    <t>최종 데이터</t>
    <phoneticPr fontId="2" type="noConversion"/>
  </si>
  <si>
    <t>현재주가</t>
    <phoneticPr fontId="2" type="noConversion"/>
  </si>
  <si>
    <t>별도 요구수익률</t>
    <phoneticPr fontId="2" type="noConversion"/>
  </si>
  <si>
    <t>적용</t>
  </si>
  <si>
    <t>베타(β)</t>
    <phoneticPr fontId="2" type="noConversion"/>
  </si>
  <si>
    <t>보통주발행주수</t>
    <phoneticPr fontId="2" type="noConversion"/>
  </si>
  <si>
    <t>자기주식</t>
    <phoneticPr fontId="2" type="noConversion"/>
  </si>
  <si>
    <t>최종 적용 할인율</t>
    <phoneticPr fontId="2" type="noConversion"/>
  </si>
  <si>
    <t>우선주발행주수</t>
    <phoneticPr fontId="2" type="noConversion"/>
  </si>
  <si>
    <t>적용</t>
    <phoneticPr fontId="2" type="noConversion"/>
  </si>
  <si>
    <t>미적용</t>
    <phoneticPr fontId="2" type="noConversion"/>
  </si>
  <si>
    <t>요구수익률</t>
    <phoneticPr fontId="2" type="noConversion"/>
  </si>
  <si>
    <t>Spread</t>
    <phoneticPr fontId="2" type="noConversion"/>
  </si>
  <si>
    <t>당기순이익</t>
    <phoneticPr fontId="2" type="noConversion"/>
  </si>
  <si>
    <t>ROE</t>
    <phoneticPr fontId="2" type="noConversion"/>
  </si>
  <si>
    <t>분석일</t>
    <phoneticPr fontId="2" type="noConversion"/>
  </si>
  <si>
    <t>ROE 지속가정</t>
    <phoneticPr fontId="2" type="noConversion"/>
  </si>
  <si>
    <t>감소계수</t>
    <phoneticPr fontId="2" type="noConversion"/>
  </si>
  <si>
    <t>ROE</t>
    <phoneticPr fontId="2" type="noConversion"/>
  </si>
  <si>
    <t>지배주주순이익</t>
    <phoneticPr fontId="2" type="noConversion"/>
  </si>
  <si>
    <t>초과이익</t>
    <phoneticPr fontId="2" type="noConversion"/>
  </si>
  <si>
    <t>지배주주지분</t>
    <phoneticPr fontId="2" type="noConversion"/>
  </si>
  <si>
    <t>PV of RI</t>
    <phoneticPr fontId="2" type="noConversion"/>
  </si>
  <si>
    <t>RIM</t>
    <phoneticPr fontId="2" type="noConversion"/>
  </si>
  <si>
    <t>현재가치</t>
    <phoneticPr fontId="2" type="noConversion"/>
  </si>
  <si>
    <t>ROE 10년지속</t>
    <phoneticPr fontId="2" type="noConversion"/>
  </si>
  <si>
    <t>감소계수</t>
    <phoneticPr fontId="2" type="noConversion"/>
  </si>
  <si>
    <t>ROE</t>
    <phoneticPr fontId="2" type="noConversion"/>
  </si>
  <si>
    <t>지배주주순이익</t>
    <phoneticPr fontId="2" type="noConversion"/>
  </si>
  <si>
    <t>초과이익</t>
    <phoneticPr fontId="2" type="noConversion"/>
  </si>
  <si>
    <t>지배주주지분</t>
    <phoneticPr fontId="2" type="noConversion"/>
  </si>
  <si>
    <t>ROE 5년지속</t>
    <phoneticPr fontId="2" type="noConversion"/>
  </si>
  <si>
    <t>지배주주지분</t>
    <phoneticPr fontId="2" type="noConversion"/>
  </si>
  <si>
    <t>PV of RI</t>
    <phoneticPr fontId="2" type="noConversion"/>
  </si>
  <si>
    <t>기업가치</t>
    <phoneticPr fontId="2" type="noConversion"/>
  </si>
  <si>
    <t>주식수</t>
    <phoneticPr fontId="2" type="noConversion"/>
  </si>
  <si>
    <t>주당가치</t>
    <phoneticPr fontId="2" type="noConversion"/>
  </si>
  <si>
    <t>초과이익 지속</t>
  </si>
  <si>
    <t>초과이익 지속</t>
    <phoneticPr fontId="2" type="noConversion"/>
  </si>
  <si>
    <t>10년 지속</t>
    <phoneticPr fontId="2" type="noConversion"/>
  </si>
  <si>
    <t>5년 지속</t>
    <phoneticPr fontId="2" type="noConversion"/>
  </si>
  <si>
    <t>공인회계사 사경인</t>
    <phoneticPr fontId="2" type="noConversion"/>
  </si>
  <si>
    <t>카페 좋은 기업 발굴하기</t>
    <phoneticPr fontId="2" type="noConversion"/>
  </si>
  <si>
    <t>http://cafe.naver.com/findgoodfirm</t>
    <phoneticPr fontId="2" type="noConversion"/>
  </si>
  <si>
    <t xml:space="preserve">   무위험이자율</t>
    <phoneticPr fontId="2" type="noConversion"/>
  </si>
  <si>
    <t xml:space="preserve">   시장위험프리미엄</t>
    <phoneticPr fontId="2" type="noConversion"/>
  </si>
  <si>
    <t xml:space="preserve">   참고링크</t>
    <phoneticPr fontId="2" type="noConversion"/>
  </si>
  <si>
    <t>기초자료</t>
    <phoneticPr fontId="2" type="noConversion"/>
  </si>
  <si>
    <t>요구수익률</t>
    <phoneticPr fontId="2" type="noConversion"/>
  </si>
  <si>
    <t>회사명</t>
    <phoneticPr fontId="2" type="noConversion"/>
  </si>
  <si>
    <t>Business Summary</t>
    <phoneticPr fontId="2" type="noConversion"/>
  </si>
  <si>
    <t>ROE 추정</t>
    <phoneticPr fontId="2" type="noConversion"/>
  </si>
  <si>
    <t>년도</t>
    <phoneticPr fontId="2" type="noConversion"/>
  </si>
  <si>
    <t>컨센서스</t>
    <phoneticPr fontId="2" type="noConversion"/>
  </si>
  <si>
    <t>초과이익 가정</t>
  </si>
  <si>
    <t>현재주가</t>
  </si>
  <si>
    <t>주당 가치</t>
  </si>
  <si>
    <t>주가</t>
  </si>
  <si>
    <t>매도가격</t>
  </si>
  <si>
    <t>10%씩(10년) 감소</t>
  </si>
  <si>
    <t>매수가격</t>
  </si>
  <si>
    <t>20%씩(5년) 감소</t>
  </si>
  <si>
    <t>PER</t>
    <phoneticPr fontId="2" type="noConversion"/>
  </si>
  <si>
    <t>가중평균</t>
    <phoneticPr fontId="2" type="noConversion"/>
  </si>
  <si>
    <t>지배주주순이익</t>
    <phoneticPr fontId="2" type="noConversion"/>
  </si>
  <si>
    <t>지배주주지분</t>
    <phoneticPr fontId="2" type="noConversion"/>
  </si>
  <si>
    <t>연결</t>
    <phoneticPr fontId="2" type="noConversion"/>
  </si>
  <si>
    <t>ROE(추정)</t>
    <phoneticPr fontId="2" type="noConversion"/>
  </si>
  <si>
    <t>자본총계(평균)</t>
    <phoneticPr fontId="2" type="noConversion"/>
  </si>
  <si>
    <t>별도</t>
    <phoneticPr fontId="2" type="noConversion"/>
  </si>
  <si>
    <t>자본총계</t>
    <phoneticPr fontId="2" type="noConversion"/>
  </si>
  <si>
    <t>통합</t>
    <phoneticPr fontId="2" type="noConversion"/>
  </si>
  <si>
    <t>지배주주지분(평균)</t>
    <phoneticPr fontId="2" type="noConversion"/>
  </si>
  <si>
    <t>최종분기</t>
    <phoneticPr fontId="2" type="noConversion"/>
  </si>
  <si>
    <t>최근</t>
    <phoneticPr fontId="2" type="noConversion"/>
  </si>
  <si>
    <t>별도값</t>
    <phoneticPr fontId="2" type="noConversion"/>
  </si>
  <si>
    <t>1순위</t>
    <phoneticPr fontId="2" type="noConversion"/>
  </si>
  <si>
    <t>RIM 적정주가</t>
    <phoneticPr fontId="2" type="noConversion"/>
  </si>
  <si>
    <t>초과이익 가정</t>
    <phoneticPr fontId="2" type="noConversion"/>
  </si>
  <si>
    <t>할인(할증)률</t>
    <phoneticPr fontId="2" type="noConversion"/>
  </si>
  <si>
    <t>순이익 예측</t>
    <phoneticPr fontId="2" type="noConversion"/>
  </si>
  <si>
    <t>10년 감소</t>
    <phoneticPr fontId="2" type="noConversion"/>
  </si>
  <si>
    <t>5년 감소</t>
    <phoneticPr fontId="2" type="noConversion"/>
  </si>
  <si>
    <t>1순위</t>
    <phoneticPr fontId="2" type="noConversion"/>
  </si>
  <si>
    <t>별도값</t>
    <phoneticPr fontId="2" type="noConversion"/>
  </si>
  <si>
    <t>적정가 대비</t>
    <phoneticPr fontId="2" type="noConversion"/>
  </si>
  <si>
    <t>포괄손익계산서</t>
  </si>
  <si>
    <t>[연간]</t>
  </si>
  <si>
    <t>단위 : 억원</t>
  </si>
  <si>
    <t>주요 재무항목</t>
  </si>
  <si>
    <t>   기타</t>
  </si>
  <si>
    <t>   이자수익</t>
  </si>
  <si>
    <t>   배당금수익</t>
  </si>
  <si>
    <t>   외환이익</t>
  </si>
  <si>
    <t>   대손충당금환입액</t>
  </si>
  <si>
    <t>   매출채권처분이익</t>
  </si>
  <si>
    <t>   금융자산처분이익</t>
  </si>
  <si>
    <t>   금융자산평가이익</t>
  </si>
  <si>
    <t>   금융자산손상차손환입</t>
  </si>
  <si>
    <t>   파생상품이익</t>
  </si>
  <si>
    <t>   기타금융수익</t>
  </si>
  <si>
    <t>금융원가계산에 참여한 계정 펼치기</t>
  </si>
  <si>
    <t>   이자비용</t>
  </si>
  <si>
    <t>   외환손실</t>
  </si>
  <si>
    <t>   대손상각비</t>
  </si>
  <si>
    <t>   매출채권처분손실</t>
  </si>
  <si>
    <t>   금융자산처분손실</t>
  </si>
  <si>
    <t>   금융자산평가손실</t>
  </si>
  <si>
    <t>   금융자산손상차손</t>
  </si>
  <si>
    <t>   파생상품손실</t>
  </si>
  <si>
    <t>   기타금융원가</t>
  </si>
  <si>
    <t>기타수익계산에 참여한 계정 펼치기</t>
  </si>
  <si>
    <t>   재고자산감모손실환입</t>
  </si>
  <si>
    <t>   재고자산폐기(처분)이익</t>
  </si>
  <si>
    <t>   자산처분(폐기)이익</t>
  </si>
  <si>
    <t>   자산평가이익</t>
  </si>
  <si>
    <t>   자산손상차손환입</t>
  </si>
  <si>
    <t>   임대료수익</t>
  </si>
  <si>
    <t>   로열티수익</t>
  </si>
  <si>
    <t>   수수료수익</t>
  </si>
  <si>
    <t>   대손충당금환입</t>
  </si>
  <si>
    <t>   충당부채환입액</t>
  </si>
  <si>
    <t>기타비용계산에 참여한 계정 펼치기</t>
  </si>
  <si>
    <t>   재고자산감모손실</t>
  </si>
  <si>
    <t>   재고자산폐기(처분)손실</t>
  </si>
  <si>
    <t>   자산처분(폐기)손실</t>
  </si>
  <si>
    <t>   자산평가손실</t>
  </si>
  <si>
    <t>   자산손상차손</t>
  </si>
  <si>
    <t>   기타대손상각비</t>
  </si>
  <si>
    <t>   충당부채전입액</t>
  </si>
  <si>
    <t>종속기업,공동지배기업및관계기업관련손익계산에 참여한 계정 펼치기</t>
  </si>
  <si>
    <t>   지분법손익</t>
  </si>
  <si>
    <t>   종속기업,공동지배기업및관계기업투자주식처분손익</t>
  </si>
  <si>
    <t>   종속기업,공동지배기업및관계기업투자주식손상관련손익</t>
  </si>
  <si>
    <t>세전계속사업이익</t>
  </si>
  <si>
    <t>법인세비용</t>
  </si>
  <si>
    <t>계속영업이익</t>
  </si>
  <si>
    <t>중단영업이익</t>
  </si>
  <si>
    <t>   지배주주순이익</t>
  </si>
  <si>
    <t>재무상태표</t>
  </si>
  <si>
    <t>안정성 지표</t>
  </si>
  <si>
    <t>자산</t>
  </si>
  <si>
    <t>   유동자산계산에 참여한 계정 펼치기</t>
  </si>
  <si>
    <t>      재고자산</t>
  </si>
  <si>
    <t>      유동생물자산</t>
  </si>
  <si>
    <t>      유동금융자산</t>
  </si>
  <si>
    <t>      매출채권및기타유동채권</t>
  </si>
  <si>
    <t>      당기법인세자산</t>
  </si>
  <si>
    <t>      기타유동자산</t>
  </si>
  <si>
    <t>      현금및현금성자산</t>
  </si>
  <si>
    <t>      매각예정비유동자산및처분자산집단</t>
  </si>
  <si>
    <t>   비유동자산계산에 참여한 계정 펼치기</t>
  </si>
  <si>
    <t>      유형자산</t>
  </si>
  <si>
    <t>      무형자산</t>
  </si>
  <si>
    <t>      비유동생물자산</t>
  </si>
  <si>
    <t>      투자부동산</t>
  </si>
  <si>
    <t>      장기금융자산</t>
  </si>
  <si>
    <t>      관계기업등지분관련투자자산</t>
  </si>
  <si>
    <t>      장기매출채권및기타비유동채권</t>
  </si>
  <si>
    <t>      이연법인세자산</t>
  </si>
  <si>
    <t>      장기당기법인세자산</t>
  </si>
  <si>
    <t>      기타비유동자산</t>
  </si>
  <si>
    <t>   기타금융업자산</t>
  </si>
  <si>
    <t>부채</t>
  </si>
  <si>
    <t>   유동부채계산에 참여한 계정 펼치기</t>
  </si>
  <si>
    <t>      단기사채</t>
  </si>
  <si>
    <t>      단기차입금</t>
  </si>
  <si>
    <t>      유동성장기부채</t>
  </si>
  <si>
    <t>      유동금융부채</t>
  </si>
  <si>
    <t>      매입채무및기타유동채무</t>
  </si>
  <si>
    <t>      유동종업원급여충당부채</t>
  </si>
  <si>
    <t>      기타단기충당부채</t>
  </si>
  <si>
    <t>      당기법인세부채</t>
  </si>
  <si>
    <t>      기타유동부채</t>
  </si>
  <si>
    <t>      매각예정으로분류된처분자산집단에포함된부채</t>
  </si>
  <si>
    <t>   비유동부채계산에 참여한 계정 펼치기</t>
  </si>
  <si>
    <t>      사채</t>
  </si>
  <si>
    <t>      장기차입금</t>
  </si>
  <si>
    <t>      비유동금융부채</t>
  </si>
  <si>
    <t>      장기매입채무및기타비유동채무</t>
  </si>
  <si>
    <t>      비유동종업원급여충당부채</t>
  </si>
  <si>
    <t>      기타장기충당부채</t>
  </si>
  <si>
    <t>      이연법인세부채</t>
  </si>
  <si>
    <t>      장기당기법인세부채</t>
  </si>
  <si>
    <t>      기타비유동부채</t>
  </si>
  <si>
    <t>   기타금융업부채</t>
  </si>
  <si>
    <t>자본</t>
  </si>
  <si>
    <t>   지배기업주주지분계산에 참여한 계정 펼치기</t>
  </si>
  <si>
    <t>현금흐름표</t>
  </si>
  <si>
    <t>Invested Capital</t>
  </si>
  <si>
    <t>Free Cash Flow</t>
  </si>
  <si>
    <t>영업활동으로인한현금흐름</t>
  </si>
  <si>
    <t>   당기순손익</t>
  </si>
  <si>
    <t>   법인세비용차감전계속사업이익</t>
  </si>
  <si>
    <t>   현금유출이없는비용등가산계산에 참여한 계정 펼치기</t>
  </si>
  <si>
    <t>      퇴직급여</t>
  </si>
  <si>
    <t>      종업원급여</t>
  </si>
  <si>
    <t>      주식보상비</t>
  </si>
  <si>
    <t>      대손상각비</t>
  </si>
  <si>
    <t>      감가상각비</t>
  </si>
  <si>
    <t>      무형자산상각비</t>
  </si>
  <si>
    <t>      충당부채전입액</t>
  </si>
  <si>
    <t>      외환손실</t>
  </si>
  <si>
    <t>      기타의대손상각비</t>
  </si>
  <si>
    <t>      금융원가</t>
  </si>
  <si>
    <t>      이자비용</t>
  </si>
  <si>
    <t>      배당금지급</t>
  </si>
  <si>
    <t>      매출채권처분손실</t>
  </si>
  <si>
    <t>      금융자산처분손실</t>
  </si>
  <si>
    <t>      금융자산평가손실</t>
  </si>
  <si>
    <t>      금융자산손상차손</t>
  </si>
  <si>
    <t>      파생상품손실</t>
  </si>
  <si>
    <t>      금융부채관련손실</t>
  </si>
  <si>
    <t>      사채상환손실</t>
  </si>
  <si>
    <t>      재고자산감모손실</t>
  </si>
  <si>
    <t>      재고자산폐기(처분)손실</t>
  </si>
  <si>
    <t>      자산처분(폐기)손실</t>
  </si>
  <si>
    <t>      투자자산평가손실</t>
  </si>
  <si>
    <t>      자산재평가손실</t>
  </si>
  <si>
    <t>      자산손상차손</t>
  </si>
  <si>
    <t>      지분법관련손실</t>
  </si>
  <si>
    <t>      종속기업관련손실</t>
  </si>
  <si>
    <t>      관계기업관련손익</t>
  </si>
  <si>
    <t>      법인세비용</t>
  </si>
  <si>
    <t>      기타비용</t>
  </si>
  <si>
    <t>   (현금유입이없는수익등차감)계산에 참여한 계정 펼치기</t>
  </si>
  <si>
    <t>      외환이익</t>
  </si>
  <si>
    <t>      대손충당금환입액</t>
  </si>
  <si>
    <t>      금융수익</t>
  </si>
  <si>
    <t>      이자수익</t>
  </si>
  <si>
    <t>      배당금수익</t>
  </si>
  <si>
    <t>      매출채권처분이익</t>
  </si>
  <si>
    <t>      금융자산처분이익</t>
  </si>
  <si>
    <t>      금융자산평가이익</t>
  </si>
  <si>
    <t>      금융자산손상차손환입</t>
  </si>
  <si>
    <t>      파생상품이익</t>
  </si>
  <si>
    <t>      금융부채관련이익</t>
  </si>
  <si>
    <t>      사채상환이익</t>
  </si>
  <si>
    <t>      퇴직급여충당부채환입액</t>
  </si>
  <si>
    <t>      충당부채환입액</t>
  </si>
  <si>
    <t>      주식보상비환입</t>
  </si>
  <si>
    <t>      재고자산감모손실환입</t>
  </si>
  <si>
    <t>      재고자산폐기(처분)이익</t>
  </si>
  <si>
    <t>      자산처분(폐기)이익</t>
  </si>
  <si>
    <t>      투자자산평가이익</t>
  </si>
  <si>
    <t>      자산재평가이익</t>
  </si>
  <si>
    <t>      자산손상차손환입</t>
  </si>
  <si>
    <t>      지분법관련이익</t>
  </si>
  <si>
    <t>      종속회사관련이익</t>
  </si>
  <si>
    <t>      법인세수익</t>
  </si>
  <si>
    <t>      기타수익</t>
  </si>
  <si>
    <t>   영업활동으로인한자산부채변동(운전자본변동)계산에 참여한 계정 펼치기</t>
  </si>
  <si>
    <t>      자산의감소(증가)</t>
  </si>
  <si>
    <t>      부채의증가(감소)</t>
  </si>
  <si>
    <t>      정부보조금등의변동</t>
  </si>
  <si>
    <t>      기타운전자본의변동</t>
  </si>
  <si>
    <t>   *영업에서창출된현금흐름</t>
  </si>
  <si>
    <t>   기타영업활동으로인한현금흐름계산에 참여한 계정 펼치기</t>
  </si>
  <si>
    <t>      이자수입</t>
  </si>
  <si>
    <t>      이자지급(-)</t>
  </si>
  <si>
    <t>      배당금수입</t>
  </si>
  <si>
    <t>      배당금지급(-)</t>
  </si>
  <si>
    <t>      법인세환입</t>
  </si>
  <si>
    <t>      법인세납부(-)</t>
  </si>
  <si>
    <t>      중단영업관련현금흐름</t>
  </si>
  <si>
    <t>투자활동으로인한현금흐름</t>
  </si>
  <si>
    <t>   투자활동으로인한현금유입액계산에 참여한 계정 펼치기</t>
  </si>
  <si>
    <t>      유동금융자산의감소</t>
  </si>
  <si>
    <t>      장기금융상품의감소</t>
  </si>
  <si>
    <t>      매도가능금융자산의감소</t>
  </si>
  <si>
    <t>      만기보유금융자산의감소</t>
  </si>
  <si>
    <t>      장기대여금의감소</t>
  </si>
  <si>
    <t>      파생상품의변동</t>
  </si>
  <si>
    <t>      기타비유동금융자산의감소</t>
  </si>
  <si>
    <t>      관계기업등지분관련투자자산의감소</t>
  </si>
  <si>
    <t>      유형자산의감소</t>
  </si>
  <si>
    <t>      무형자산의감소</t>
  </si>
  <si>
    <t>      생물자산의감소</t>
  </si>
  <si>
    <t>      투자부동산의감소</t>
  </si>
  <si>
    <t>      기타투자활동으로인한현금유입액</t>
  </si>
  <si>
    <t>   (투자활동으로인한현금유출액)계산에 참여한 계정 펼치기</t>
  </si>
  <si>
    <t>      유동금융자산의증가</t>
  </si>
  <si>
    <t>      장기금융상품의증가</t>
  </si>
  <si>
    <t>      매도가능금융자산의증가</t>
  </si>
  <si>
    <t>      만기보유금융자산의증가</t>
  </si>
  <si>
    <t>      장기대여금의증가</t>
  </si>
  <si>
    <t>      기타비유동금융자산의증가</t>
  </si>
  <si>
    <t>      관계기업등지분관련투자자산의증가</t>
  </si>
  <si>
    <t>      유형자산의증가</t>
  </si>
  <si>
    <t>      무형자산의증가</t>
  </si>
  <si>
    <t>      생물자산의증가</t>
  </si>
  <si>
    <t>      투자부동산의증가</t>
  </si>
  <si>
    <t>      기타투자활동으로인한현금유출액</t>
  </si>
  <si>
    <t>   기타투자활동으로인한현금흐름계산에 참여한 계정 펼치기</t>
  </si>
  <si>
    <t>재무활동으로인한현금흐름</t>
  </si>
  <si>
    <t>   재무활동으로인한현금유입액계산에 참여한 계정 펼치기</t>
  </si>
  <si>
    <t>      사채의증가</t>
  </si>
  <si>
    <t>      차입금의증가</t>
  </si>
  <si>
    <t>      미지급금의증가</t>
  </si>
  <si>
    <t>      유동성장기부채의증가</t>
  </si>
  <si>
    <t>      기타금융부채의증가</t>
  </si>
  <si>
    <t>      기타부채의증가</t>
  </si>
  <si>
    <t>      유상증자</t>
  </si>
  <si>
    <t>      자기주식의처분</t>
  </si>
  <si>
    <t>      주식매입선택권의행사</t>
  </si>
  <si>
    <t>      자본구성항목의증가</t>
  </si>
  <si>
    <t>      기타재무활동으로인한현금유입액</t>
  </si>
  <si>
    <t>   (재무활동으로인한현금유출액)계산에 참여한 계정 펼치기</t>
  </si>
  <si>
    <t>      사채의감소</t>
  </si>
  <si>
    <t>      차입금의감소</t>
  </si>
  <si>
    <t>      미지급금의감소</t>
  </si>
  <si>
    <t>      유동성장기부채의감소</t>
  </si>
  <si>
    <t>      기타금융부채의감소</t>
  </si>
  <si>
    <t>      기타부채의감소</t>
  </si>
  <si>
    <t>      유상감자</t>
  </si>
  <si>
    <t>      자기주식의취득</t>
  </si>
  <si>
    <t>      자본구성항목의감소</t>
  </si>
  <si>
    <t>      기타재무활동으로인한현금유출액</t>
  </si>
  <si>
    <t>   기타재무활동으로인한현금흐름계산에 참여한 계정 펼치기</t>
  </si>
  <si>
    <t>영업투자재무활동기타현금흐름</t>
  </si>
  <si>
    <t>연결범위변동으로인한현금의증가</t>
  </si>
  <si>
    <t>환율변동효과</t>
  </si>
  <si>
    <t>현금및현금성자산의증가</t>
  </si>
  <si>
    <t>기초현금및현금성자산</t>
  </si>
  <si>
    <t>기말현금및현금성자산</t>
  </si>
  <si>
    <t>* 재무제표는 요약정보를 수록하고 있습니다.</t>
  </si>
  <si>
    <t>* 자산총액 2조원 미만의 기업은 2013년까지 분기 및 반기 연결재무제표 의무 공시가 유예되므로, 해당 기업의 연결 기준 Net Quarter의 항목은 비어있는 것이 정상입니다. (단, 재무상태표의 경우 4분기 Net Quarter는 공시되는 Annual과 동일함)</t>
  </si>
  <si>
    <t>재무상태표(주요재무항목): 자세한 내용은 클릭후 팝업창 참고</t>
  </si>
  <si>
    <t>재무상태표(안정성지표): 자세한 내용은 클릭후 팝업창 참고</t>
  </si>
  <si>
    <t>현금흐름표(Invested Capital): 자세한 내용은 클릭후 팝업창 참고</t>
  </si>
  <si>
    <t>현금흐름표(Free Cash Flow): 자세한 내용은 클릭후 팝업창 참고</t>
  </si>
  <si>
    <t>4분기 합</t>
    <phoneticPr fontId="2" type="noConversion"/>
  </si>
  <si>
    <t>4분기 평균</t>
    <phoneticPr fontId="2" type="noConversion"/>
  </si>
  <si>
    <t>4분기 ROE</t>
    <phoneticPr fontId="2" type="noConversion"/>
  </si>
  <si>
    <t>1개월전</t>
  </si>
  <si>
    <t>3개월전</t>
  </si>
  <si>
    <t>6개월전</t>
  </si>
  <si>
    <t>1년전</t>
  </si>
  <si>
    <t>적정주가(원)</t>
  </si>
  <si>
    <t>[연결]</t>
  </si>
  <si>
    <t>[연결|전체]</t>
  </si>
  <si>
    <t>IFRS(별도)</t>
  </si>
  <si>
    <t>   비지배주주순이익</t>
  </si>
  <si>
    <t>      자본금</t>
  </si>
  <si>
    <t>      신종자본증권</t>
  </si>
  <si>
    <t>      자본잉여금</t>
  </si>
  <si>
    <t>      기타자본</t>
  </si>
  <si>
    <t>      기타포괄손익누계액</t>
  </si>
  <si>
    <t>      이익잉여금(결손금)</t>
  </si>
  <si>
    <t>   비지배주주지분</t>
  </si>
  <si>
    <t>[연결 | 연간 | 매출액]</t>
  </si>
  <si>
    <t>비지배주주순이익</t>
  </si>
  <si>
    <t>비지배주주지분</t>
  </si>
  <si>
    <t>[연결 | 연간]</t>
  </si>
  <si>
    <t>년도</t>
    <phoneticPr fontId="2" type="noConversion"/>
  </si>
  <si>
    <t>2019/12(E)</t>
  </si>
  <si>
    <t>IFRS(개별)</t>
    <phoneticPr fontId="2" type="noConversion"/>
  </si>
  <si>
    <t>시장대표업종||SUM(구성종목 시가총액)/SUM(구성종목 당기순이익)</t>
  </si>
  <si>
    <t>* 전일자 보통주 시가총액 기준</t>
  </si>
  <si>
    <t>Consensus</t>
  </si>
  <si>
    <t>NH투자증권</t>
  </si>
  <si>
    <t>KB증권</t>
  </si>
  <si>
    <t>2018/03(E)</t>
  </si>
  <si>
    <t>채권수익률</t>
    <phoneticPr fontId="2" type="noConversion"/>
  </si>
  <si>
    <t>[2017/12]</t>
  </si>
  <si>
    <t>2018/06(E)</t>
  </si>
  <si>
    <t>2018/12 | 연간</t>
  </si>
  <si>
    <t>DB금융투자</t>
  </si>
  <si>
    <t>신영증권</t>
  </si>
  <si>
    <t>* 최근결산은 2017/12 (연간) 기준임.</t>
  </si>
  <si>
    <t>* 당기순이익은 최근결산 2017/12 (연간) 기준임.</t>
  </si>
  <si>
    <t>[2018/03 기준, 분기]</t>
  </si>
  <si>
    <t>잠정실적발표예정일</t>
  </si>
  <si>
    <t>예상실적(영업이익, 억원)</t>
  </si>
  <si>
    <t>  3개월전예상실적대비(%)</t>
  </si>
  <si>
    <t>미정</t>
  </si>
  <si>
    <t>삼성자산운용</t>
  </si>
  <si>
    <t>미래에셋자산운용</t>
  </si>
  <si>
    <t>케이비자산운용</t>
  </si>
  <si>
    <t>한화자산운용</t>
  </si>
  <si>
    <t>한국투자신탁운용</t>
  </si>
  <si>
    <t>신영자산운용</t>
  </si>
  <si>
    <t>신한비엔피파리바자산운용</t>
  </si>
  <si>
    <t>교보악사자산운용</t>
  </si>
  <si>
    <t>국민연금공단</t>
  </si>
  <si>
    <t>AA+ [2017/05/31]</t>
  </si>
  <si>
    <t>Buy</t>
  </si>
  <si>
    <t>KOSPI</t>
  </si>
  <si>
    <t>2020/12(E)</t>
  </si>
  <si>
    <t>2018/09(E)</t>
  </si>
  <si>
    <t>흑자전환</t>
  </si>
  <si>
    <t>적자지속</t>
  </si>
  <si>
    <t>흑전</t>
  </si>
  <si>
    <t>흥국증권</t>
  </si>
  <si>
    <t>한국투자증권</t>
  </si>
  <si>
    <t>삼성증권</t>
  </si>
  <si>
    <t>유안타증권</t>
  </si>
  <si>
    <t>하나금융투자</t>
  </si>
  <si>
    <t>키움증권</t>
  </si>
  <si>
    <t>IBK투자증권</t>
  </si>
  <si>
    <t>현대차투자증권</t>
  </si>
  <si>
    <t>신한금융투자</t>
  </si>
  <si>
    <t>미래에셋대우</t>
  </si>
  <si>
    <t>SK증권</t>
  </si>
  <si>
    <t>하이투자증권</t>
  </si>
  <si>
    <t>1순위</t>
  </si>
  <si>
    <t>POSCO</t>
  </si>
  <si>
    <t>http://www.posco.co.kr</t>
  </si>
  <si>
    <t>054-220-0114 | IR 담당자 054)220-0114</t>
  </si>
  <si>
    <t>경북 포항시 남구 동해안로 6261</t>
  </si>
  <si>
    <t>KSE  코스피 철강및금속코스피 철강및금속 |FICS 금속 및 광물|12월 결산</t>
  </si>
  <si>
    <t>POSCO 코스피 철강및금속 KOSPI</t>
  </si>
  <si>
    <t>[2018/03/23]</t>
  </si>
  <si>
    <t>321,500/ -19,000</t>
  </si>
  <si>
    <t>395,000/ 261,500</t>
  </si>
  <si>
    <t>87,186,835/ 0</t>
  </si>
  <si>
    <t>베어링자산운용</t>
  </si>
  <si>
    <t>하나유비에스자산운용</t>
  </si>
  <si>
    <t>POSCO 자사주</t>
  </si>
  <si>
    <t>BlackRock Fund Advisors(외 13인)주주명^지분율(%)||||BlackRock Fund Advisors^1.81||||BlackRock Institutional Trust Company, N.A.^1.29||||Black Rock Asset Management North Asia Limited^1.21||||BlackRock Advisors (UK) Limited^0.73||||Black Rock Investment Management (UK) Limited^0.43</t>
  </si>
  <si>
    <t>강창오</t>
  </si>
  <si>
    <t>권오준</t>
  </si>
  <si>
    <t>관련 데이터가 없습니다.</t>
  </si>
  <si>
    <t>AA+ [2017/05/11]</t>
  </si>
  <si>
    <t>AA+ [2017/06/21]</t>
  </si>
  <si>
    <t>[2017/12/14]</t>
  </si>
  <si>
    <t>실적회복세, 수익성 크게 상승</t>
  </si>
  <si>
    <t>동사는 열연, 냉연, 스테인리스 등 철강재를 단일 사업장 규모로 세계 최대 규모인 포항제철소와 광양제철소에서 생산하고 있음. 현재 영위하는 사업 부문은 크게 철강, 무역, 건설 및 기타 부문이 있으며, 철강 부문이 매출의 51%, 무역 31%, 건설 13%, 기타부문이 5%를 차지하고 있음. 동사의 2016년 3분기 누적 연결 기준 조강 생산량은 3,132만톤, 국내 시장점유율은 54.8%를 차지하고 있으며, 평균가동률은 87.8% 수준임.</t>
  </si>
  <si>
    <t>동사의 2017년 연결 기준 3분기 매출과 영업이익은 45조 577억원, 3조 4,698억원으로 전년동기 대비 각각 18.4%, 46.2% 증가함. 철강부문 판매단가 상승 및 건설경기 개선으로 매출이 상승하였으며, 원가율 하락 및 판관비 축소 영향으로 수익성 또한 크게 향상된 모습. 외환손실 및 순이자비용 감소 등으로 영업외손익 또한 개선되어 당기순이익 또한 지난해 같은 기간 대비 133.3% 증가한 2조 4,136억원을 시현함.</t>
  </si>
  <si>
    <t>코스피 철강및금속</t>
  </si>
  <si>
    <t>차트 감추기차트 보이기</t>
  </si>
  <si>
    <t>성장성 지표</t>
  </si>
  <si>
    <t>전년동기</t>
  </si>
  <si>
    <t>전년동기(%)</t>
  </si>
  <si>
    <t>매출원가</t>
  </si>
  <si>
    <t>매출총이익</t>
  </si>
  <si>
    <t>판매비와관리비계산에 참여한 계정 펼치기</t>
  </si>
  <si>
    <t>   인건비</t>
  </si>
  <si>
    <t>   유무형자산상각비</t>
  </si>
  <si>
    <t>   연구개발비</t>
  </si>
  <si>
    <t>   광고선전비</t>
  </si>
  <si>
    <t>   판매비</t>
  </si>
  <si>
    <t>   관리비</t>
  </si>
  <si>
    <t>   기타원가성비용</t>
  </si>
  <si>
    <t>금융수익계산에 참여한 계정 펼치기</t>
  </si>
  <si>
    <t>손익계산서(주요재무항목): 자세한 내용은 클릭후 팝업창 참고</t>
  </si>
  <si>
    <t>손익계산서(성장성지표): 자세한 내용은 클릭후 팝업창 참고</t>
  </si>
  <si>
    <t>적전</t>
  </si>
  <si>
    <t>적지</t>
  </si>
  <si>
    <t>유진투자증권</t>
  </si>
  <si>
    <t>케이프투자증권</t>
  </si>
  <si>
    <t>대신증권</t>
  </si>
  <si>
    <t>골든브릿지투자증권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</si>
</sst>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₩&quot;#,##0;[Red]\-&quot;₩&quot;#,##0"/>
    <numFmt numFmtId="41" formatCode="_-* #,##0_-;\-* #,##0_-;_-* &quot;-&quot;_-;_-@_-"/>
    <numFmt numFmtId="176" formatCode="_-* #,##0.00_-;\-* #,##0.00_-;_-* &quot;-&quot;_-;_-@_-"/>
    <numFmt numFmtId="177" formatCode="yyyy&quot;/&quot;m"/>
    <numFmt numFmtId="178" formatCode="#,##0_ "/>
    <numFmt numFmtId="179" formatCode="0.00_ "/>
    <numFmt numFmtId="180" formatCode="0.0_ "/>
    <numFmt numFmtId="181" formatCode="0_ "/>
    <numFmt numFmtId="182" formatCode="[Red]\▲\ 0%;[Blue]\▼\ 0%"/>
    <numFmt numFmtId="183" formatCode="0_);[Red]\(0\)"/>
    <numFmt numFmtId="184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b/>
      <sz val="11"/>
      <color theme="3" tint="0.39997558519241921"/>
      <name val="맑은 고딕"/>
      <family val="3"/>
      <charset val="129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41" fontId="0" fillId="2" borderId="1" xfId="1" applyFont="1" applyFill="1" applyBorder="1">
      <alignment vertical="center"/>
    </xf>
    <xf numFmtId="176" fontId="0" fillId="2" borderId="1" xfId="1" applyNumberFormat="1" applyFont="1" applyFill="1" applyBorder="1">
      <alignment vertical="center"/>
    </xf>
    <xf numFmtId="177" fontId="0" fillId="2" borderId="1" xfId="0" applyNumberFormat="1" applyFill="1" applyBorder="1">
      <alignment vertical="center"/>
    </xf>
    <xf numFmtId="10" fontId="0" fillId="2" borderId="1" xfId="2" applyNumberFormat="1" applyFont="1" applyFill="1" applyBorder="1">
      <alignment vertical="center"/>
    </xf>
    <xf numFmtId="177" fontId="0" fillId="2" borderId="2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78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78" fontId="0" fillId="3" borderId="1" xfId="0" applyNumberFormat="1" applyFill="1" applyBorder="1">
      <alignment vertical="center"/>
    </xf>
    <xf numFmtId="10" fontId="0" fillId="3" borderId="1" xfId="0" applyNumberFormat="1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3" fontId="4" fillId="7" borderId="1" xfId="0" applyNumberFormat="1" applyFont="1" applyFill="1" applyBorder="1">
      <alignment vertical="center"/>
    </xf>
    <xf numFmtId="0" fontId="4" fillId="7" borderId="1" xfId="0" applyFont="1" applyFill="1" applyBorder="1">
      <alignment vertical="center"/>
    </xf>
    <xf numFmtId="10" fontId="3" fillId="7" borderId="1" xfId="2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11" fillId="0" borderId="0" xfId="0" applyFont="1">
      <alignment vertical="center"/>
    </xf>
    <xf numFmtId="0" fontId="12" fillId="9" borderId="6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8" borderId="1" xfId="0" applyFont="1" applyFill="1" applyBorder="1">
      <alignment vertical="center"/>
    </xf>
    <xf numFmtId="3" fontId="13" fillId="0" borderId="1" xfId="0" applyNumberFormat="1" applyFont="1" applyBorder="1" applyAlignment="1">
      <alignment horizontal="right" vertical="center" wrapText="1"/>
    </xf>
    <xf numFmtId="3" fontId="12" fillId="0" borderId="1" xfId="0" applyNumberFormat="1" applyFont="1" applyBorder="1" applyAlignment="1">
      <alignment horizontal="right" vertical="center" wrapText="1"/>
    </xf>
    <xf numFmtId="0" fontId="12" fillId="10" borderId="1" xfId="0" applyFont="1" applyFill="1" applyBorder="1">
      <alignment vertical="center"/>
    </xf>
    <xf numFmtId="6" fontId="12" fillId="10" borderId="1" xfId="0" applyNumberFormat="1" applyFont="1" applyFill="1" applyBorder="1">
      <alignment vertical="center"/>
    </xf>
    <xf numFmtId="0" fontId="12" fillId="8" borderId="6" xfId="0" applyFont="1" applyFill="1" applyBorder="1">
      <alignment vertical="center"/>
    </xf>
    <xf numFmtId="10" fontId="12" fillId="0" borderId="1" xfId="2" applyNumberFormat="1" applyFont="1" applyBorder="1" applyAlignment="1">
      <alignment horizontal="right" vertical="center" wrapText="1"/>
    </xf>
    <xf numFmtId="0" fontId="12" fillId="0" borderId="6" xfId="0" applyFont="1" applyBorder="1">
      <alignment vertical="center"/>
    </xf>
    <xf numFmtId="10" fontId="12" fillId="0" borderId="6" xfId="2" applyNumberFormat="1" applyFont="1" applyBorder="1" applyAlignment="1">
      <alignment horizontal="right" vertical="center" wrapText="1"/>
    </xf>
    <xf numFmtId="14" fontId="0" fillId="3" borderId="1" xfId="0" applyNumberFormat="1" applyFill="1" applyBorder="1">
      <alignment vertical="center"/>
    </xf>
    <xf numFmtId="179" fontId="0" fillId="0" borderId="0" xfId="0" applyNumberFormat="1">
      <alignment vertical="center"/>
    </xf>
    <xf numFmtId="177" fontId="12" fillId="8" borderId="1" xfId="0" applyNumberFormat="1" applyFont="1" applyFill="1" applyBorder="1">
      <alignment vertical="center"/>
    </xf>
    <xf numFmtId="0" fontId="12" fillId="0" borderId="0" xfId="0" applyFont="1">
      <alignment vertical="center"/>
    </xf>
    <xf numFmtId="0" fontId="12" fillId="9" borderId="1" xfId="0" applyFont="1" applyFill="1" applyBorder="1">
      <alignment vertical="center"/>
    </xf>
    <xf numFmtId="178" fontId="12" fillId="0" borderId="0" xfId="0" applyNumberFormat="1" applyFont="1">
      <alignment vertical="center"/>
    </xf>
    <xf numFmtId="178" fontId="12" fillId="0" borderId="1" xfId="0" applyNumberFormat="1" applyFont="1" applyBorder="1">
      <alignment vertical="center"/>
    </xf>
    <xf numFmtId="3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178" fontId="5" fillId="11" borderId="1" xfId="0" applyNumberFormat="1" applyFont="1" applyFill="1" applyBorder="1">
      <alignment vertical="center"/>
    </xf>
    <xf numFmtId="3" fontId="4" fillId="7" borderId="9" xfId="0" applyNumberFormat="1" applyFont="1" applyFill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7" fillId="12" borderId="16" xfId="0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6" fillId="13" borderId="23" xfId="0" applyFont="1" applyFill="1" applyBorder="1">
      <alignment vertical="center"/>
    </xf>
    <xf numFmtId="0" fontId="0" fillId="0" borderId="24" xfId="0" applyBorder="1">
      <alignment vertical="center"/>
    </xf>
    <xf numFmtId="0" fontId="0" fillId="2" borderId="25" xfId="0" applyFill="1" applyBorder="1">
      <alignment vertical="center"/>
    </xf>
    <xf numFmtId="0" fontId="3" fillId="2" borderId="25" xfId="0" applyFont="1" applyFill="1" applyBorder="1" applyAlignment="1">
      <alignment vertical="center" wrapText="1"/>
    </xf>
    <xf numFmtId="10" fontId="3" fillId="7" borderId="2" xfId="2" applyNumberFormat="1" applyFont="1" applyFill="1" applyBorder="1">
      <alignment vertical="center"/>
    </xf>
    <xf numFmtId="0" fontId="0" fillId="2" borderId="26" xfId="0" applyFill="1" applyBorder="1">
      <alignment vertical="center"/>
    </xf>
    <xf numFmtId="0" fontId="9" fillId="7" borderId="27" xfId="3" applyFill="1" applyBorder="1" applyAlignment="1" applyProtection="1">
      <alignment horizontal="center" vertical="center"/>
    </xf>
    <xf numFmtId="0" fontId="5" fillId="4" borderId="16" xfId="0" applyFont="1" applyFill="1" applyBorder="1" applyAlignment="1">
      <alignment vertical="center" wrapText="1"/>
    </xf>
    <xf numFmtId="10" fontId="10" fillId="4" borderId="28" xfId="2" applyNumberFormat="1" applyFont="1" applyFill="1" applyBorder="1">
      <alignment vertical="center"/>
    </xf>
    <xf numFmtId="9" fontId="8" fillId="0" borderId="10" xfId="2" applyFont="1" applyBorder="1">
      <alignment vertical="center"/>
    </xf>
    <xf numFmtId="0" fontId="0" fillId="8" borderId="6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7" borderId="13" xfId="0" applyFill="1" applyBorder="1" applyAlignment="1">
      <alignment horizontal="center" vertical="center"/>
    </xf>
    <xf numFmtId="0" fontId="0" fillId="0" borderId="8" xfId="0" applyBorder="1">
      <alignment vertical="center"/>
    </xf>
    <xf numFmtId="3" fontId="4" fillId="7" borderId="30" xfId="0" applyNumberFormat="1" applyFont="1" applyFill="1" applyBorder="1">
      <alignment vertical="center"/>
    </xf>
    <xf numFmtId="180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17" fillId="2" borderId="1" xfId="0" applyFont="1" applyFill="1" applyBorder="1">
      <alignment vertical="center"/>
    </xf>
    <xf numFmtId="41" fontId="18" fillId="2" borderId="1" xfId="1" applyFont="1" applyFill="1" applyBorder="1">
      <alignment vertical="center"/>
    </xf>
    <xf numFmtId="0" fontId="18" fillId="0" borderId="0" xfId="0" applyFont="1">
      <alignment vertical="center"/>
    </xf>
    <xf numFmtId="176" fontId="18" fillId="2" borderId="1" xfId="1" applyNumberFormat="1" applyFont="1" applyFill="1" applyBorder="1">
      <alignment vertical="center"/>
    </xf>
    <xf numFmtId="0" fontId="0" fillId="0" borderId="32" xfId="0" applyBorder="1">
      <alignment vertical="center"/>
    </xf>
    <xf numFmtId="177" fontId="0" fillId="2" borderId="4" xfId="0" applyNumberFormat="1" applyFill="1" applyBorder="1">
      <alignment vertical="center"/>
    </xf>
    <xf numFmtId="0" fontId="0" fillId="2" borderId="3" xfId="0" applyFill="1" applyBorder="1">
      <alignment vertical="center"/>
    </xf>
    <xf numFmtId="176" fontId="0" fillId="2" borderId="4" xfId="1" applyNumberFormat="1" applyFont="1" applyFill="1" applyBorder="1">
      <alignment vertical="center"/>
    </xf>
    <xf numFmtId="10" fontId="0" fillId="2" borderId="4" xfId="2" applyNumberFormat="1" applyFont="1" applyFill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18" fillId="2" borderId="4" xfId="1" applyNumberFormat="1" applyFont="1" applyFill="1" applyBorder="1">
      <alignment vertical="center"/>
    </xf>
    <xf numFmtId="0" fontId="18" fillId="0" borderId="24" xfId="0" applyFont="1" applyBorder="1">
      <alignment vertical="center"/>
    </xf>
    <xf numFmtId="10" fontId="18" fillId="2" borderId="1" xfId="2" applyNumberFormat="1" applyFont="1" applyFill="1" applyBorder="1">
      <alignment vertical="center"/>
    </xf>
    <xf numFmtId="10" fontId="18" fillId="2" borderId="4" xfId="2" applyNumberFormat="1" applyFont="1" applyFill="1" applyBorder="1">
      <alignment vertical="center"/>
    </xf>
    <xf numFmtId="0" fontId="18" fillId="0" borderId="20" xfId="0" applyFont="1" applyBorder="1">
      <alignment vertical="center"/>
    </xf>
    <xf numFmtId="176" fontId="18" fillId="0" borderId="14" xfId="0" applyNumberFormat="1" applyFont="1" applyBorder="1">
      <alignment vertical="center"/>
    </xf>
    <xf numFmtId="176" fontId="18" fillId="0" borderId="15" xfId="0" applyNumberFormat="1" applyFont="1" applyBorder="1">
      <alignment vertical="center"/>
    </xf>
    <xf numFmtId="0" fontId="17" fillId="0" borderId="32" xfId="0" applyFont="1" applyBorder="1">
      <alignment vertical="center"/>
    </xf>
    <xf numFmtId="0" fontId="18" fillId="0" borderId="10" xfId="0" applyFont="1" applyBorder="1">
      <alignment vertical="center"/>
    </xf>
    <xf numFmtId="0" fontId="18" fillId="0" borderId="22" xfId="0" applyFont="1" applyBorder="1">
      <alignment vertical="center"/>
    </xf>
    <xf numFmtId="177" fontId="18" fillId="2" borderId="1" xfId="0" applyNumberFormat="1" applyFont="1" applyFill="1" applyBorder="1">
      <alignment vertical="center"/>
    </xf>
    <xf numFmtId="177" fontId="18" fillId="2" borderId="4" xfId="0" applyNumberFormat="1" applyFont="1" applyFill="1" applyBorder="1">
      <alignment vertical="center"/>
    </xf>
    <xf numFmtId="0" fontId="18" fillId="2" borderId="3" xfId="0" applyFont="1" applyFill="1" applyBorder="1">
      <alignment vertical="center"/>
    </xf>
    <xf numFmtId="0" fontId="18" fillId="0" borderId="0" xfId="0" applyFont="1" applyBorder="1">
      <alignment vertical="center"/>
    </xf>
    <xf numFmtId="0" fontId="18" fillId="0" borderId="5" xfId="0" applyFont="1" applyBorder="1">
      <alignment vertical="center"/>
    </xf>
    <xf numFmtId="10" fontId="0" fillId="0" borderId="6" xfId="0" applyNumberFormat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10" fontId="10" fillId="4" borderId="34" xfId="2" applyNumberFormat="1" applyFont="1" applyFill="1" applyBorder="1">
      <alignment vertical="center"/>
    </xf>
    <xf numFmtId="177" fontId="0" fillId="2" borderId="9" xfId="0" applyNumberForma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10" fontId="0" fillId="0" borderId="13" xfId="0" applyNumberFormat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 wrapText="1"/>
    </xf>
    <xf numFmtId="0" fontId="0" fillId="2" borderId="35" xfId="0" applyFill="1" applyBorder="1">
      <alignment vertical="center"/>
    </xf>
    <xf numFmtId="0" fontId="3" fillId="2" borderId="36" xfId="0" applyFont="1" applyFill="1" applyBorder="1" applyAlignment="1">
      <alignment vertical="center" wrapText="1"/>
    </xf>
    <xf numFmtId="0" fontId="5" fillId="14" borderId="7" xfId="0" applyFont="1" applyFill="1" applyBorder="1" applyAlignment="1">
      <alignment horizontal="center" vertical="center"/>
    </xf>
    <xf numFmtId="0" fontId="0" fillId="8" borderId="37" xfId="0" applyFill="1" applyBorder="1">
      <alignment vertical="center"/>
    </xf>
    <xf numFmtId="0" fontId="0" fillId="8" borderId="37" xfId="0" applyFill="1" applyBorder="1" applyAlignment="1">
      <alignment horizontal="right" vertical="center"/>
    </xf>
    <xf numFmtId="0" fontId="0" fillId="10" borderId="23" xfId="0" applyFill="1" applyBorder="1" applyAlignment="1">
      <alignment horizontal="center" vertical="center"/>
    </xf>
    <xf numFmtId="182" fontId="5" fillId="10" borderId="38" xfId="2" applyNumberFormat="1" applyFont="1" applyFill="1" applyBorder="1" applyAlignment="1">
      <alignment horizontal="center" vertical="center"/>
    </xf>
    <xf numFmtId="0" fontId="6" fillId="6" borderId="39" xfId="0" applyFont="1" applyFill="1" applyBorder="1">
      <alignment vertical="center"/>
    </xf>
    <xf numFmtId="0" fontId="3" fillId="4" borderId="8" xfId="0" applyFont="1" applyFill="1" applyBorder="1" applyAlignment="1">
      <alignment vertical="center" wrapText="1"/>
    </xf>
    <xf numFmtId="0" fontId="3" fillId="4" borderId="12" xfId="0" applyFont="1" applyFill="1" applyBorder="1" applyAlignment="1">
      <alignment vertical="center" wrapText="1"/>
    </xf>
    <xf numFmtId="176" fontId="17" fillId="2" borderId="1" xfId="1" applyNumberFormat="1" applyFont="1" applyFill="1" applyBorder="1">
      <alignment vertical="center"/>
    </xf>
    <xf numFmtId="176" fontId="17" fillId="2" borderId="4" xfId="1" applyNumberFormat="1" applyFont="1" applyFill="1" applyBorder="1">
      <alignment vertical="center"/>
    </xf>
    <xf numFmtId="178" fontId="0" fillId="0" borderId="0" xfId="0" applyNumberFormat="1" applyBorder="1">
      <alignment vertical="center"/>
    </xf>
    <xf numFmtId="0" fontId="3" fillId="4" borderId="40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3" fontId="16" fillId="15" borderId="21" xfId="0" applyNumberFormat="1" applyFont="1" applyFill="1" applyBorder="1">
      <alignment vertical="center"/>
    </xf>
    <xf numFmtId="3" fontId="15" fillId="8" borderId="11" xfId="0" applyNumberFormat="1" applyFont="1" applyFill="1" applyBorder="1">
      <alignment vertical="center"/>
    </xf>
    <xf numFmtId="3" fontId="4" fillId="16" borderId="30" xfId="0" applyNumberFormat="1" applyFont="1" applyFill="1" applyBorder="1">
      <alignment vertical="center"/>
    </xf>
    <xf numFmtId="3" fontId="4" fillId="17" borderId="1" xfId="0" applyNumberFormat="1" applyFont="1" applyFill="1" applyBorder="1">
      <alignment vertical="center"/>
    </xf>
    <xf numFmtId="178" fontId="0" fillId="17" borderId="1" xfId="1" applyNumberFormat="1" applyFont="1" applyFill="1" applyBorder="1">
      <alignment vertical="center"/>
    </xf>
    <xf numFmtId="179" fontId="0" fillId="17" borderId="4" xfId="0" applyNumberFormat="1" applyFill="1" applyBorder="1">
      <alignment vertical="center"/>
    </xf>
    <xf numFmtId="178" fontId="0" fillId="16" borderId="1" xfId="1" applyNumberFormat="1" applyFont="1" applyFill="1" applyBorder="1">
      <alignment vertical="center"/>
    </xf>
    <xf numFmtId="179" fontId="0" fillId="16" borderId="4" xfId="0" applyNumberFormat="1" applyFill="1" applyBorder="1">
      <alignment vertical="center"/>
    </xf>
    <xf numFmtId="178" fontId="3" fillId="15" borderId="1" xfId="1" applyNumberFormat="1" applyFont="1" applyFill="1" applyBorder="1">
      <alignment vertical="center"/>
    </xf>
    <xf numFmtId="179" fontId="3" fillId="15" borderId="29" xfId="0" applyNumberFormat="1" applyFont="1" applyFill="1" applyBorder="1">
      <alignment vertical="center"/>
    </xf>
    <xf numFmtId="0" fontId="19" fillId="0" borderId="0" xfId="0" applyFont="1">
      <alignment vertical="center"/>
    </xf>
    <xf numFmtId="177" fontId="0" fillId="2" borderId="4" xfId="0" applyNumberForma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177" fontId="0" fillId="2" borderId="34" xfId="0" applyNumberFormat="1" applyFill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10" fontId="19" fillId="0" borderId="41" xfId="0" applyNumberFormat="1" applyFont="1" applyBorder="1" applyAlignment="1">
      <alignment horizontal="center" vertical="center"/>
    </xf>
    <xf numFmtId="0" fontId="5" fillId="10" borderId="8" xfId="0" applyFont="1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10" fontId="6" fillId="7" borderId="22" xfId="0" applyNumberFormat="1" applyFont="1" applyFill="1" applyBorder="1" applyAlignment="1">
      <alignment horizontal="right" vertical="center"/>
    </xf>
    <xf numFmtId="0" fontId="20" fillId="0" borderId="0" xfId="0" applyFont="1">
      <alignment vertical="center"/>
    </xf>
    <xf numFmtId="183" fontId="19" fillId="0" borderId="0" xfId="0" applyNumberFormat="1" applyFont="1" applyAlignment="1">
      <alignment horizontal="center" vertical="center"/>
    </xf>
    <xf numFmtId="184" fontId="19" fillId="0" borderId="0" xfId="0" applyNumberFormat="1" applyFont="1">
      <alignment vertical="center"/>
    </xf>
    <xf numFmtId="183" fontId="19" fillId="0" borderId="0" xfId="0" applyNumberFormat="1" applyFont="1">
      <alignment vertical="center"/>
    </xf>
    <xf numFmtId="0" fontId="5" fillId="12" borderId="17" xfId="0" applyFont="1" applyFill="1" applyBorder="1" applyAlignment="1">
      <alignment horizontal="right" vertical="center"/>
    </xf>
    <xf numFmtId="0" fontId="5" fillId="12" borderId="18" xfId="0" applyFont="1" applyFill="1" applyBorder="1" applyAlignment="1">
      <alignment horizontal="right" vertical="center"/>
    </xf>
    <xf numFmtId="0" fontId="14" fillId="12" borderId="17" xfId="3" applyFont="1" applyFill="1" applyBorder="1" applyAlignment="1" applyProtection="1">
      <alignment horizontal="left" vertical="center"/>
    </xf>
    <xf numFmtId="0" fontId="14" fillId="12" borderId="31" xfId="3" applyFont="1" applyFill="1" applyBorder="1" applyAlignment="1" applyProtection="1">
      <alignment horizontal="left" vertical="center"/>
    </xf>
    <xf numFmtId="0" fontId="14" fillId="12" borderId="19" xfId="3" applyFont="1" applyFill="1" applyBorder="1" applyAlignment="1" applyProtection="1">
      <alignment horizontal="left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vertical="center" wrapText="1" shrinkToFit="1"/>
    </xf>
    <xf numFmtId="0" fontId="0" fillId="0" borderId="1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0" fontId="0" fillId="0" borderId="12" xfId="0" applyBorder="1" applyAlignment="1">
      <alignment vertical="center" wrapText="1" shrinkToFit="1"/>
    </xf>
    <xf numFmtId="0" fontId="0" fillId="0" borderId="13" xfId="0" applyBorder="1" applyAlignment="1">
      <alignment vertical="center" wrapText="1" shrinkToFit="1"/>
    </xf>
    <xf numFmtId="0" fontId="0" fillId="0" borderId="21" xfId="0" applyBorder="1" applyAlignment="1">
      <alignment vertical="center" wrapText="1" shrinkToFit="1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5">
    <dxf>
      <font>
        <color theme="1"/>
      </font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ont>
        <b/>
        <i val="0"/>
        <color auto="1"/>
      </font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'RIM 계산'!$A$55</c:f>
              <c:strCache>
                <c:ptCount val="1"/>
                <c:pt idx="0">
                  <c:v>초과이익 지속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800000"/>
              </a:lightRig>
            </a:scene3d>
            <a:sp3d prstMaterial="metal"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scene3d>
                <a:camera prst="orthographicFront"/>
                <a:lightRig rig="threePt" dir="t">
                  <a:rot lat="0" lon="0" rev="1800000"/>
                </a:lightRig>
              </a:scene3d>
              <a:sp3d prstMaterial="metal"/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scene3d>
                <a:camera prst="orthographicFront"/>
                <a:lightRig rig="threePt" dir="t">
                  <a:rot lat="0" lon="0" rev="1800000"/>
                </a:lightRig>
              </a:scene3d>
              <a:sp3d prstMaterial="metal"/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scene3d>
                <a:camera prst="orthographicFront"/>
                <a:lightRig rig="threePt" dir="t">
                  <a:rot lat="0" lon="0" rev="1800000"/>
                </a:lightRig>
              </a:scene3d>
              <a:sp3d prstMaterial="metal"/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'RIM 계산'!$B$54:$N$54</c:f>
              <c:numCache>
                <c:formatCode>yyyy"/"m</c:formatCode>
                <c:ptCount val="13"/>
                <c:pt idx="0">
                  <c:v>41974</c:v>
                </c:pt>
                <c:pt idx="1">
                  <c:v>42339</c:v>
                </c:pt>
                <c:pt idx="2">
                  <c:v>42705</c:v>
                </c:pt>
                <c:pt idx="3">
                  <c:v>43073</c:v>
                </c:pt>
                <c:pt idx="4">
                  <c:v>43438</c:v>
                </c:pt>
                <c:pt idx="5">
                  <c:v>43803</c:v>
                </c:pt>
                <c:pt idx="6">
                  <c:v>44170</c:v>
                </c:pt>
                <c:pt idx="7">
                  <c:v>44535</c:v>
                </c:pt>
                <c:pt idx="8">
                  <c:v>44900</c:v>
                </c:pt>
                <c:pt idx="9">
                  <c:v>45265</c:v>
                </c:pt>
                <c:pt idx="10">
                  <c:v>45630</c:v>
                </c:pt>
                <c:pt idx="11">
                  <c:v>45995</c:v>
                </c:pt>
                <c:pt idx="12">
                  <c:v>46360</c:v>
                </c:pt>
              </c:numCache>
            </c:numRef>
          </c:cat>
          <c:val>
            <c:numRef>
              <c:f>'RIM 계산'!$B$55:$N$55</c:f>
              <c:numCache>
                <c:formatCode>#,##0_ </c:formatCode>
                <c:ptCount val="13"/>
                <c:pt idx="0">
                  <c:v>1806</c:v>
                </c:pt>
                <c:pt idx="1">
                  <c:v>13633</c:v>
                </c:pt>
                <c:pt idx="2">
                  <c:v>27901</c:v>
                </c:pt>
                <c:pt idx="3">
                  <c:v>32386</c:v>
                </c:pt>
                <c:pt idx="4">
                  <c:v>34695</c:v>
                </c:pt>
                <c:pt idx="5">
                  <c:v>38277</c:v>
                </c:pt>
                <c:pt idx="6">
                  <c:v>39205.05605181439</c:v>
                </c:pt>
                <c:pt idx="7">
                  <c:v>42185.558982849296</c:v>
                </c:pt>
                <c:pt idx="8">
                  <c:v>45392.64997717295</c:v>
                </c:pt>
                <c:pt idx="9">
                  <c:v>48843.555037112128</c:v>
                </c:pt>
                <c:pt idx="10">
                  <c:v>52556.809744818129</c:v>
                </c:pt>
                <c:pt idx="11">
                  <c:v>56552.358821020127</c:v>
                </c:pt>
                <c:pt idx="12">
                  <c:v>60851.663252576669</c:v>
                </c:pt>
              </c:numCache>
            </c:numRef>
          </c:val>
        </c:ser>
        <c:ser>
          <c:idx val="1"/>
          <c:order val="1"/>
          <c:tx>
            <c:strRef>
              <c:f>'RIM 계산'!$A$56</c:f>
              <c:strCache>
                <c:ptCount val="1"/>
                <c:pt idx="0">
                  <c:v>10년 감소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'RIM 계산'!$B$54:$N$54</c:f>
              <c:numCache>
                <c:formatCode>yyyy"/"m</c:formatCode>
                <c:ptCount val="13"/>
                <c:pt idx="0">
                  <c:v>41974</c:v>
                </c:pt>
                <c:pt idx="1">
                  <c:v>42339</c:v>
                </c:pt>
                <c:pt idx="2">
                  <c:v>42705</c:v>
                </c:pt>
                <c:pt idx="3">
                  <c:v>43073</c:v>
                </c:pt>
                <c:pt idx="4">
                  <c:v>43438</c:v>
                </c:pt>
                <c:pt idx="5">
                  <c:v>43803</c:v>
                </c:pt>
                <c:pt idx="6">
                  <c:v>44170</c:v>
                </c:pt>
                <c:pt idx="7">
                  <c:v>44535</c:v>
                </c:pt>
                <c:pt idx="8">
                  <c:v>44900</c:v>
                </c:pt>
                <c:pt idx="9">
                  <c:v>45265</c:v>
                </c:pt>
                <c:pt idx="10">
                  <c:v>45630</c:v>
                </c:pt>
                <c:pt idx="11">
                  <c:v>45995</c:v>
                </c:pt>
                <c:pt idx="12">
                  <c:v>46360</c:v>
                </c:pt>
              </c:numCache>
            </c:numRef>
          </c:cat>
          <c:val>
            <c:numRef>
              <c:f>'RIM 계산'!$B$56:$N$56</c:f>
              <c:numCache>
                <c:formatCode>#,##0_ </c:formatCode>
                <c:ptCount val="13"/>
                <c:pt idx="0">
                  <c:v>1806</c:v>
                </c:pt>
                <c:pt idx="1">
                  <c:v>13633</c:v>
                </c:pt>
                <c:pt idx="2">
                  <c:v>27901</c:v>
                </c:pt>
                <c:pt idx="3">
                  <c:v>32386</c:v>
                </c:pt>
                <c:pt idx="4">
                  <c:v>34695</c:v>
                </c:pt>
                <c:pt idx="5">
                  <c:v>38277</c:v>
                </c:pt>
                <c:pt idx="6">
                  <c:v>39714.387676632956</c:v>
                </c:pt>
                <c:pt idx="7">
                  <c:v>43321.391737269267</c:v>
                </c:pt>
                <c:pt idx="8">
                  <c:v>47291.74843967233</c:v>
                </c:pt>
                <c:pt idx="9">
                  <c:v>51665.204015387979</c:v>
                </c:pt>
                <c:pt idx="10">
                  <c:v>56486.158089843942</c:v>
                </c:pt>
                <c:pt idx="11">
                  <c:v>61804.241303230825</c:v>
                </c:pt>
                <c:pt idx="12">
                  <c:v>67674.968413278591</c:v>
                </c:pt>
              </c:numCache>
            </c:numRef>
          </c:val>
        </c:ser>
        <c:ser>
          <c:idx val="2"/>
          <c:order val="2"/>
          <c:tx>
            <c:strRef>
              <c:f>'RIM 계산'!$A$57</c:f>
              <c:strCache>
                <c:ptCount val="1"/>
                <c:pt idx="0">
                  <c:v>5년 감소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</c:dPt>
          <c:dLbls>
            <c:dLbl>
              <c:idx val="1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'RIM 계산'!$B$54:$N$54</c:f>
              <c:numCache>
                <c:formatCode>yyyy"/"m</c:formatCode>
                <c:ptCount val="13"/>
                <c:pt idx="0">
                  <c:v>41974</c:v>
                </c:pt>
                <c:pt idx="1">
                  <c:v>42339</c:v>
                </c:pt>
                <c:pt idx="2">
                  <c:v>42705</c:v>
                </c:pt>
                <c:pt idx="3">
                  <c:v>43073</c:v>
                </c:pt>
                <c:pt idx="4">
                  <c:v>43438</c:v>
                </c:pt>
                <c:pt idx="5">
                  <c:v>43803</c:v>
                </c:pt>
                <c:pt idx="6">
                  <c:v>44170</c:v>
                </c:pt>
                <c:pt idx="7">
                  <c:v>44535</c:v>
                </c:pt>
                <c:pt idx="8">
                  <c:v>44900</c:v>
                </c:pt>
                <c:pt idx="9">
                  <c:v>45265</c:v>
                </c:pt>
                <c:pt idx="10">
                  <c:v>45630</c:v>
                </c:pt>
                <c:pt idx="11">
                  <c:v>45995</c:v>
                </c:pt>
                <c:pt idx="12">
                  <c:v>46360</c:v>
                </c:pt>
              </c:numCache>
            </c:numRef>
          </c:cat>
          <c:val>
            <c:numRef>
              <c:f>'RIM 계산'!$B$57:$N$57</c:f>
              <c:numCache>
                <c:formatCode>#,##0_ </c:formatCode>
                <c:ptCount val="13"/>
                <c:pt idx="0">
                  <c:v>1806</c:v>
                </c:pt>
                <c:pt idx="1">
                  <c:v>13633</c:v>
                </c:pt>
                <c:pt idx="2">
                  <c:v>27901</c:v>
                </c:pt>
                <c:pt idx="3">
                  <c:v>32386</c:v>
                </c:pt>
                <c:pt idx="4">
                  <c:v>34695</c:v>
                </c:pt>
                <c:pt idx="5">
                  <c:v>38277</c:v>
                </c:pt>
                <c:pt idx="6">
                  <c:v>40223.719301451514</c:v>
                </c:pt>
                <c:pt idx="7">
                  <c:v>44459.236670965365</c:v>
                </c:pt>
                <c:pt idx="8">
                  <c:v>49200.760945260532</c:v>
                </c:pt>
                <c:pt idx="9">
                  <c:v>54515.858019191903</c:v>
                </c:pt>
                <c:pt idx="10">
                  <c:v>60481.895787077068</c:v>
                </c:pt>
                <c:pt idx="11">
                  <c:v>65677.29063518699</c:v>
                </c:pt>
                <c:pt idx="12">
                  <c:v>71318.969900749536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30"/>
        <c:axId val="533375232"/>
        <c:axId val="533385216"/>
      </c:barChart>
      <c:catAx>
        <c:axId val="533375232"/>
        <c:scaling>
          <c:orientation val="minMax"/>
        </c:scaling>
        <c:delete val="0"/>
        <c:axPos val="b"/>
        <c:numFmt formatCode="yyyy&quot;/&quot;m" sourceLinked="1"/>
        <c:majorTickMark val="out"/>
        <c:minorTickMark val="none"/>
        <c:tickLblPos val="nextTo"/>
        <c:crossAx val="533385216"/>
        <c:crosses val="autoZero"/>
        <c:auto val="0"/>
        <c:lblAlgn val="ctr"/>
        <c:lblOffset val="100"/>
        <c:noMultiLvlLbl val="0"/>
      </c:catAx>
      <c:valAx>
        <c:axId val="53338521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533375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34</xdr:row>
      <xdr:rowOff>19050</xdr:rowOff>
    </xdr:from>
    <xdr:to>
      <xdr:col>6</xdr:col>
      <xdr:colOff>1171574</xdr:colOff>
      <xdr:row>48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cafe.naver.com/findgoodfirm" TargetMode="External"/><Relationship Id="rId1" Type="http://schemas.openxmlformats.org/officeDocument/2006/relationships/hyperlink" Target="http://www.kisrating.com/ratingsStatistics/statics_spread.d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39997558519241921"/>
  </sheetPr>
  <dimension ref="A1:S689"/>
  <sheetViews>
    <sheetView workbookViewId="0">
      <selection sqref="A1:I689"/>
    </sheetView>
  </sheetViews>
  <sheetFormatPr defaultRowHeight="16.5"/>
  <cols>
    <col min="1" max="1" width="30.625" customWidth="1"/>
    <col min="2" max="9" width="12.625" customWidth="1"/>
    <col min="10" max="10" width="3.625" style="138" customWidth="1"/>
  </cols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648</v>
      </c>
    </row>
    <row r="27" spans="1:1">
      <c r="A27">
        <v>5490</v>
      </c>
    </row>
    <row r="29" spans="1:1">
      <c r="A29" t="s">
        <v>20</v>
      </c>
    </row>
    <row r="31" spans="1:1">
      <c r="A31" t="s">
        <v>21</v>
      </c>
    </row>
    <row r="32" spans="1:1">
      <c r="A32" t="s">
        <v>649</v>
      </c>
    </row>
    <row r="34" spans="1:1">
      <c r="A34" t="s">
        <v>22</v>
      </c>
    </row>
    <row r="36" spans="1:1">
      <c r="A36" t="s">
        <v>22</v>
      </c>
    </row>
    <row r="37" spans="1:1">
      <c r="A37" t="s">
        <v>650</v>
      </c>
    </row>
    <row r="39" spans="1:1">
      <c r="A39" t="s">
        <v>23</v>
      </c>
    </row>
    <row r="41" spans="1:1">
      <c r="A41" t="s">
        <v>23</v>
      </c>
    </row>
    <row r="42" spans="1:1">
      <c r="A42" t="s">
        <v>651</v>
      </c>
    </row>
    <row r="44" spans="1:1">
      <c r="A44" t="s">
        <v>652</v>
      </c>
    </row>
    <row r="46" spans="1:1">
      <c r="A46" t="s">
        <v>24</v>
      </c>
    </row>
    <row r="47" spans="1:1">
      <c r="A47" t="s">
        <v>25</v>
      </c>
    </row>
    <row r="48" spans="1:1">
      <c r="A48" t="s">
        <v>26</v>
      </c>
    </row>
    <row r="49" spans="1:1">
      <c r="A49" t="s">
        <v>611</v>
      </c>
    </row>
    <row r="50" spans="1:1">
      <c r="A50" t="s">
        <v>27</v>
      </c>
    </row>
    <row r="51" spans="1:1">
      <c r="A51">
        <v>10.050000000000001</v>
      </c>
    </row>
    <row r="53" spans="1:1">
      <c r="A53" t="s">
        <v>29</v>
      </c>
    </row>
    <row r="54" spans="1:1">
      <c r="A54" t="s">
        <v>30</v>
      </c>
    </row>
    <row r="55" spans="1:1">
      <c r="A55" t="s">
        <v>29</v>
      </c>
    </row>
    <row r="56" spans="1:1">
      <c r="A56">
        <v>8.5</v>
      </c>
    </row>
    <row r="58" spans="1:1">
      <c r="A58" t="s">
        <v>31</v>
      </c>
    </row>
    <row r="59" spans="1:1">
      <c r="A59" t="s">
        <v>599</v>
      </c>
    </row>
    <row r="60" spans="1:1">
      <c r="A60" t="s">
        <v>600</v>
      </c>
    </row>
    <row r="61" spans="1:1">
      <c r="A61" t="s">
        <v>612</v>
      </c>
    </row>
    <row r="62" spans="1:1">
      <c r="A62" t="s">
        <v>31</v>
      </c>
    </row>
    <row r="63" spans="1:1">
      <c r="A63">
        <v>14.39</v>
      </c>
    </row>
    <row r="65" spans="1:1">
      <c r="A65" t="s">
        <v>32</v>
      </c>
    </row>
    <row r="66" spans="1:1">
      <c r="A66" t="s">
        <v>33</v>
      </c>
    </row>
    <row r="67" spans="1:1">
      <c r="A67" t="s">
        <v>34</v>
      </c>
    </row>
    <row r="68" spans="1:1">
      <c r="A68" t="s">
        <v>611</v>
      </c>
    </row>
    <row r="69" spans="1:1">
      <c r="A69" t="s">
        <v>35</v>
      </c>
    </row>
    <row r="70" spans="1:1">
      <c r="A70">
        <v>0.62</v>
      </c>
    </row>
    <row r="72" spans="1:1">
      <c r="A72" t="s">
        <v>36</v>
      </c>
    </row>
    <row r="73" spans="1:1">
      <c r="A73" t="s">
        <v>37</v>
      </c>
    </row>
    <row r="74" spans="1:1">
      <c r="A74" t="s">
        <v>611</v>
      </c>
    </row>
    <row r="75" spans="1:1">
      <c r="A75" t="s">
        <v>36</v>
      </c>
    </row>
    <row r="76" spans="1:1">
      <c r="A76" s="1">
        <v>2.4899999999999999E-2</v>
      </c>
    </row>
    <row r="78" spans="1:1">
      <c r="A78" t="s">
        <v>38</v>
      </c>
    </row>
    <row r="80" spans="1:1">
      <c r="A80" t="s">
        <v>39</v>
      </c>
    </row>
    <row r="82" spans="1:11">
      <c r="A82" t="s">
        <v>40</v>
      </c>
    </row>
    <row r="84" spans="1:11">
      <c r="A84" t="s">
        <v>653</v>
      </c>
    </row>
    <row r="86" spans="1:11">
      <c r="A86" t="s">
        <v>41</v>
      </c>
      <c r="K86" s="2"/>
    </row>
    <row r="88" spans="1:11">
      <c r="A88" s="2">
        <v>321500</v>
      </c>
    </row>
    <row r="89" spans="1:11">
      <c r="A89" t="s">
        <v>42</v>
      </c>
    </row>
    <row r="91" spans="1:11">
      <c r="A91" t="s">
        <v>43</v>
      </c>
    </row>
    <row r="93" spans="1:11">
      <c r="A93">
        <v>57.5</v>
      </c>
    </row>
    <row r="94" spans="1:11">
      <c r="A94" t="s">
        <v>44</v>
      </c>
    </row>
    <row r="97" spans="1:14">
      <c r="A97" t="s">
        <v>45</v>
      </c>
    </row>
    <row r="98" spans="1:14">
      <c r="A98" t="s">
        <v>46</v>
      </c>
    </row>
    <row r="99" spans="1:14">
      <c r="A99" t="s">
        <v>47</v>
      </c>
    </row>
    <row r="100" spans="1:14">
      <c r="A100" t="s">
        <v>48</v>
      </c>
    </row>
    <row r="101" spans="1:14">
      <c r="A101" t="s">
        <v>49</v>
      </c>
    </row>
    <row r="103" spans="1:14">
      <c r="A103" t="s">
        <v>50</v>
      </c>
    </row>
    <row r="105" spans="1:14">
      <c r="A105">
        <v>14.41</v>
      </c>
    </row>
    <row r="106" spans="1:14">
      <c r="A106" t="s">
        <v>51</v>
      </c>
    </row>
    <row r="108" spans="1:14">
      <c r="A108" t="s">
        <v>52</v>
      </c>
    </row>
    <row r="110" spans="1:14">
      <c r="A110" t="s">
        <v>654</v>
      </c>
    </row>
    <row r="111" spans="1:14">
      <c r="A111" t="s">
        <v>53</v>
      </c>
      <c r="N111" s="2"/>
    </row>
    <row r="112" spans="1:14">
      <c r="A112" t="s">
        <v>52</v>
      </c>
    </row>
    <row r="113" spans="1:14">
      <c r="A113" t="s">
        <v>54</v>
      </c>
      <c r="B113" t="s">
        <v>655</v>
      </c>
      <c r="C113" t="s">
        <v>55</v>
      </c>
      <c r="D113" s="2">
        <v>450499</v>
      </c>
    </row>
    <row r="114" spans="1:14">
      <c r="A114" t="s">
        <v>56</v>
      </c>
      <c r="B114" t="s">
        <v>656</v>
      </c>
      <c r="C114" t="s">
        <v>57</v>
      </c>
      <c r="D114" s="2">
        <v>1469</v>
      </c>
      <c r="L114" s="2"/>
    </row>
    <row r="115" spans="1:14">
      <c r="A115" t="s">
        <v>58</v>
      </c>
      <c r="B115">
        <f>-11.31/ -4.6/ 4.89/ 14.41</f>
        <v>3.4892487638156208E-2</v>
      </c>
      <c r="C115" t="s">
        <v>59</v>
      </c>
      <c r="D115">
        <v>57.5</v>
      </c>
      <c r="N115" s="2"/>
    </row>
    <row r="116" spans="1:14">
      <c r="A116" t="s">
        <v>60</v>
      </c>
      <c r="B116" s="2">
        <v>280306</v>
      </c>
      <c r="C116" t="s">
        <v>61</v>
      </c>
      <c r="D116">
        <v>0.77937999999999996</v>
      </c>
    </row>
    <row r="117" spans="1:14">
      <c r="A117" t="s">
        <v>62</v>
      </c>
      <c r="B117" t="s">
        <v>657</v>
      </c>
      <c r="C117" t="s">
        <v>63</v>
      </c>
      <c r="D117" s="2">
        <v>5000</v>
      </c>
    </row>
    <row r="119" spans="1:14">
      <c r="A119" t="s">
        <v>64</v>
      </c>
    </row>
    <row r="121" spans="1:14">
      <c r="A121" t="s">
        <v>613</v>
      </c>
    </row>
    <row r="122" spans="1:14">
      <c r="A122" t="s">
        <v>64</v>
      </c>
      <c r="K122" s="3"/>
    </row>
    <row r="123" spans="1:14">
      <c r="A123" t="s">
        <v>614</v>
      </c>
      <c r="B123" t="s">
        <v>615</v>
      </c>
      <c r="C123" t="s">
        <v>616</v>
      </c>
      <c r="D123" t="s">
        <v>65</v>
      </c>
    </row>
    <row r="124" spans="1:14">
      <c r="A124" s="3" t="s">
        <v>617</v>
      </c>
      <c r="B124" s="2">
        <v>13415</v>
      </c>
      <c r="C124">
        <v>4.29</v>
      </c>
      <c r="D124">
        <v>-1.72</v>
      </c>
    </row>
    <row r="126" spans="1:14">
      <c r="A126" t="s">
        <v>66</v>
      </c>
    </row>
    <row r="128" spans="1:14">
      <c r="A128" t="s">
        <v>606</v>
      </c>
    </row>
    <row r="129" spans="1:14">
      <c r="A129" t="s">
        <v>67</v>
      </c>
    </row>
    <row r="130" spans="1:14">
      <c r="A130" t="s">
        <v>66</v>
      </c>
    </row>
    <row r="131" spans="1:14">
      <c r="A131" t="s">
        <v>68</v>
      </c>
      <c r="B131" t="s">
        <v>69</v>
      </c>
      <c r="C131" t="s">
        <v>70</v>
      </c>
      <c r="D131" t="s">
        <v>71</v>
      </c>
      <c r="E131" t="s">
        <v>72</v>
      </c>
    </row>
    <row r="132" spans="1:14">
      <c r="A132" t="s">
        <v>618</v>
      </c>
      <c r="B132" s="4">
        <v>855.26</v>
      </c>
      <c r="C132" s="4">
        <v>2843.75</v>
      </c>
      <c r="D132">
        <v>0.98</v>
      </c>
      <c r="E132">
        <v>0.87</v>
      </c>
    </row>
    <row r="133" spans="1:14">
      <c r="A133" t="s">
        <v>619</v>
      </c>
      <c r="B133">
        <v>635.45000000000005</v>
      </c>
      <c r="C133" s="4">
        <v>2112.87</v>
      </c>
      <c r="D133">
        <v>0.73</v>
      </c>
      <c r="E133">
        <v>0.7</v>
      </c>
    </row>
    <row r="134" spans="1:14">
      <c r="A134" t="s">
        <v>622</v>
      </c>
      <c r="B134">
        <v>213.7</v>
      </c>
      <c r="C134" s="4">
        <v>710.56</v>
      </c>
      <c r="D134">
        <v>0.25</v>
      </c>
      <c r="E134">
        <v>0.65</v>
      </c>
    </row>
    <row r="135" spans="1:14">
      <c r="A135" t="s">
        <v>620</v>
      </c>
      <c r="B135">
        <v>210.15</v>
      </c>
      <c r="C135" s="4">
        <v>698.76</v>
      </c>
      <c r="D135">
        <v>0.24</v>
      </c>
      <c r="E135">
        <v>0.43</v>
      </c>
    </row>
    <row r="136" spans="1:14">
      <c r="A136" t="s">
        <v>623</v>
      </c>
      <c r="B136">
        <v>187.33</v>
      </c>
      <c r="C136" s="4">
        <v>622.88</v>
      </c>
      <c r="D136">
        <v>0.21</v>
      </c>
      <c r="E136">
        <v>0.84</v>
      </c>
    </row>
    <row r="137" spans="1:14">
      <c r="A137" t="s">
        <v>658</v>
      </c>
      <c r="B137">
        <v>134.52000000000001</v>
      </c>
      <c r="C137" s="4">
        <v>447.29</v>
      </c>
      <c r="D137">
        <v>0.15</v>
      </c>
      <c r="E137">
        <v>3.59</v>
      </c>
    </row>
    <row r="138" spans="1:14">
      <c r="A138" t="s">
        <v>621</v>
      </c>
      <c r="B138">
        <v>131.85</v>
      </c>
      <c r="C138" s="4">
        <v>438.41</v>
      </c>
      <c r="D138">
        <v>0.15</v>
      </c>
      <c r="E138">
        <v>0.64</v>
      </c>
    </row>
    <row r="139" spans="1:14">
      <c r="A139" t="s">
        <v>625</v>
      </c>
      <c r="B139">
        <v>125.95</v>
      </c>
      <c r="C139" s="4">
        <v>418.77</v>
      </c>
      <c r="D139">
        <v>0.14000000000000001</v>
      </c>
      <c r="E139">
        <v>0.9</v>
      </c>
    </row>
    <row r="140" spans="1:14">
      <c r="A140" t="s">
        <v>659</v>
      </c>
      <c r="B140" s="2">
        <v>107.26</v>
      </c>
      <c r="C140" s="4">
        <v>356.65</v>
      </c>
      <c r="D140" s="3">
        <v>0.12</v>
      </c>
      <c r="E140">
        <v>0.37</v>
      </c>
      <c r="L140" s="2"/>
      <c r="N140" s="3"/>
    </row>
    <row r="141" spans="1:14">
      <c r="A141" t="s">
        <v>624</v>
      </c>
      <c r="B141" s="2">
        <v>105.1</v>
      </c>
      <c r="C141" s="4">
        <v>349.47</v>
      </c>
      <c r="D141" s="3">
        <v>0.12</v>
      </c>
      <c r="E141">
        <v>0.27</v>
      </c>
      <c r="L141" s="2"/>
      <c r="N141" s="3"/>
    </row>
    <row r="142" spans="1:14">
      <c r="B142" s="2"/>
      <c r="D142" s="3"/>
    </row>
    <row r="143" spans="1:14">
      <c r="A143" t="s">
        <v>73</v>
      </c>
      <c r="B143" s="2"/>
      <c r="D143" s="3"/>
    </row>
    <row r="144" spans="1:14">
      <c r="B144" s="2"/>
      <c r="D144" s="3"/>
    </row>
    <row r="145" spans="1:15">
      <c r="A145" t="s">
        <v>74</v>
      </c>
      <c r="B145" s="2"/>
      <c r="D145" s="3"/>
    </row>
    <row r="146" spans="1:15">
      <c r="B146" s="2"/>
      <c r="D146" s="3"/>
    </row>
    <row r="147" spans="1:15">
      <c r="A147" t="s">
        <v>75</v>
      </c>
      <c r="B147" s="2"/>
      <c r="D147" s="3"/>
    </row>
    <row r="148" spans="1:15">
      <c r="A148" t="s">
        <v>74</v>
      </c>
      <c r="B148" s="2"/>
      <c r="D148" s="3"/>
      <c r="L148" s="2"/>
      <c r="N148" s="3"/>
    </row>
    <row r="149" spans="1:15">
      <c r="A149" t="s">
        <v>76</v>
      </c>
      <c r="B149" s="2" t="s">
        <v>77</v>
      </c>
      <c r="C149" t="s">
        <v>78</v>
      </c>
      <c r="D149" s="3" t="s">
        <v>79</v>
      </c>
      <c r="L149" s="2"/>
      <c r="N149" s="3"/>
    </row>
    <row r="150" spans="1:15">
      <c r="A150" t="s">
        <v>626</v>
      </c>
      <c r="B150" s="2">
        <v>9660885</v>
      </c>
      <c r="C150">
        <v>11.08</v>
      </c>
      <c r="D150" s="3">
        <v>43097</v>
      </c>
    </row>
    <row r="151" spans="1:15">
      <c r="A151" t="s">
        <v>660</v>
      </c>
      <c r="B151" s="2">
        <v>7187161</v>
      </c>
      <c r="C151">
        <v>8.24</v>
      </c>
      <c r="D151" s="3">
        <v>43122</v>
      </c>
    </row>
    <row r="152" spans="1:15">
      <c r="A152" t="s">
        <v>661</v>
      </c>
      <c r="B152" s="2">
        <v>5421650</v>
      </c>
      <c r="C152" s="2">
        <v>6.22</v>
      </c>
      <c r="D152" s="3">
        <v>43003</v>
      </c>
      <c r="E152" s="3"/>
      <c r="M152" s="2"/>
      <c r="O152" s="3"/>
    </row>
    <row r="153" spans="1:15">
      <c r="A153" t="s">
        <v>662</v>
      </c>
      <c r="B153" s="2">
        <v>5201</v>
      </c>
      <c r="C153">
        <v>0.01</v>
      </c>
      <c r="D153" s="3">
        <v>38120</v>
      </c>
    </row>
    <row r="154" spans="1:15">
      <c r="A154" t="s">
        <v>663</v>
      </c>
      <c r="B154" s="2">
        <v>2448</v>
      </c>
      <c r="C154" s="2">
        <v>0</v>
      </c>
      <c r="D154" s="3">
        <v>43174</v>
      </c>
      <c r="E154" s="3"/>
    </row>
    <row r="155" spans="1:15">
      <c r="E155" s="3"/>
    </row>
    <row r="156" spans="1:15">
      <c r="A156" t="s">
        <v>80</v>
      </c>
      <c r="E156" s="3"/>
      <c r="M156" s="2"/>
      <c r="O156" s="3"/>
    </row>
    <row r="157" spans="1:15">
      <c r="A157" t="s">
        <v>81</v>
      </c>
      <c r="C157" s="2"/>
      <c r="E157" s="3"/>
    </row>
    <row r="158" spans="1:15">
      <c r="A158" t="s">
        <v>82</v>
      </c>
      <c r="C158" s="2"/>
      <c r="E158" s="3"/>
    </row>
    <row r="159" spans="1:15">
      <c r="C159" s="2"/>
      <c r="E159" s="3"/>
    </row>
    <row r="160" spans="1:15">
      <c r="A160" t="s">
        <v>83</v>
      </c>
      <c r="M160" s="2"/>
      <c r="O160" s="3"/>
    </row>
    <row r="161" spans="1:15">
      <c r="C161" s="2"/>
      <c r="E161" s="3"/>
    </row>
    <row r="162" spans="1:15">
      <c r="A162" t="s">
        <v>75</v>
      </c>
      <c r="C162" s="2"/>
      <c r="E162" s="3"/>
    </row>
    <row r="163" spans="1:15">
      <c r="A163" t="s">
        <v>74</v>
      </c>
      <c r="C163" s="2"/>
      <c r="E163" s="3"/>
    </row>
    <row r="164" spans="1:15" ht="16.5" customHeight="1">
      <c r="A164" t="s">
        <v>84</v>
      </c>
      <c r="B164" t="s">
        <v>85</v>
      </c>
      <c r="C164" s="2" t="s">
        <v>77</v>
      </c>
      <c r="D164" t="s">
        <v>78</v>
      </c>
      <c r="E164" s="3" t="s">
        <v>79</v>
      </c>
      <c r="M164" s="2"/>
      <c r="O164" s="3"/>
    </row>
    <row r="165" spans="1:15">
      <c r="A165" t="s">
        <v>86</v>
      </c>
      <c r="B165">
        <v>1</v>
      </c>
      <c r="C165" s="2">
        <v>9660885</v>
      </c>
      <c r="D165">
        <v>11.08</v>
      </c>
      <c r="E165" s="3">
        <v>43097</v>
      </c>
    </row>
    <row r="166" spans="1:15">
      <c r="A166" t="s">
        <v>87</v>
      </c>
      <c r="C166" s="2"/>
      <c r="E166" s="3"/>
    </row>
    <row r="167" spans="1:15">
      <c r="A167" t="s">
        <v>88</v>
      </c>
      <c r="B167">
        <v>1</v>
      </c>
      <c r="C167" s="2">
        <v>5421650</v>
      </c>
      <c r="D167">
        <v>6.21</v>
      </c>
      <c r="E167" s="3">
        <v>43003</v>
      </c>
    </row>
    <row r="168" spans="1:15">
      <c r="A168" t="s">
        <v>89</v>
      </c>
      <c r="B168">
        <v>84</v>
      </c>
      <c r="C168" s="2">
        <v>31305</v>
      </c>
      <c r="D168">
        <v>0</v>
      </c>
      <c r="E168" s="3">
        <v>43175</v>
      </c>
    </row>
    <row r="169" spans="1:15">
      <c r="A169" t="s">
        <v>90</v>
      </c>
      <c r="B169">
        <v>1</v>
      </c>
      <c r="C169" s="2">
        <v>7187161</v>
      </c>
      <c r="D169">
        <v>8.24</v>
      </c>
      <c r="E169" s="3">
        <v>43122</v>
      </c>
    </row>
    <row r="170" spans="1:15" ht="16.5" customHeight="1"/>
    <row r="171" spans="1:15">
      <c r="A171" t="s">
        <v>91</v>
      </c>
    </row>
    <row r="172" spans="1:15" ht="16.5" customHeight="1"/>
    <row r="173" spans="1:15">
      <c r="A173" t="s">
        <v>92</v>
      </c>
    </row>
    <row r="175" spans="1:15">
      <c r="A175" t="s">
        <v>93</v>
      </c>
    </row>
    <row r="176" spans="1:15">
      <c r="A176" t="s">
        <v>94</v>
      </c>
      <c r="B176" t="s">
        <v>95</v>
      </c>
      <c r="C176" t="s">
        <v>96</v>
      </c>
    </row>
    <row r="177" spans="1:3">
      <c r="A177" t="s">
        <v>664</v>
      </c>
    </row>
    <row r="178" spans="1:3" ht="16.5" customHeight="1"/>
    <row r="179" spans="1:3">
      <c r="A179" t="s">
        <v>97</v>
      </c>
    </row>
    <row r="181" spans="1:3">
      <c r="A181" t="s">
        <v>74</v>
      </c>
    </row>
    <row r="182" spans="1:3">
      <c r="A182" t="s">
        <v>94</v>
      </c>
      <c r="B182" t="s">
        <v>95</v>
      </c>
      <c r="C182" t="s">
        <v>96</v>
      </c>
    </row>
    <row r="183" spans="1:3">
      <c r="A183" t="s">
        <v>627</v>
      </c>
      <c r="B183" t="s">
        <v>665</v>
      </c>
      <c r="C183" t="s">
        <v>666</v>
      </c>
    </row>
    <row r="184" spans="1:3" ht="16.5" customHeight="1"/>
    <row r="185" spans="1:3">
      <c r="A185" t="s">
        <v>98</v>
      </c>
    </row>
    <row r="187" spans="1:3">
      <c r="A187" t="s">
        <v>654</v>
      </c>
    </row>
    <row r="188" spans="1:3">
      <c r="A188" t="s">
        <v>99</v>
      </c>
    </row>
    <row r="190" spans="1:3">
      <c r="A190" t="s">
        <v>628</v>
      </c>
    </row>
    <row r="192" spans="1:3">
      <c r="A192">
        <v>3.9</v>
      </c>
    </row>
    <row r="194" spans="1:13">
      <c r="A194" t="s">
        <v>100</v>
      </c>
      <c r="B194" s="2"/>
      <c r="C194" s="2"/>
    </row>
    <row r="195" spans="1:13">
      <c r="A195" t="s">
        <v>101</v>
      </c>
    </row>
    <row r="196" spans="1:13">
      <c r="A196" t="s">
        <v>102</v>
      </c>
      <c r="B196" s="2"/>
      <c r="C196" s="2"/>
    </row>
    <row r="197" spans="1:13">
      <c r="A197" t="s">
        <v>103</v>
      </c>
      <c r="L197" s="2"/>
      <c r="M197" s="2"/>
    </row>
    <row r="198" spans="1:13">
      <c r="A198" t="s">
        <v>104</v>
      </c>
      <c r="B198" s="2"/>
      <c r="C198" s="2"/>
    </row>
    <row r="199" spans="1:13">
      <c r="B199" s="2"/>
      <c r="C199" s="2"/>
    </row>
    <row r="200" spans="1:13">
      <c r="A200" t="s">
        <v>74</v>
      </c>
    </row>
    <row r="201" spans="1:13">
      <c r="A201" t="s">
        <v>105</v>
      </c>
      <c r="B201" s="2" t="s">
        <v>106</v>
      </c>
      <c r="C201" s="2" t="s">
        <v>107</v>
      </c>
      <c r="D201" t="s">
        <v>27</v>
      </c>
      <c r="E201" t="s">
        <v>108</v>
      </c>
    </row>
    <row r="202" spans="1:13">
      <c r="A202">
        <v>3.9</v>
      </c>
      <c r="B202" s="2">
        <v>459500</v>
      </c>
      <c r="C202" s="2">
        <v>37146</v>
      </c>
      <c r="D202">
        <v>8.6999999999999993</v>
      </c>
      <c r="E202">
        <v>20</v>
      </c>
    </row>
    <row r="204" spans="1:13">
      <c r="A204" t="s">
        <v>109</v>
      </c>
    </row>
    <row r="205" spans="1:13">
      <c r="A205" t="s">
        <v>110</v>
      </c>
    </row>
    <row r="207" spans="1:13">
      <c r="A207" t="s">
        <v>111</v>
      </c>
    </row>
    <row r="209" spans="1:14">
      <c r="A209" t="s">
        <v>112</v>
      </c>
    </row>
    <row r="211" spans="1:14">
      <c r="A211" t="s">
        <v>113</v>
      </c>
    </row>
    <row r="213" spans="1:14">
      <c r="A213" t="s">
        <v>114</v>
      </c>
      <c r="B213" s="2"/>
      <c r="C213" s="2"/>
      <c r="D213" s="2"/>
      <c r="M213" s="2"/>
      <c r="N213" s="2"/>
    </row>
    <row r="214" spans="1:14">
      <c r="C214" s="2"/>
      <c r="D214" s="2"/>
      <c r="M214" s="2"/>
      <c r="N214" s="2"/>
    </row>
    <row r="215" spans="1:14">
      <c r="A215" t="s">
        <v>115</v>
      </c>
      <c r="B215" s="2"/>
      <c r="C215" s="2"/>
      <c r="D215" s="2"/>
      <c r="M215" s="2"/>
      <c r="N215" s="2"/>
    </row>
    <row r="216" spans="1:14">
      <c r="C216" s="2"/>
      <c r="D216" s="4"/>
      <c r="N216" s="4"/>
    </row>
    <row r="217" spans="1:14">
      <c r="A217" t="s">
        <v>667</v>
      </c>
      <c r="C217" s="2"/>
      <c r="D217" s="2"/>
    </row>
    <row r="218" spans="1:14">
      <c r="C218" s="4"/>
      <c r="D218" s="4"/>
    </row>
    <row r="219" spans="1:14">
      <c r="A219" t="s">
        <v>668</v>
      </c>
      <c r="B219" s="2"/>
      <c r="C219" s="2"/>
      <c r="D219" s="2"/>
    </row>
    <row r="220" spans="1:14">
      <c r="B220" s="2"/>
      <c r="C220" s="2"/>
      <c r="D220" s="2"/>
    </row>
    <row r="221" spans="1:14">
      <c r="A221" t="s">
        <v>669</v>
      </c>
      <c r="C221" s="2"/>
      <c r="D221" s="2"/>
    </row>
    <row r="222" spans="1:14">
      <c r="A222" t="s">
        <v>670</v>
      </c>
      <c r="B222" s="2"/>
      <c r="D222" s="4"/>
    </row>
    <row r="223" spans="1:14">
      <c r="B223" s="2"/>
      <c r="C223" s="2"/>
      <c r="D223" s="2"/>
    </row>
    <row r="224" spans="1:14">
      <c r="A224" t="s">
        <v>116</v>
      </c>
      <c r="C224" s="2"/>
      <c r="D224" s="2"/>
    </row>
    <row r="225" spans="1:14">
      <c r="B225" s="2"/>
      <c r="C225" s="2"/>
      <c r="D225" s="2"/>
    </row>
    <row r="226" spans="1:14">
      <c r="A226" t="s">
        <v>581</v>
      </c>
      <c r="B226" s="2"/>
      <c r="C226" s="2"/>
      <c r="D226" s="4"/>
      <c r="L226" s="2"/>
      <c r="M226" s="2"/>
      <c r="N226" s="2"/>
    </row>
    <row r="227" spans="1:14">
      <c r="A227" t="s">
        <v>117</v>
      </c>
      <c r="B227" s="2"/>
      <c r="C227" s="2"/>
      <c r="D227" s="2"/>
      <c r="L227" s="2"/>
      <c r="M227" s="2"/>
      <c r="N227" s="2"/>
    </row>
    <row r="228" spans="1:14">
      <c r="A228" t="s">
        <v>118</v>
      </c>
      <c r="B228" s="2"/>
      <c r="C228" s="2"/>
      <c r="D228" s="2"/>
      <c r="L228" s="2"/>
      <c r="M228" s="2"/>
      <c r="N228" s="2"/>
    </row>
    <row r="229" spans="1:14">
      <c r="A229" t="s">
        <v>116</v>
      </c>
      <c r="B229" s="2"/>
      <c r="C229" s="2"/>
      <c r="D229" s="2"/>
      <c r="L229" s="2"/>
      <c r="M229" s="4"/>
      <c r="N229" s="4"/>
    </row>
    <row r="230" spans="1:14">
      <c r="A230" t="s">
        <v>119</v>
      </c>
      <c r="B230" s="2" t="s">
        <v>648</v>
      </c>
      <c r="C230" s="2" t="s">
        <v>671</v>
      </c>
      <c r="D230" s="2" t="s">
        <v>629</v>
      </c>
    </row>
    <row r="231" spans="1:14">
      <c r="A231" t="s">
        <v>120</v>
      </c>
      <c r="B231" s="2">
        <v>280306</v>
      </c>
      <c r="C231" s="2">
        <v>534201</v>
      </c>
      <c r="D231" s="2">
        <v>16097948</v>
      </c>
    </row>
    <row r="232" spans="1:14">
      <c r="A232" t="s">
        <v>121</v>
      </c>
      <c r="B232" s="2">
        <v>606551</v>
      </c>
      <c r="C232" s="2">
        <v>1050165</v>
      </c>
      <c r="D232" s="2">
        <v>20106622</v>
      </c>
      <c r="M232" s="2"/>
      <c r="N232" s="2"/>
    </row>
    <row r="233" spans="1:14">
      <c r="A233" t="s">
        <v>122</v>
      </c>
      <c r="B233" s="2">
        <v>46218</v>
      </c>
      <c r="C233" s="2">
        <v>64585</v>
      </c>
      <c r="D233" s="2">
        <v>1490782</v>
      </c>
      <c r="M233" s="2"/>
      <c r="N233" s="2"/>
    </row>
    <row r="234" spans="1:14">
      <c r="A234" t="s">
        <v>123</v>
      </c>
      <c r="B234" s="2">
        <v>32001</v>
      </c>
      <c r="C234" s="4">
        <v>6376.8</v>
      </c>
      <c r="D234" s="4">
        <v>4787.76</v>
      </c>
      <c r="M234" s="2"/>
      <c r="N234" s="2"/>
    </row>
    <row r="235" spans="1:14">
      <c r="A235" t="s">
        <v>27</v>
      </c>
      <c r="B235">
        <v>10.39</v>
      </c>
      <c r="C235" s="2">
        <v>13.45</v>
      </c>
      <c r="D235" s="4">
        <v>13.16</v>
      </c>
      <c r="N235" s="4"/>
    </row>
    <row r="236" spans="1:14">
      <c r="A236" t="s">
        <v>124</v>
      </c>
      <c r="C236" s="2"/>
      <c r="D236" s="2"/>
    </row>
    <row r="237" spans="1:14">
      <c r="D237" s="4"/>
    </row>
    <row r="238" spans="1:14">
      <c r="A238" t="s">
        <v>27</v>
      </c>
      <c r="B238" s="2"/>
      <c r="C238" s="2"/>
      <c r="D238" s="2"/>
    </row>
    <row r="239" spans="1:14">
      <c r="A239" t="s">
        <v>125</v>
      </c>
      <c r="B239" s="2">
        <v>5.5</v>
      </c>
      <c r="C239" s="2">
        <v>7.16</v>
      </c>
      <c r="D239" s="2">
        <v>6.67</v>
      </c>
    </row>
    <row r="240" spans="1:14">
      <c r="A240" t="s">
        <v>126</v>
      </c>
      <c r="C240" s="2"/>
      <c r="D240" s="2"/>
    </row>
    <row r="241" spans="1:14">
      <c r="D241" s="4"/>
    </row>
    <row r="242" spans="1:14">
      <c r="A242" t="s">
        <v>125</v>
      </c>
      <c r="B242" s="2"/>
      <c r="C242" s="2"/>
      <c r="D242" s="2"/>
    </row>
    <row r="243" spans="1:14">
      <c r="A243" t="s">
        <v>127</v>
      </c>
      <c r="B243">
        <v>6.48</v>
      </c>
      <c r="C243" s="2">
        <v>4.7</v>
      </c>
      <c r="D243" s="2">
        <v>7.64</v>
      </c>
    </row>
    <row r="244" spans="1:14">
      <c r="A244" t="s">
        <v>36</v>
      </c>
      <c r="B244" s="2">
        <v>2.41</v>
      </c>
      <c r="C244" s="2">
        <v>2.1</v>
      </c>
      <c r="D244" s="2">
        <v>1.65</v>
      </c>
    </row>
    <row r="245" spans="1:14">
      <c r="A245" t="s">
        <v>128</v>
      </c>
      <c r="B245" s="2">
        <v>0.7</v>
      </c>
      <c r="C245" s="2">
        <v>1.31</v>
      </c>
      <c r="D245" s="4">
        <v>1</v>
      </c>
      <c r="L245" s="2"/>
      <c r="M245" s="2"/>
      <c r="N245" s="2"/>
    </row>
    <row r="246" spans="1:14">
      <c r="A246" t="s">
        <v>129</v>
      </c>
      <c r="B246" s="2"/>
      <c r="C246" s="2"/>
      <c r="D246" s="2"/>
      <c r="L246" s="2"/>
      <c r="M246" s="2"/>
      <c r="N246" s="2"/>
    </row>
    <row r="247" spans="1:14">
      <c r="A247" t="s">
        <v>130</v>
      </c>
      <c r="B247" s="2"/>
      <c r="C247" s="2"/>
      <c r="D247" s="2"/>
      <c r="L247" s="2"/>
      <c r="M247" s="2"/>
      <c r="N247" s="2"/>
    </row>
    <row r="248" spans="1:14">
      <c r="A248" t="s">
        <v>116</v>
      </c>
      <c r="B248" s="2"/>
      <c r="C248" s="2"/>
      <c r="D248" s="2"/>
      <c r="L248" s="2"/>
      <c r="M248" s="4"/>
      <c r="N248" s="4"/>
    </row>
    <row r="249" spans="1:14">
      <c r="A249" t="s">
        <v>119</v>
      </c>
      <c r="B249" s="2" t="s">
        <v>648</v>
      </c>
      <c r="C249" s="2" t="s">
        <v>671</v>
      </c>
      <c r="D249" s="2" t="s">
        <v>629</v>
      </c>
    </row>
    <row r="250" spans="1:14">
      <c r="A250" t="s">
        <v>120</v>
      </c>
      <c r="B250" s="2">
        <v>280306</v>
      </c>
      <c r="C250" s="2">
        <v>534201</v>
      </c>
      <c r="D250" s="2">
        <v>16097948</v>
      </c>
    </row>
    <row r="251" spans="1:14">
      <c r="A251" t="s">
        <v>121</v>
      </c>
      <c r="B251" s="2">
        <v>285538</v>
      </c>
      <c r="C251" s="2">
        <v>656318</v>
      </c>
      <c r="D251" s="2">
        <v>12269785</v>
      </c>
    </row>
    <row r="252" spans="1:14">
      <c r="A252" t="s">
        <v>122</v>
      </c>
      <c r="B252" s="2">
        <v>29025</v>
      </c>
      <c r="C252" s="2">
        <v>57376</v>
      </c>
      <c r="D252" s="2">
        <v>827459</v>
      </c>
    </row>
    <row r="253" spans="1:14">
      <c r="A253" t="s">
        <v>123</v>
      </c>
      <c r="B253" s="2">
        <v>29198</v>
      </c>
      <c r="C253" s="4">
        <v>6603.79</v>
      </c>
      <c r="D253" s="4">
        <v>3069.37</v>
      </c>
    </row>
    <row r="254" spans="1:14">
      <c r="A254" t="s">
        <v>27</v>
      </c>
      <c r="B254">
        <v>11.39</v>
      </c>
      <c r="C254">
        <v>12.99</v>
      </c>
      <c r="D254">
        <v>20.53</v>
      </c>
    </row>
    <row r="255" spans="1:14">
      <c r="A255" t="s">
        <v>125</v>
      </c>
      <c r="B255">
        <v>5.7</v>
      </c>
      <c r="C255">
        <v>6.56</v>
      </c>
      <c r="D255">
        <v>9.75</v>
      </c>
    </row>
    <row r="256" spans="1:14">
      <c r="A256" t="s">
        <v>127</v>
      </c>
      <c r="B256">
        <v>5.64</v>
      </c>
      <c r="C256">
        <v>4.8099999999999996</v>
      </c>
      <c r="D256">
        <v>5.66</v>
      </c>
    </row>
    <row r="257" spans="1:18">
      <c r="A257" t="s">
        <v>36</v>
      </c>
      <c r="B257">
        <v>2.41</v>
      </c>
      <c r="C257">
        <v>2.1</v>
      </c>
      <c r="D257">
        <v>1.65</v>
      </c>
    </row>
    <row r="258" spans="1:18">
      <c r="A258" t="s">
        <v>128</v>
      </c>
      <c r="B258">
        <v>0.7</v>
      </c>
      <c r="C258">
        <v>1.31</v>
      </c>
      <c r="D258">
        <v>1</v>
      </c>
    </row>
    <row r="259" spans="1:18">
      <c r="A259" t="s">
        <v>129</v>
      </c>
    </row>
    <row r="260" spans="1:18">
      <c r="A260" t="s">
        <v>130</v>
      </c>
    </row>
    <row r="262" spans="1:18">
      <c r="A262" t="s">
        <v>131</v>
      </c>
    </row>
    <row r="263" spans="1:18">
      <c r="A263" t="s">
        <v>132</v>
      </c>
    </row>
    <row r="265" spans="1:18">
      <c r="A265" t="s">
        <v>133</v>
      </c>
    </row>
    <row r="267" spans="1:18">
      <c r="A267" t="s">
        <v>581</v>
      </c>
    </row>
    <row r="268" spans="1:18" ht="16.5" customHeight="1">
      <c r="A268" t="s">
        <v>117</v>
      </c>
    </row>
    <row r="269" spans="1:18">
      <c r="A269" t="s">
        <v>118</v>
      </c>
      <c r="B269" s="5"/>
      <c r="C269" s="5"/>
      <c r="D269" s="5"/>
      <c r="F269" s="5"/>
      <c r="G269" s="5"/>
      <c r="H269" s="5"/>
      <c r="L269" s="5"/>
      <c r="M269" s="5"/>
      <c r="N269" s="5"/>
      <c r="P269" s="5"/>
      <c r="Q269" s="5"/>
      <c r="R269" s="5"/>
    </row>
    <row r="271" spans="1:18">
      <c r="A271" t="s">
        <v>134</v>
      </c>
      <c r="B271" s="5"/>
      <c r="C271" s="5"/>
      <c r="D271" s="5"/>
      <c r="F271" s="5"/>
      <c r="G271" s="5"/>
      <c r="H271" s="5"/>
    </row>
    <row r="273" spans="1:19">
      <c r="A273" t="s">
        <v>135</v>
      </c>
    </row>
    <row r="275" spans="1:19">
      <c r="A275" t="s">
        <v>136</v>
      </c>
      <c r="B275" s="5"/>
      <c r="C275" s="5"/>
      <c r="D275" s="5"/>
      <c r="F275" s="5"/>
      <c r="G275" s="5"/>
      <c r="H275" s="5"/>
    </row>
    <row r="277" spans="1:19">
      <c r="A277" t="s">
        <v>137</v>
      </c>
    </row>
    <row r="278" spans="1:19">
      <c r="L278" s="2"/>
    </row>
    <row r="279" spans="1:19">
      <c r="A279" t="s">
        <v>138</v>
      </c>
      <c r="B279" s="5"/>
      <c r="C279" s="5"/>
      <c r="D279" s="5"/>
      <c r="E279" s="2"/>
      <c r="F279" s="5"/>
      <c r="G279" s="5"/>
      <c r="H279" s="5"/>
      <c r="I279" s="2"/>
    </row>
    <row r="281" spans="1:19" ht="16.5" customHeight="1">
      <c r="A281" t="s">
        <v>582</v>
      </c>
      <c r="B281" s="5"/>
      <c r="C281" s="5"/>
      <c r="D281" s="5"/>
      <c r="F281" s="5"/>
      <c r="G281" s="5"/>
      <c r="H281" s="5"/>
    </row>
    <row r="282" spans="1:19">
      <c r="A282" t="s">
        <v>139</v>
      </c>
      <c r="L282" s="5"/>
      <c r="M282" s="5"/>
      <c r="N282" s="5"/>
      <c r="P282" s="5"/>
      <c r="Q282" s="5"/>
      <c r="R282" s="5"/>
    </row>
    <row r="283" spans="1:19">
      <c r="A283" t="s">
        <v>118</v>
      </c>
      <c r="B283" s="5"/>
      <c r="C283" s="5"/>
      <c r="D283" s="5"/>
      <c r="E283" s="2"/>
      <c r="F283" s="5"/>
      <c r="G283" s="5"/>
      <c r="H283" s="5"/>
    </row>
    <row r="284" spans="1:19">
      <c r="A284" t="s">
        <v>140</v>
      </c>
      <c r="B284" s="5"/>
      <c r="C284" s="5"/>
      <c r="D284" s="5"/>
      <c r="F284" s="5"/>
      <c r="G284" s="5"/>
      <c r="H284" s="5"/>
      <c r="M284" s="4"/>
      <c r="N284" s="4"/>
    </row>
    <row r="285" spans="1:19">
      <c r="A285" t="s">
        <v>138</v>
      </c>
      <c r="B285" s="2"/>
      <c r="C285" s="2"/>
      <c r="D285" s="2"/>
      <c r="E285" s="2"/>
      <c r="F285" s="2"/>
      <c r="G285" s="2"/>
      <c r="H285" s="2"/>
    </row>
    <row r="286" spans="1:19">
      <c r="A286" t="s">
        <v>141</v>
      </c>
      <c r="B286" s="5" t="s">
        <v>142</v>
      </c>
      <c r="C286" s="5"/>
      <c r="D286" s="5"/>
      <c r="F286" s="5" t="s">
        <v>143</v>
      </c>
      <c r="G286" s="5"/>
      <c r="H286" s="5"/>
      <c r="L286" s="2"/>
      <c r="M286" s="2"/>
      <c r="N286" s="2"/>
      <c r="O286" s="2"/>
      <c r="P286" s="2"/>
      <c r="Q286" s="2"/>
      <c r="R286" s="2"/>
      <c r="S286" s="2"/>
    </row>
    <row r="287" spans="1:19">
      <c r="B287" s="5">
        <v>42339</v>
      </c>
      <c r="C287" s="5">
        <v>42705</v>
      </c>
      <c r="D287" s="5">
        <v>43070</v>
      </c>
      <c r="E287" s="2" t="s">
        <v>182</v>
      </c>
      <c r="F287" s="5">
        <v>42887</v>
      </c>
      <c r="G287" s="5">
        <v>42979</v>
      </c>
      <c r="H287" s="5">
        <v>43070</v>
      </c>
      <c r="I287" s="2" t="s">
        <v>182</v>
      </c>
      <c r="M287" s="2"/>
      <c r="N287" s="2"/>
      <c r="O287" s="2"/>
    </row>
    <row r="288" spans="1:19">
      <c r="B288" s="2"/>
      <c r="C288" s="2"/>
      <c r="D288" s="2"/>
      <c r="E288" s="2" t="s">
        <v>183</v>
      </c>
      <c r="F288" s="2"/>
      <c r="G288" s="2"/>
      <c r="H288" s="2"/>
      <c r="I288" t="s">
        <v>183</v>
      </c>
      <c r="L288" s="2"/>
      <c r="M288" s="2"/>
      <c r="N288" s="2"/>
      <c r="O288" s="2"/>
    </row>
    <row r="289" spans="1:19">
      <c r="L289" s="2"/>
      <c r="M289" s="2"/>
      <c r="N289" s="2"/>
      <c r="O289" s="2"/>
    </row>
    <row r="290" spans="1:19">
      <c r="B290" s="2"/>
      <c r="C290" s="2"/>
      <c r="D290" s="2"/>
      <c r="E290" s="2" t="s">
        <v>205</v>
      </c>
      <c r="F290" s="2"/>
      <c r="G290" s="2"/>
      <c r="H290" s="2"/>
      <c r="I290" s="2" t="s">
        <v>604</v>
      </c>
    </row>
    <row r="291" spans="1:19">
      <c r="A291" t="s">
        <v>121</v>
      </c>
      <c r="B291" s="2">
        <v>581923</v>
      </c>
      <c r="C291" s="2">
        <v>530835</v>
      </c>
      <c r="D291" s="2">
        <v>606551</v>
      </c>
      <c r="E291" s="2">
        <v>629947</v>
      </c>
      <c r="F291" s="2">
        <v>149444</v>
      </c>
      <c r="G291" s="2">
        <v>150361</v>
      </c>
      <c r="H291" s="2">
        <v>155974</v>
      </c>
      <c r="I291" s="2">
        <v>153595</v>
      </c>
      <c r="L291" s="2"/>
      <c r="M291" s="2"/>
      <c r="N291" s="2"/>
      <c r="O291" s="2"/>
      <c r="P291" s="2"/>
      <c r="Q291" s="2"/>
      <c r="R291" s="2"/>
      <c r="S291" s="2"/>
    </row>
    <row r="292" spans="1:19">
      <c r="A292" t="s">
        <v>122</v>
      </c>
      <c r="B292" s="2">
        <v>24100</v>
      </c>
      <c r="C292" s="2">
        <v>28443</v>
      </c>
      <c r="D292" s="2">
        <v>46218</v>
      </c>
      <c r="E292" s="2">
        <v>51167</v>
      </c>
      <c r="F292" s="2">
        <v>9791</v>
      </c>
      <c r="G292" s="2">
        <v>11257</v>
      </c>
      <c r="H292" s="2">
        <v>11521</v>
      </c>
      <c r="I292" s="2">
        <v>13415</v>
      </c>
      <c r="L292" s="2"/>
      <c r="M292" s="2"/>
      <c r="N292" s="2"/>
      <c r="O292" s="2"/>
      <c r="P292" s="2"/>
      <c r="Q292" s="2"/>
      <c r="R292" s="2"/>
      <c r="S292" s="2"/>
    </row>
    <row r="293" spans="1:19">
      <c r="A293" t="s">
        <v>144</v>
      </c>
      <c r="B293" s="2">
        <v>-962</v>
      </c>
      <c r="C293" s="2">
        <v>10482</v>
      </c>
      <c r="D293" s="2">
        <v>29735</v>
      </c>
      <c r="E293" s="2">
        <v>33163</v>
      </c>
      <c r="F293" s="2">
        <v>5301</v>
      </c>
      <c r="G293" s="2">
        <v>9066</v>
      </c>
      <c r="H293" s="2">
        <v>5599</v>
      </c>
      <c r="I293" s="2">
        <v>8901</v>
      </c>
      <c r="L293" s="2"/>
      <c r="M293" s="2"/>
      <c r="N293" s="2"/>
      <c r="O293" s="2"/>
      <c r="P293" s="2"/>
      <c r="Q293" s="2"/>
      <c r="R293" s="2"/>
      <c r="S293" s="2"/>
    </row>
    <row r="294" spans="1:19">
      <c r="A294" t="s">
        <v>145</v>
      </c>
      <c r="B294" s="2">
        <v>1806</v>
      </c>
      <c r="C294" s="2">
        <v>13633</v>
      </c>
      <c r="D294" s="2">
        <v>27901</v>
      </c>
      <c r="E294" s="2">
        <v>32386</v>
      </c>
      <c r="F294" s="2">
        <v>5128</v>
      </c>
      <c r="G294" s="2">
        <v>8694</v>
      </c>
      <c r="H294" s="2">
        <v>5569</v>
      </c>
      <c r="I294" s="2">
        <v>8392</v>
      </c>
      <c r="L294" s="2"/>
      <c r="M294" s="2"/>
      <c r="N294" s="2"/>
      <c r="O294" s="2"/>
      <c r="P294" s="2"/>
      <c r="Q294" s="2"/>
      <c r="R294" s="2"/>
      <c r="S294" s="2"/>
    </row>
    <row r="295" spans="1:19">
      <c r="A295" t="s">
        <v>146</v>
      </c>
      <c r="B295" s="2">
        <v>-2768</v>
      </c>
      <c r="C295" s="2">
        <v>-3151</v>
      </c>
      <c r="D295" s="2">
        <v>1834</v>
      </c>
      <c r="E295" s="2"/>
      <c r="F295" s="2">
        <v>172</v>
      </c>
      <c r="G295" s="2">
        <v>372</v>
      </c>
      <c r="H295" s="2">
        <v>30</v>
      </c>
      <c r="M295" s="2"/>
      <c r="N295" s="2"/>
      <c r="P295" s="2"/>
      <c r="Q295" s="2"/>
      <c r="R295" s="2"/>
      <c r="S295" s="2"/>
    </row>
    <row r="296" spans="1:19">
      <c r="A296" t="s">
        <v>147</v>
      </c>
      <c r="B296" s="2">
        <v>804088</v>
      </c>
      <c r="C296" s="2">
        <v>797630</v>
      </c>
      <c r="D296" s="2">
        <v>790250</v>
      </c>
      <c r="E296" s="2">
        <v>827731</v>
      </c>
      <c r="F296" s="2">
        <v>795084</v>
      </c>
      <c r="G296" s="2">
        <v>799807</v>
      </c>
      <c r="H296" s="2">
        <v>790250</v>
      </c>
      <c r="I296" s="2">
        <v>819245</v>
      </c>
      <c r="L296" s="2"/>
      <c r="M296" s="2"/>
      <c r="N296" s="2"/>
      <c r="O296" s="2"/>
      <c r="P296" s="2"/>
      <c r="Q296" s="2"/>
      <c r="R296" s="2"/>
      <c r="S296" s="2"/>
    </row>
    <row r="297" spans="1:19">
      <c r="A297" t="s">
        <v>148</v>
      </c>
      <c r="B297" s="2">
        <v>353385</v>
      </c>
      <c r="C297" s="2">
        <v>339246</v>
      </c>
      <c r="D297" s="2">
        <v>315610</v>
      </c>
      <c r="E297" s="2">
        <v>321949</v>
      </c>
      <c r="F297" s="2">
        <v>326162</v>
      </c>
      <c r="G297" s="2">
        <v>324071</v>
      </c>
      <c r="H297" s="2">
        <v>315610</v>
      </c>
      <c r="I297" s="2">
        <v>332993</v>
      </c>
    </row>
    <row r="298" spans="1:19">
      <c r="A298" t="s">
        <v>149</v>
      </c>
      <c r="B298" s="2">
        <v>450702</v>
      </c>
      <c r="C298" s="2">
        <v>458384</v>
      </c>
      <c r="D298" s="2">
        <v>474640</v>
      </c>
      <c r="E298" s="2">
        <v>505782</v>
      </c>
      <c r="F298" s="2">
        <v>468921</v>
      </c>
      <c r="G298" s="2">
        <v>475736</v>
      </c>
      <c r="H298" s="2">
        <v>474640</v>
      </c>
      <c r="I298" s="2">
        <v>486252</v>
      </c>
    </row>
    <row r="299" spans="1:19">
      <c r="A299" t="s">
        <v>150</v>
      </c>
      <c r="B299" s="2">
        <v>412353</v>
      </c>
      <c r="C299" s="2">
        <v>423734</v>
      </c>
      <c r="D299" s="2">
        <v>437329</v>
      </c>
      <c r="E299" s="2">
        <v>465550</v>
      </c>
      <c r="F299" s="2">
        <v>431202</v>
      </c>
      <c r="G299" s="2">
        <v>437742</v>
      </c>
      <c r="H299" s="2">
        <v>437329</v>
      </c>
      <c r="I299" s="2">
        <v>448508</v>
      </c>
    </row>
    <row r="300" spans="1:19">
      <c r="A300" t="s">
        <v>151</v>
      </c>
      <c r="B300" s="2">
        <v>38349</v>
      </c>
      <c r="C300" s="2">
        <v>34650</v>
      </c>
      <c r="D300" s="2">
        <v>37311</v>
      </c>
      <c r="E300" s="2">
        <v>40233</v>
      </c>
      <c r="F300" s="2">
        <v>37720</v>
      </c>
      <c r="G300" s="2">
        <v>37994</v>
      </c>
      <c r="H300" s="2">
        <v>37311</v>
      </c>
      <c r="I300" s="2">
        <v>37744</v>
      </c>
    </row>
    <row r="301" spans="1:19">
      <c r="A301" t="s">
        <v>152</v>
      </c>
      <c r="B301" s="2">
        <v>4824</v>
      </c>
      <c r="C301" s="2">
        <v>4824</v>
      </c>
      <c r="D301" s="2">
        <v>4824</v>
      </c>
      <c r="E301" s="2">
        <v>4821</v>
      </c>
      <c r="F301" s="2">
        <v>4824</v>
      </c>
      <c r="G301" s="2">
        <v>4824</v>
      </c>
      <c r="H301" s="2">
        <v>4824</v>
      </c>
      <c r="I301" s="2">
        <v>4824</v>
      </c>
      <c r="L301" s="4"/>
      <c r="M301" s="4"/>
      <c r="N301" s="4"/>
      <c r="P301" s="4"/>
      <c r="Q301" s="4"/>
      <c r="R301" s="4"/>
    </row>
    <row r="302" spans="1:19">
      <c r="A302" t="s">
        <v>153</v>
      </c>
      <c r="B302">
        <v>78.41</v>
      </c>
      <c r="C302" s="4">
        <v>74.010000000000005</v>
      </c>
      <c r="D302" s="4">
        <v>66.489999999999995</v>
      </c>
      <c r="E302">
        <v>63.65</v>
      </c>
      <c r="F302" s="4">
        <v>69.56</v>
      </c>
      <c r="G302" s="4">
        <v>68.12</v>
      </c>
      <c r="H302" s="4">
        <v>66.489999999999995</v>
      </c>
      <c r="I302">
        <v>68.48</v>
      </c>
    </row>
    <row r="303" spans="1:19">
      <c r="A303" t="s">
        <v>154</v>
      </c>
      <c r="H303" s="4"/>
    </row>
    <row r="305" spans="1:9">
      <c r="A305" t="s">
        <v>155</v>
      </c>
      <c r="B305" s="4"/>
      <c r="C305" s="4"/>
      <c r="D305" s="4"/>
      <c r="F305" s="4"/>
      <c r="G305" s="4"/>
      <c r="H305" s="4"/>
    </row>
    <row r="306" spans="1:9">
      <c r="A306" t="s">
        <v>156</v>
      </c>
      <c r="B306" s="4">
        <v>8765.8700000000008</v>
      </c>
      <c r="C306" s="4">
        <v>9001.7000000000007</v>
      </c>
      <c r="D306" s="4">
        <v>9283.42</v>
      </c>
      <c r="F306" s="4">
        <v>9156.4500000000007</v>
      </c>
      <c r="G306" s="4">
        <v>9292.0300000000007</v>
      </c>
      <c r="H306" s="4">
        <v>9283.42</v>
      </c>
    </row>
    <row r="307" spans="1:9">
      <c r="A307" t="s">
        <v>157</v>
      </c>
    </row>
    <row r="309" spans="1:9">
      <c r="A309" t="s">
        <v>158</v>
      </c>
    </row>
    <row r="310" spans="1:9">
      <c r="A310" t="s">
        <v>159</v>
      </c>
      <c r="B310">
        <v>4.1399999999999997</v>
      </c>
      <c r="C310">
        <v>5.36</v>
      </c>
      <c r="D310">
        <v>7.62</v>
      </c>
      <c r="E310">
        <v>8.1199999999999992</v>
      </c>
      <c r="F310">
        <v>6.55</v>
      </c>
      <c r="G310">
        <v>7.49</v>
      </c>
      <c r="H310">
        <v>7.39</v>
      </c>
      <c r="I310">
        <v>8.73</v>
      </c>
    </row>
    <row r="311" spans="1:9">
      <c r="A311" t="s">
        <v>160</v>
      </c>
    </row>
    <row r="313" spans="1:9">
      <c r="A313" t="s">
        <v>161</v>
      </c>
    </row>
    <row r="314" spans="1:9">
      <c r="A314" t="s">
        <v>162</v>
      </c>
      <c r="B314" s="2">
        <v>0.31</v>
      </c>
      <c r="C314" s="2">
        <v>2.57</v>
      </c>
      <c r="D314" s="2">
        <v>4.5999999999999996</v>
      </c>
      <c r="E314">
        <v>5.14</v>
      </c>
      <c r="F314" s="2">
        <v>3.43</v>
      </c>
      <c r="G314" s="2">
        <v>5.78</v>
      </c>
      <c r="H314" s="2">
        <v>3.57</v>
      </c>
      <c r="I314">
        <v>5.46</v>
      </c>
    </row>
    <row r="315" spans="1:9">
      <c r="A315" t="s">
        <v>163</v>
      </c>
    </row>
    <row r="317" spans="1:9">
      <c r="A317" t="s">
        <v>164</v>
      </c>
    </row>
    <row r="318" spans="1:9">
      <c r="A318" t="s">
        <v>165</v>
      </c>
      <c r="B318" s="2">
        <v>-0.12</v>
      </c>
      <c r="C318" s="2">
        <v>1.31</v>
      </c>
      <c r="D318" s="2">
        <v>3.75</v>
      </c>
      <c r="E318" s="2">
        <v>4.0999999999999996</v>
      </c>
      <c r="F318" s="2">
        <v>2.68</v>
      </c>
      <c r="G318" s="2">
        <v>4.55</v>
      </c>
      <c r="H318" s="2">
        <v>2.82</v>
      </c>
      <c r="I318">
        <v>4.42</v>
      </c>
    </row>
    <row r="319" spans="1:9">
      <c r="A319" t="s">
        <v>166</v>
      </c>
    </row>
    <row r="320" spans="1:9">
      <c r="B320" s="2"/>
      <c r="C320" s="2"/>
      <c r="D320" s="2"/>
    </row>
    <row r="321" spans="1:19">
      <c r="A321" t="s">
        <v>167</v>
      </c>
      <c r="M321" s="2"/>
      <c r="N321" s="2"/>
      <c r="O321" s="2"/>
    </row>
    <row r="322" spans="1:19">
      <c r="A322" t="s">
        <v>168</v>
      </c>
      <c r="B322" s="2">
        <v>0.44</v>
      </c>
      <c r="C322" s="2">
        <v>3.26</v>
      </c>
      <c r="D322" s="2">
        <v>6.48</v>
      </c>
      <c r="E322">
        <v>7.17</v>
      </c>
      <c r="F322" s="2">
        <v>4.8</v>
      </c>
      <c r="G322" s="2">
        <v>8</v>
      </c>
      <c r="H322" s="2">
        <v>5.09</v>
      </c>
      <c r="I322">
        <v>7.58</v>
      </c>
    </row>
    <row r="323" spans="1:19">
      <c r="A323" t="s">
        <v>169</v>
      </c>
      <c r="D323" s="2"/>
      <c r="E323" s="2"/>
    </row>
    <row r="324" spans="1:19">
      <c r="B324" s="2"/>
      <c r="C324" s="2"/>
      <c r="D324" s="2"/>
      <c r="F324" s="2"/>
      <c r="G324" s="2"/>
      <c r="H324" s="2"/>
    </row>
    <row r="325" spans="1:19">
      <c r="A325" t="s">
        <v>127</v>
      </c>
      <c r="E325" s="2"/>
      <c r="L325" s="2"/>
      <c r="M325" s="2"/>
      <c r="N325" s="2"/>
      <c r="O325" s="2"/>
      <c r="P325" s="2"/>
      <c r="Q325" s="2"/>
      <c r="R325" s="2"/>
      <c r="S325" s="2"/>
    </row>
    <row r="326" spans="1:19">
      <c r="A326" t="s">
        <v>123</v>
      </c>
      <c r="B326" s="2">
        <v>2072</v>
      </c>
      <c r="C326" s="2">
        <v>15637</v>
      </c>
      <c r="D326" s="2">
        <v>32001</v>
      </c>
      <c r="E326" s="2">
        <v>37146</v>
      </c>
      <c r="F326" s="2">
        <v>5882</v>
      </c>
      <c r="G326" s="2">
        <v>9972</v>
      </c>
      <c r="H326" s="2">
        <v>6388</v>
      </c>
      <c r="I326" s="2">
        <v>9625</v>
      </c>
    </row>
    <row r="327" spans="1:19">
      <c r="A327" t="s">
        <v>170</v>
      </c>
      <c r="B327" s="2"/>
      <c r="C327" s="2"/>
      <c r="D327" s="2"/>
      <c r="E327" s="2"/>
      <c r="F327" s="2"/>
      <c r="G327" s="2"/>
      <c r="H327" s="2"/>
      <c r="I327" s="2"/>
    </row>
    <row r="328" spans="1:19">
      <c r="B328" s="2"/>
      <c r="C328" s="2"/>
      <c r="D328" s="2"/>
      <c r="F328" s="2"/>
      <c r="G328" s="2"/>
      <c r="H328" s="2"/>
      <c r="L328" s="2"/>
      <c r="M328" s="2"/>
      <c r="N328" s="2"/>
    </row>
    <row r="329" spans="1:19">
      <c r="A329" t="s">
        <v>123</v>
      </c>
      <c r="B329" s="2"/>
      <c r="C329" s="2"/>
      <c r="D329" s="2"/>
      <c r="E329" s="2"/>
      <c r="F329" s="2"/>
      <c r="G329" s="2"/>
      <c r="H329" s="2"/>
    </row>
    <row r="330" spans="1:19">
      <c r="A330" t="s">
        <v>171</v>
      </c>
      <c r="B330" s="2">
        <v>490547</v>
      </c>
      <c r="C330" s="2">
        <v>503596</v>
      </c>
      <c r="D330" s="2">
        <v>519183</v>
      </c>
      <c r="E330" s="2">
        <v>551551</v>
      </c>
      <c r="F330" s="2">
        <v>512158</v>
      </c>
      <c r="G330" s="2">
        <v>519659</v>
      </c>
      <c r="H330" s="2">
        <v>519183</v>
      </c>
      <c r="I330" s="2">
        <v>532005</v>
      </c>
    </row>
    <row r="331" spans="1:19">
      <c r="A331" t="s">
        <v>172</v>
      </c>
    </row>
    <row r="333" spans="1:19">
      <c r="A333" t="s">
        <v>171</v>
      </c>
    </row>
    <row r="334" spans="1:19" ht="16.5" customHeight="1">
      <c r="A334" t="s">
        <v>173</v>
      </c>
      <c r="B334" s="2">
        <v>8000</v>
      </c>
      <c r="C334" s="2">
        <v>8000</v>
      </c>
      <c r="D334" s="2">
        <v>8000</v>
      </c>
      <c r="E334" s="2">
        <v>8450</v>
      </c>
      <c r="F334" s="2">
        <v>1500</v>
      </c>
      <c r="G334" s="2">
        <v>1500</v>
      </c>
      <c r="H334" s="2">
        <v>3500</v>
      </c>
      <c r="I334" s="2">
        <v>1500</v>
      </c>
    </row>
    <row r="335" spans="1:19">
      <c r="A335" t="s">
        <v>174</v>
      </c>
      <c r="B335" s="5"/>
      <c r="C335" s="5"/>
      <c r="D335" s="5"/>
      <c r="E335" s="5"/>
      <c r="F335" s="5"/>
      <c r="L335" s="5"/>
      <c r="M335" s="5"/>
      <c r="N335" s="5"/>
      <c r="O335" s="5"/>
      <c r="P335" s="5"/>
    </row>
    <row r="337" spans="1:19">
      <c r="A337" t="s">
        <v>173</v>
      </c>
      <c r="B337" s="5"/>
      <c r="C337" s="5"/>
      <c r="D337" s="5"/>
      <c r="E337" s="5"/>
      <c r="F337" s="5"/>
    </row>
    <row r="338" spans="1:19">
      <c r="A338" t="s">
        <v>175</v>
      </c>
      <c r="B338" s="2">
        <v>80.36</v>
      </c>
      <c r="C338" s="2">
        <v>16.47</v>
      </c>
      <c r="D338" s="2">
        <v>10.39</v>
      </c>
      <c r="E338">
        <v>8.66</v>
      </c>
      <c r="F338" s="2"/>
      <c r="G338" s="2"/>
      <c r="H338" s="2"/>
    </row>
    <row r="339" spans="1:19">
      <c r="A339" t="s">
        <v>176</v>
      </c>
      <c r="L339" s="2"/>
      <c r="M339" s="2"/>
    </row>
    <row r="340" spans="1:19">
      <c r="B340" s="2"/>
      <c r="C340" s="2"/>
      <c r="D340" s="2"/>
      <c r="F340" s="2"/>
      <c r="G340" s="2"/>
      <c r="H340" s="2"/>
    </row>
    <row r="341" spans="1:19">
      <c r="A341" t="s">
        <v>27</v>
      </c>
      <c r="B341" s="5"/>
      <c r="C341" s="5"/>
      <c r="D341" s="5"/>
      <c r="E341" s="5"/>
      <c r="F341" s="5"/>
      <c r="L341" s="2"/>
      <c r="M341" s="2"/>
      <c r="N341" s="2"/>
      <c r="P341" s="2"/>
      <c r="Q341" s="2"/>
      <c r="R341" s="2"/>
    </row>
    <row r="342" spans="1:19">
      <c r="A342" t="s">
        <v>177</v>
      </c>
      <c r="B342" s="2">
        <v>0.34</v>
      </c>
      <c r="C342" s="2">
        <v>0.51</v>
      </c>
      <c r="D342" s="2">
        <v>0.64</v>
      </c>
      <c r="E342">
        <v>0.57999999999999996</v>
      </c>
      <c r="F342" s="2">
        <v>0.56000000000000005</v>
      </c>
      <c r="G342" s="2">
        <v>0.61</v>
      </c>
      <c r="H342" s="2">
        <v>0.64</v>
      </c>
      <c r="I342">
        <v>0.6</v>
      </c>
    </row>
    <row r="343" spans="1:19">
      <c r="A343" t="s">
        <v>178</v>
      </c>
      <c r="B343" s="2"/>
      <c r="C343" s="2"/>
      <c r="D343" s="2"/>
      <c r="F343" s="2"/>
      <c r="G343" s="2"/>
      <c r="H343" s="2"/>
    </row>
    <row r="344" spans="1:19">
      <c r="I344" s="2"/>
      <c r="L344" s="2"/>
      <c r="M344" s="2"/>
      <c r="N344" s="2"/>
    </row>
    <row r="345" spans="1:19">
      <c r="A345" t="s">
        <v>35</v>
      </c>
      <c r="B345" s="2"/>
      <c r="C345" s="2"/>
      <c r="D345" s="2"/>
      <c r="E345" s="5"/>
      <c r="F345" s="2"/>
      <c r="G345" s="2"/>
      <c r="H345" s="2"/>
      <c r="L345" s="2"/>
      <c r="M345" s="2"/>
    </row>
    <row r="346" spans="1:19">
      <c r="A346" t="s">
        <v>179</v>
      </c>
      <c r="B346" s="2">
        <v>87187</v>
      </c>
      <c r="C346" s="2">
        <v>87187</v>
      </c>
      <c r="D346" s="2">
        <v>87187</v>
      </c>
      <c r="F346" s="2">
        <v>87187</v>
      </c>
      <c r="G346" s="2">
        <v>87187</v>
      </c>
      <c r="H346" s="2">
        <v>87187</v>
      </c>
    </row>
    <row r="347" spans="1:19" ht="16.5" customHeight="1">
      <c r="A347" t="s">
        <v>180</v>
      </c>
      <c r="B347" s="5">
        <v>4.8</v>
      </c>
      <c r="C347" s="5">
        <v>3.11</v>
      </c>
      <c r="D347" s="5">
        <v>2.41</v>
      </c>
      <c r="E347" s="5"/>
      <c r="F347" s="5">
        <v>0.52</v>
      </c>
      <c r="G347">
        <v>0.47</v>
      </c>
      <c r="H347">
        <v>1.05</v>
      </c>
    </row>
    <row r="348" spans="1:19">
      <c r="A348" t="s">
        <v>181</v>
      </c>
      <c r="L348" s="5"/>
      <c r="M348" s="5"/>
      <c r="N348" s="5"/>
      <c r="O348" s="5"/>
      <c r="P348" s="5"/>
    </row>
    <row r="349" spans="1:19">
      <c r="B349" s="5"/>
      <c r="C349" s="5"/>
      <c r="D349" s="5"/>
      <c r="E349" s="5"/>
      <c r="F349" s="5"/>
      <c r="G349" s="2"/>
      <c r="H349" s="2"/>
      <c r="I349" s="2"/>
    </row>
    <row r="350" spans="1:19">
      <c r="A350" t="s">
        <v>36</v>
      </c>
      <c r="B350" s="5"/>
      <c r="C350" s="5"/>
      <c r="D350" s="5"/>
      <c r="E350" s="5"/>
      <c r="F350" s="5"/>
      <c r="O350" s="4"/>
      <c r="P350" s="4"/>
    </row>
    <row r="351" spans="1:19">
      <c r="A351" t="s">
        <v>138</v>
      </c>
      <c r="C351" s="2"/>
      <c r="D351" s="2"/>
      <c r="E351" s="2"/>
      <c r="F351" s="2"/>
      <c r="G351" s="2"/>
      <c r="H351" s="2"/>
      <c r="I351" s="2"/>
    </row>
    <row r="352" spans="1:19">
      <c r="A352" t="s">
        <v>141</v>
      </c>
      <c r="B352" s="5" t="s">
        <v>142</v>
      </c>
      <c r="C352" s="5"/>
      <c r="D352" s="5"/>
      <c r="E352" s="5"/>
      <c r="F352" s="5"/>
      <c r="L352" s="2"/>
      <c r="M352" s="2"/>
      <c r="N352" s="2"/>
      <c r="O352" s="2"/>
      <c r="P352" s="2"/>
      <c r="Q352" s="2"/>
      <c r="R352" s="2"/>
      <c r="S352" s="2"/>
    </row>
    <row r="353" spans="1:19">
      <c r="B353" s="5">
        <v>41609</v>
      </c>
      <c r="C353" s="5">
        <v>41974</v>
      </c>
      <c r="D353" s="5">
        <v>42339</v>
      </c>
      <c r="E353" s="5">
        <v>42705</v>
      </c>
      <c r="F353" s="5">
        <v>43070</v>
      </c>
      <c r="G353" s="2" t="s">
        <v>182</v>
      </c>
      <c r="H353" s="2" t="s">
        <v>182</v>
      </c>
      <c r="I353" s="2" t="s">
        <v>182</v>
      </c>
      <c r="L353" s="2"/>
      <c r="M353" s="2"/>
      <c r="O353" s="2"/>
      <c r="P353" s="2"/>
      <c r="Q353" s="2"/>
      <c r="R353" s="2"/>
      <c r="S353" s="2"/>
    </row>
    <row r="354" spans="1:19">
      <c r="C354" s="2"/>
      <c r="D354" s="2"/>
      <c r="E354" s="2"/>
      <c r="F354" s="2"/>
      <c r="G354" s="2" t="s">
        <v>183</v>
      </c>
      <c r="H354" s="2" t="s">
        <v>183</v>
      </c>
      <c r="I354" s="2" t="s">
        <v>183</v>
      </c>
      <c r="L354" s="2"/>
      <c r="M354" s="2"/>
      <c r="N354" s="2"/>
      <c r="O354" s="2"/>
      <c r="P354" s="2"/>
      <c r="Q354" s="2"/>
      <c r="R354" s="2"/>
      <c r="S354" s="2"/>
    </row>
    <row r="355" spans="1:19">
      <c r="L355" s="2"/>
      <c r="M355" s="2"/>
      <c r="N355" s="2"/>
      <c r="O355" s="2"/>
      <c r="P355" s="2"/>
      <c r="Q355" s="2"/>
      <c r="R355" s="2"/>
      <c r="S355" s="2"/>
    </row>
    <row r="356" spans="1:19">
      <c r="B356" s="2"/>
      <c r="C356" s="2"/>
      <c r="D356" s="2"/>
      <c r="E356" s="2"/>
      <c r="F356" s="2"/>
      <c r="G356" s="2" t="s">
        <v>205</v>
      </c>
      <c r="H356" s="2" t="s">
        <v>597</v>
      </c>
      <c r="I356" s="2" t="s">
        <v>630</v>
      </c>
    </row>
    <row r="357" spans="1:19">
      <c r="A357" t="s">
        <v>121</v>
      </c>
      <c r="B357" s="2">
        <v>618646</v>
      </c>
      <c r="C357" s="2">
        <v>650984</v>
      </c>
      <c r="D357" s="2">
        <v>581923</v>
      </c>
      <c r="E357" s="2">
        <v>530835</v>
      </c>
      <c r="F357" s="2">
        <v>606551</v>
      </c>
      <c r="G357" s="2">
        <v>629947</v>
      </c>
      <c r="H357" s="2">
        <v>645347</v>
      </c>
      <c r="I357" s="2">
        <v>665808</v>
      </c>
      <c r="L357" s="2"/>
      <c r="M357" s="2"/>
      <c r="N357" s="2"/>
      <c r="O357" s="2"/>
      <c r="P357" s="2"/>
      <c r="Q357" s="2"/>
      <c r="R357" s="2"/>
      <c r="S357" s="2"/>
    </row>
    <row r="358" spans="1:19">
      <c r="A358" t="s">
        <v>122</v>
      </c>
      <c r="B358" s="2">
        <v>29961</v>
      </c>
      <c r="C358" s="2">
        <v>32135</v>
      </c>
      <c r="D358" s="2">
        <v>24100</v>
      </c>
      <c r="E358" s="2">
        <v>28443</v>
      </c>
      <c r="F358" s="2">
        <v>46218</v>
      </c>
      <c r="G358" s="2">
        <v>51167</v>
      </c>
      <c r="H358" s="2">
        <v>53418</v>
      </c>
      <c r="I358" s="2">
        <v>58748</v>
      </c>
      <c r="L358" s="2"/>
      <c r="M358" s="2"/>
      <c r="N358" s="2"/>
      <c r="O358" s="2"/>
      <c r="P358" s="2"/>
      <c r="Q358" s="2"/>
      <c r="R358" s="2"/>
      <c r="S358" s="2"/>
    </row>
    <row r="359" spans="1:19">
      <c r="A359" t="s">
        <v>144</v>
      </c>
      <c r="B359" s="2">
        <v>13552</v>
      </c>
      <c r="C359" s="2">
        <v>5567</v>
      </c>
      <c r="D359" s="2">
        <v>-962</v>
      </c>
      <c r="E359" s="2">
        <v>10482</v>
      </c>
      <c r="F359" s="2">
        <v>29735</v>
      </c>
      <c r="G359" s="2">
        <v>33163</v>
      </c>
      <c r="H359" s="2">
        <v>35618</v>
      </c>
      <c r="I359" s="2">
        <v>39838</v>
      </c>
      <c r="L359" s="2"/>
      <c r="M359" s="2"/>
      <c r="N359" s="2"/>
      <c r="O359" s="2"/>
      <c r="P359" s="2"/>
      <c r="Q359" s="2"/>
      <c r="R359" s="2"/>
      <c r="S359" s="2"/>
    </row>
    <row r="360" spans="1:19">
      <c r="A360" t="s">
        <v>145</v>
      </c>
      <c r="B360" s="2">
        <v>13764</v>
      </c>
      <c r="C360" s="2">
        <v>6261</v>
      </c>
      <c r="D360" s="2">
        <v>1806</v>
      </c>
      <c r="E360" s="2">
        <v>13633</v>
      </c>
      <c r="F360" s="2">
        <v>27901</v>
      </c>
      <c r="G360" s="2">
        <v>32386</v>
      </c>
      <c r="H360" s="2">
        <v>34695</v>
      </c>
      <c r="I360" s="2">
        <v>38277</v>
      </c>
      <c r="L360" s="2"/>
      <c r="M360" s="2"/>
      <c r="N360" s="2"/>
      <c r="O360" s="2"/>
      <c r="P360" s="2"/>
      <c r="Q360" s="2"/>
      <c r="R360" s="2"/>
      <c r="S360" s="2"/>
    </row>
    <row r="361" spans="1:19">
      <c r="A361" t="s">
        <v>146</v>
      </c>
      <c r="B361" s="2">
        <v>-212</v>
      </c>
      <c r="C361" s="2">
        <v>-694</v>
      </c>
      <c r="D361" s="2">
        <v>-2768</v>
      </c>
      <c r="E361" s="2">
        <v>-3151</v>
      </c>
      <c r="F361" s="2">
        <v>1834</v>
      </c>
      <c r="G361" s="2"/>
      <c r="H361" s="2"/>
      <c r="I361" s="2"/>
      <c r="O361" s="2"/>
      <c r="P361" s="2"/>
      <c r="S361" s="2"/>
    </row>
    <row r="362" spans="1:19">
      <c r="A362" t="s">
        <v>147</v>
      </c>
      <c r="B362" s="2">
        <v>844554</v>
      </c>
      <c r="C362" s="2">
        <v>852522</v>
      </c>
      <c r="D362" s="2">
        <v>804088</v>
      </c>
      <c r="E362" s="2">
        <v>797630</v>
      </c>
      <c r="F362" s="2">
        <v>790250</v>
      </c>
      <c r="G362" s="2">
        <v>827731</v>
      </c>
      <c r="H362" s="2">
        <v>846915</v>
      </c>
      <c r="I362" s="2">
        <v>864307</v>
      </c>
      <c r="N362" s="2"/>
      <c r="O362" s="2"/>
      <c r="P362" s="2"/>
      <c r="Q362" s="2"/>
      <c r="R362" s="2"/>
      <c r="S362" s="2"/>
    </row>
    <row r="363" spans="1:19">
      <c r="A363" t="s">
        <v>148</v>
      </c>
      <c r="B363" s="2">
        <v>386334</v>
      </c>
      <c r="C363" s="2">
        <v>399608</v>
      </c>
      <c r="D363" s="2">
        <v>353385</v>
      </c>
      <c r="E363" s="2">
        <v>339246</v>
      </c>
      <c r="F363" s="2">
        <v>315610</v>
      </c>
      <c r="G363" s="2">
        <v>321949</v>
      </c>
      <c r="H363" s="2">
        <v>315363</v>
      </c>
      <c r="I363" s="2">
        <v>308973</v>
      </c>
    </row>
    <row r="364" spans="1:19">
      <c r="A364" t="s">
        <v>149</v>
      </c>
      <c r="B364" s="2">
        <v>458220</v>
      </c>
      <c r="C364" s="2">
        <v>452914</v>
      </c>
      <c r="D364" s="2">
        <v>450702</v>
      </c>
      <c r="E364" s="2">
        <v>458384</v>
      </c>
      <c r="F364" s="2">
        <v>474640</v>
      </c>
      <c r="G364" s="2">
        <v>505782</v>
      </c>
      <c r="H364" s="2">
        <v>531551</v>
      </c>
      <c r="I364" s="2">
        <v>555333</v>
      </c>
    </row>
    <row r="365" spans="1:19">
      <c r="A365" t="s">
        <v>150</v>
      </c>
      <c r="B365" s="2">
        <v>420460</v>
      </c>
      <c r="C365" s="2">
        <v>415874</v>
      </c>
      <c r="D365" s="2">
        <v>412353</v>
      </c>
      <c r="E365" s="2">
        <v>423734</v>
      </c>
      <c r="F365" s="2">
        <v>437329</v>
      </c>
      <c r="G365" s="2">
        <v>465550</v>
      </c>
      <c r="H365" s="2">
        <v>491282</v>
      </c>
      <c r="I365" s="2">
        <v>515697</v>
      </c>
    </row>
    <row r="366" spans="1:19" ht="16.5" customHeight="1">
      <c r="A366" t="s">
        <v>151</v>
      </c>
      <c r="B366" s="2">
        <v>37760</v>
      </c>
      <c r="C366" s="2">
        <v>37040</v>
      </c>
      <c r="D366" s="2">
        <v>38349</v>
      </c>
      <c r="E366" s="2">
        <v>34650</v>
      </c>
      <c r="F366" s="2">
        <v>37311</v>
      </c>
      <c r="G366" s="2">
        <v>40233</v>
      </c>
      <c r="H366" s="2">
        <v>40269</v>
      </c>
      <c r="I366" s="2">
        <v>39637</v>
      </c>
    </row>
    <row r="367" spans="1:19">
      <c r="A367" t="s">
        <v>152</v>
      </c>
      <c r="B367" s="2">
        <v>4824</v>
      </c>
      <c r="C367" s="2">
        <v>4824</v>
      </c>
      <c r="D367" s="2">
        <v>4824</v>
      </c>
      <c r="E367" s="2">
        <v>4824</v>
      </c>
      <c r="F367" s="2">
        <v>4824</v>
      </c>
      <c r="G367" s="2">
        <v>4821</v>
      </c>
      <c r="H367" s="2">
        <v>4822</v>
      </c>
      <c r="I367" s="2">
        <v>4820</v>
      </c>
      <c r="L367" s="4"/>
      <c r="M367" s="4"/>
      <c r="N367" s="4"/>
      <c r="O367" s="4"/>
      <c r="P367" s="4"/>
    </row>
    <row r="368" spans="1:19">
      <c r="A368" t="s">
        <v>153</v>
      </c>
      <c r="B368" s="4">
        <v>84.31</v>
      </c>
      <c r="C368">
        <v>88.23</v>
      </c>
      <c r="D368">
        <v>78.41</v>
      </c>
      <c r="E368" s="4">
        <v>74.010000000000005</v>
      </c>
      <c r="F368" s="4">
        <v>66.489999999999995</v>
      </c>
      <c r="G368">
        <v>63.65</v>
      </c>
      <c r="H368">
        <v>59.33</v>
      </c>
      <c r="I368">
        <v>55.64</v>
      </c>
    </row>
    <row r="369" spans="1:13">
      <c r="A369" t="s">
        <v>154</v>
      </c>
    </row>
    <row r="370" spans="1:13" ht="16.5" customHeight="1"/>
    <row r="371" spans="1:13">
      <c r="A371" t="s">
        <v>155</v>
      </c>
      <c r="B371" s="4"/>
      <c r="C371" s="4"/>
      <c r="D371" s="4"/>
      <c r="E371" s="4"/>
      <c r="F371" s="4"/>
    </row>
    <row r="372" spans="1:13">
      <c r="A372" t="s">
        <v>156</v>
      </c>
      <c r="B372" s="4">
        <v>8943.2999999999993</v>
      </c>
      <c r="C372" s="4">
        <v>8838.9599999999991</v>
      </c>
      <c r="D372" s="4">
        <v>8765.8700000000008</v>
      </c>
      <c r="E372" s="4">
        <v>9001.7000000000007</v>
      </c>
      <c r="F372" s="4">
        <v>9283.42</v>
      </c>
    </row>
    <row r="373" spans="1:13">
      <c r="A373" t="s">
        <v>157</v>
      </c>
    </row>
    <row r="375" spans="1:13">
      <c r="A375" t="s">
        <v>158</v>
      </c>
    </row>
    <row r="376" spans="1:13">
      <c r="A376" t="s">
        <v>159</v>
      </c>
      <c r="B376">
        <v>4.84</v>
      </c>
      <c r="C376">
        <v>4.9400000000000004</v>
      </c>
      <c r="D376">
        <v>4.1399999999999997</v>
      </c>
      <c r="E376">
        <v>5.36</v>
      </c>
      <c r="F376">
        <v>7.62</v>
      </c>
      <c r="G376">
        <v>8.1199999999999992</v>
      </c>
      <c r="H376">
        <v>8.2799999999999994</v>
      </c>
      <c r="I376">
        <v>8.82</v>
      </c>
    </row>
    <row r="377" spans="1:13">
      <c r="A377" t="s">
        <v>160</v>
      </c>
    </row>
    <row r="378" spans="1:13">
      <c r="I378" s="2"/>
      <c r="L378" s="2"/>
      <c r="M378" s="2"/>
    </row>
    <row r="379" spans="1:13">
      <c r="A379" t="s">
        <v>161</v>
      </c>
    </row>
    <row r="380" spans="1:13">
      <c r="A380" t="s">
        <v>162</v>
      </c>
      <c r="B380">
        <v>2.2200000000000002</v>
      </c>
      <c r="C380">
        <v>0.96</v>
      </c>
      <c r="D380" s="2">
        <v>0.31</v>
      </c>
      <c r="E380" s="2">
        <v>2.57</v>
      </c>
      <c r="F380" s="2">
        <v>4.5999999999999996</v>
      </c>
      <c r="G380">
        <v>5.14</v>
      </c>
      <c r="H380">
        <v>5.38</v>
      </c>
      <c r="I380">
        <v>5.75</v>
      </c>
    </row>
    <row r="381" spans="1:13">
      <c r="A381" t="s">
        <v>163</v>
      </c>
    </row>
    <row r="383" spans="1:13">
      <c r="A383" t="s">
        <v>164</v>
      </c>
    </row>
    <row r="384" spans="1:13">
      <c r="A384" t="s">
        <v>165</v>
      </c>
      <c r="B384" s="2">
        <v>1.66</v>
      </c>
      <c r="C384" s="2">
        <v>0.66</v>
      </c>
      <c r="D384" s="2">
        <v>-0.12</v>
      </c>
      <c r="E384" s="2">
        <v>1.31</v>
      </c>
      <c r="F384" s="2">
        <v>3.75</v>
      </c>
      <c r="G384" s="2">
        <v>4.0999999999999996</v>
      </c>
      <c r="H384" s="2">
        <v>4.25</v>
      </c>
      <c r="I384" s="2">
        <v>4.66</v>
      </c>
    </row>
    <row r="385" spans="1:19">
      <c r="A385" t="s">
        <v>166</v>
      </c>
    </row>
    <row r="386" spans="1:19">
      <c r="B386" s="2"/>
      <c r="C386" s="2"/>
      <c r="D386" s="2"/>
      <c r="E386" s="2"/>
      <c r="F386" s="2"/>
      <c r="H386" s="2"/>
      <c r="I386" s="2"/>
    </row>
    <row r="387" spans="1:19">
      <c r="A387" t="s">
        <v>167</v>
      </c>
      <c r="L387" s="2"/>
      <c r="M387" s="2"/>
      <c r="O387" s="2"/>
      <c r="P387" s="2"/>
      <c r="Q387" s="2"/>
      <c r="R387" s="2"/>
      <c r="S387" s="2"/>
    </row>
    <row r="388" spans="1:19">
      <c r="A388" t="s">
        <v>168</v>
      </c>
      <c r="B388" s="2">
        <v>3.38</v>
      </c>
      <c r="C388" s="2">
        <v>1.5</v>
      </c>
      <c r="D388" s="2">
        <v>0.44</v>
      </c>
      <c r="E388" s="2">
        <v>3.26</v>
      </c>
      <c r="F388" s="2">
        <v>6.48</v>
      </c>
      <c r="G388">
        <v>7.17</v>
      </c>
      <c r="H388" s="2">
        <v>7.25</v>
      </c>
      <c r="I388" s="2">
        <v>7.6</v>
      </c>
    </row>
    <row r="389" spans="1:19">
      <c r="A389" t="s">
        <v>169</v>
      </c>
      <c r="F389" s="2"/>
      <c r="G389" s="2"/>
      <c r="H389" s="2"/>
      <c r="I389" s="2"/>
    </row>
    <row r="390" spans="1:19">
      <c r="B390" s="2"/>
      <c r="C390" s="2"/>
      <c r="D390" s="2"/>
      <c r="E390" s="2"/>
      <c r="F390" s="2"/>
      <c r="H390" s="2"/>
      <c r="I390" s="2"/>
    </row>
    <row r="391" spans="1:19">
      <c r="A391" t="s">
        <v>127</v>
      </c>
      <c r="B391" s="2"/>
      <c r="G391" s="2"/>
      <c r="H391" s="2"/>
      <c r="I391" s="2"/>
      <c r="L391" s="2"/>
      <c r="M391" s="2"/>
      <c r="N391" s="2"/>
      <c r="O391" s="2"/>
      <c r="P391" s="2"/>
      <c r="Q391" s="2"/>
      <c r="R391" s="2"/>
      <c r="S391" s="2"/>
    </row>
    <row r="392" spans="1:19">
      <c r="A392" t="s">
        <v>123</v>
      </c>
      <c r="B392" s="2">
        <v>15787</v>
      </c>
      <c r="C392" s="2">
        <v>7181</v>
      </c>
      <c r="D392" s="2">
        <v>2072</v>
      </c>
      <c r="E392" s="2">
        <v>15637</v>
      </c>
      <c r="F392" s="2">
        <v>32001</v>
      </c>
      <c r="G392" s="2">
        <v>37146</v>
      </c>
      <c r="H392" s="2">
        <v>39793</v>
      </c>
      <c r="I392" s="2">
        <v>43902</v>
      </c>
    </row>
    <row r="393" spans="1:19">
      <c r="A393" t="s">
        <v>170</v>
      </c>
      <c r="B393" s="2"/>
      <c r="C393" s="2"/>
      <c r="D393" s="2"/>
      <c r="E393" s="2"/>
      <c r="F393" s="2"/>
      <c r="G393" s="2"/>
      <c r="H393" s="2"/>
      <c r="I393" s="2"/>
    </row>
    <row r="394" spans="1:19">
      <c r="B394" s="2"/>
      <c r="C394" s="2"/>
      <c r="D394" s="2"/>
      <c r="E394" s="2"/>
      <c r="F394" s="2"/>
      <c r="L394" s="2"/>
      <c r="M394" s="2"/>
      <c r="N394" s="2"/>
      <c r="O394" s="2"/>
      <c r="P394" s="2"/>
    </row>
    <row r="395" spans="1:19">
      <c r="A395" t="s">
        <v>123</v>
      </c>
      <c r="B395" s="2"/>
      <c r="C395" s="2"/>
      <c r="D395" s="2"/>
      <c r="E395" s="2"/>
      <c r="F395" s="2"/>
      <c r="G395" s="2"/>
      <c r="H395" s="2"/>
      <c r="I395" s="2"/>
    </row>
    <row r="396" spans="1:19">
      <c r="A396" t="s">
        <v>171</v>
      </c>
      <c r="B396" s="2">
        <v>500364</v>
      </c>
      <c r="C396" s="2">
        <v>494591</v>
      </c>
      <c r="D396" s="2">
        <v>490547</v>
      </c>
      <c r="E396" s="2">
        <v>503596</v>
      </c>
      <c r="F396" s="2">
        <v>519183</v>
      </c>
      <c r="G396" s="2">
        <v>551551</v>
      </c>
      <c r="H396" s="2">
        <v>581065</v>
      </c>
      <c r="I396" s="2">
        <v>609068</v>
      </c>
    </row>
    <row r="397" spans="1:19">
      <c r="A397" t="s">
        <v>172</v>
      </c>
    </row>
    <row r="399" spans="1:19">
      <c r="A399" t="s">
        <v>171</v>
      </c>
    </row>
    <row r="400" spans="1:19" ht="16.5" customHeight="1">
      <c r="A400" t="s">
        <v>173</v>
      </c>
      <c r="B400" s="2">
        <v>8000</v>
      </c>
      <c r="C400" s="2">
        <v>8000</v>
      </c>
      <c r="D400" s="2">
        <v>8000</v>
      </c>
      <c r="E400" s="2">
        <v>8000</v>
      </c>
      <c r="F400" s="2">
        <v>8000</v>
      </c>
      <c r="G400" s="2">
        <v>8450</v>
      </c>
      <c r="H400" s="2">
        <v>8575</v>
      </c>
      <c r="I400" s="2">
        <v>9333</v>
      </c>
    </row>
    <row r="401" spans="1:16">
      <c r="A401" t="s">
        <v>174</v>
      </c>
      <c r="B401" s="5"/>
      <c r="C401" s="5"/>
      <c r="D401" s="5"/>
      <c r="E401" s="5"/>
      <c r="F401" s="5"/>
      <c r="L401" s="5"/>
      <c r="M401" s="5"/>
      <c r="N401" s="5"/>
      <c r="O401" s="5"/>
      <c r="P401" s="5"/>
    </row>
    <row r="403" spans="1:16">
      <c r="A403" t="s">
        <v>173</v>
      </c>
      <c r="B403" s="5"/>
      <c r="C403" s="5"/>
      <c r="D403" s="5"/>
      <c r="E403" s="5"/>
      <c r="F403" s="5"/>
    </row>
    <row r="404" spans="1:16">
      <c r="A404" t="s">
        <v>175</v>
      </c>
      <c r="B404" s="2">
        <v>20.68</v>
      </c>
      <c r="C404" s="2">
        <v>38.36</v>
      </c>
      <c r="D404" s="2">
        <v>80.36</v>
      </c>
      <c r="E404" s="2">
        <v>16.47</v>
      </c>
      <c r="F404" s="2">
        <v>10.39</v>
      </c>
      <c r="G404">
        <v>8.66</v>
      </c>
      <c r="H404">
        <v>8.08</v>
      </c>
      <c r="I404">
        <v>7.32</v>
      </c>
    </row>
    <row r="405" spans="1:16">
      <c r="A405" t="s">
        <v>176</v>
      </c>
    </row>
    <row r="406" spans="1:16">
      <c r="B406" s="2"/>
      <c r="C406" s="2"/>
      <c r="D406" s="2"/>
      <c r="E406" s="2"/>
      <c r="F406" s="2"/>
    </row>
    <row r="407" spans="1:16">
      <c r="A407" t="s">
        <v>27</v>
      </c>
      <c r="B407" s="5"/>
      <c r="C407" s="5"/>
      <c r="D407" s="5"/>
      <c r="E407" s="5"/>
      <c r="F407" s="5"/>
      <c r="L407" s="2"/>
      <c r="M407" s="2"/>
      <c r="N407" s="2"/>
      <c r="O407" s="2"/>
      <c r="P407" s="2"/>
    </row>
    <row r="408" spans="1:16">
      <c r="A408" t="s">
        <v>177</v>
      </c>
      <c r="B408" s="2">
        <v>0.65</v>
      </c>
      <c r="C408" s="2">
        <v>0.56000000000000005</v>
      </c>
      <c r="D408" s="2">
        <v>0.34</v>
      </c>
      <c r="E408" s="2">
        <v>0.51</v>
      </c>
      <c r="F408" s="2">
        <v>0.64</v>
      </c>
      <c r="G408">
        <v>0.57999999999999996</v>
      </c>
      <c r="H408">
        <v>0.55000000000000004</v>
      </c>
      <c r="I408">
        <v>0.53</v>
      </c>
    </row>
    <row r="409" spans="1:16">
      <c r="A409" t="s">
        <v>178</v>
      </c>
      <c r="B409" s="2"/>
      <c r="C409" s="2"/>
      <c r="D409" s="2"/>
      <c r="E409" s="2"/>
      <c r="F409" s="2"/>
    </row>
    <row r="411" spans="1:16">
      <c r="A411" t="s">
        <v>35</v>
      </c>
      <c r="B411" s="2"/>
      <c r="C411" s="2"/>
      <c r="D411" s="2"/>
      <c r="E411" s="2"/>
      <c r="F411" s="2"/>
      <c r="G411" s="2"/>
    </row>
    <row r="412" spans="1:16">
      <c r="A412" t="s">
        <v>179</v>
      </c>
      <c r="B412" s="2">
        <v>87187</v>
      </c>
      <c r="C412" s="2">
        <v>87187</v>
      </c>
      <c r="D412" s="2">
        <v>87187</v>
      </c>
      <c r="E412" s="2">
        <v>87187</v>
      </c>
      <c r="F412" s="2">
        <v>87187</v>
      </c>
    </row>
    <row r="413" spans="1:16" ht="16.5" customHeight="1">
      <c r="A413" t="s">
        <v>180</v>
      </c>
      <c r="B413" s="5">
        <v>2.4500000000000002</v>
      </c>
      <c r="C413" s="5">
        <v>2.9</v>
      </c>
      <c r="D413" s="5">
        <v>4.8</v>
      </c>
      <c r="E413" s="5">
        <v>3.11</v>
      </c>
      <c r="F413" s="5">
        <v>2.41</v>
      </c>
    </row>
    <row r="414" spans="1:16">
      <c r="A414" t="s">
        <v>181</v>
      </c>
      <c r="L414" s="5"/>
      <c r="M414" s="5"/>
      <c r="N414" s="5"/>
      <c r="O414" s="5"/>
      <c r="P414" s="5"/>
    </row>
    <row r="415" spans="1:16">
      <c r="B415" s="5"/>
      <c r="C415" s="5"/>
      <c r="D415" s="5"/>
      <c r="E415" s="5"/>
      <c r="F415" s="5"/>
    </row>
    <row r="416" spans="1:16">
      <c r="A416" t="s">
        <v>36</v>
      </c>
      <c r="B416" s="5"/>
      <c r="C416" s="5"/>
      <c r="D416" s="5"/>
      <c r="E416" s="5"/>
      <c r="F416" s="5"/>
      <c r="M416" s="4"/>
    </row>
    <row r="417" spans="1:19">
      <c r="A417" t="s">
        <v>138</v>
      </c>
      <c r="B417" s="2"/>
      <c r="C417" s="2"/>
      <c r="D417" s="2"/>
      <c r="E417" s="2"/>
      <c r="F417" s="2"/>
    </row>
    <row r="418" spans="1:19">
      <c r="A418" t="s">
        <v>141</v>
      </c>
      <c r="B418" s="5" t="s">
        <v>143</v>
      </c>
      <c r="C418" s="5"/>
      <c r="D418" s="5"/>
      <c r="E418" s="5"/>
      <c r="F418" s="5"/>
      <c r="N418" s="2"/>
      <c r="O418" s="2"/>
      <c r="P418" s="2"/>
      <c r="Q418" s="2"/>
      <c r="R418" s="2"/>
      <c r="S418" s="2"/>
    </row>
    <row r="419" spans="1:19">
      <c r="B419" s="5">
        <v>42705</v>
      </c>
      <c r="C419" s="5">
        <v>42795</v>
      </c>
      <c r="D419" s="5">
        <v>42887</v>
      </c>
      <c r="E419" s="5">
        <v>42979</v>
      </c>
      <c r="F419" s="5">
        <v>43070</v>
      </c>
      <c r="G419" s="2" t="s">
        <v>182</v>
      </c>
      <c r="H419" s="2" t="s">
        <v>182</v>
      </c>
      <c r="I419" s="2" t="s">
        <v>182</v>
      </c>
    </row>
    <row r="420" spans="1:19">
      <c r="B420" s="2"/>
      <c r="C420" s="2"/>
      <c r="D420" s="2"/>
      <c r="E420" s="2"/>
      <c r="F420" s="2"/>
      <c r="G420" t="s">
        <v>183</v>
      </c>
      <c r="H420" t="s">
        <v>183</v>
      </c>
      <c r="I420" t="s">
        <v>183</v>
      </c>
    </row>
    <row r="422" spans="1:19">
      <c r="B422" s="2"/>
      <c r="C422" s="2"/>
      <c r="D422" s="2"/>
      <c r="E422" s="2"/>
      <c r="F422" s="2"/>
      <c r="G422" s="2" t="s">
        <v>604</v>
      </c>
      <c r="H422" s="2" t="s">
        <v>607</v>
      </c>
      <c r="I422" s="2" t="s">
        <v>631</v>
      </c>
    </row>
    <row r="423" spans="1:19">
      <c r="A423" t="s">
        <v>121</v>
      </c>
      <c r="B423" s="2">
        <v>150174</v>
      </c>
      <c r="C423" s="2">
        <v>150772</v>
      </c>
      <c r="D423" s="2">
        <v>149444</v>
      </c>
      <c r="E423" s="2">
        <v>150361</v>
      </c>
      <c r="F423" s="2">
        <v>155974</v>
      </c>
      <c r="G423" s="2">
        <v>153595</v>
      </c>
      <c r="H423" s="2">
        <v>156461</v>
      </c>
      <c r="I423" s="2">
        <v>155395</v>
      </c>
      <c r="L423" s="2"/>
      <c r="M423" s="2"/>
      <c r="N423" s="2"/>
      <c r="O423" s="2"/>
      <c r="P423" s="2"/>
      <c r="Q423" s="2"/>
      <c r="R423" s="2"/>
      <c r="S423" s="2"/>
    </row>
    <row r="424" spans="1:19">
      <c r="A424" t="s">
        <v>122</v>
      </c>
      <c r="B424" s="2">
        <v>4717</v>
      </c>
      <c r="C424" s="2">
        <v>13650</v>
      </c>
      <c r="D424" s="2">
        <v>9791</v>
      </c>
      <c r="E424" s="2">
        <v>11257</v>
      </c>
      <c r="F424" s="2">
        <v>11521</v>
      </c>
      <c r="G424" s="2">
        <v>13415</v>
      </c>
      <c r="H424" s="2">
        <v>12715</v>
      </c>
      <c r="I424" s="2">
        <v>12109</v>
      </c>
      <c r="L424" s="2"/>
      <c r="M424" s="2"/>
      <c r="N424" s="2"/>
      <c r="O424" s="2"/>
      <c r="P424" s="2"/>
      <c r="Q424" s="2"/>
      <c r="R424" s="2"/>
      <c r="S424" s="2"/>
    </row>
    <row r="425" spans="1:19">
      <c r="A425" t="s">
        <v>144</v>
      </c>
      <c r="B425" s="2">
        <v>137</v>
      </c>
      <c r="C425" s="2">
        <v>9769</v>
      </c>
      <c r="D425" s="2">
        <v>5301</v>
      </c>
      <c r="E425" s="2">
        <v>9066</v>
      </c>
      <c r="F425" s="2">
        <v>5599</v>
      </c>
      <c r="G425" s="2">
        <v>8901</v>
      </c>
      <c r="H425" s="2">
        <v>8014</v>
      </c>
      <c r="I425" s="2">
        <v>7693</v>
      </c>
      <c r="L425" s="2"/>
      <c r="M425" s="2"/>
      <c r="N425" s="2"/>
      <c r="O425" s="2"/>
      <c r="P425" s="2"/>
      <c r="Q425" s="2"/>
      <c r="R425" s="2"/>
      <c r="S425" s="2"/>
    </row>
    <row r="426" spans="1:19">
      <c r="A426" t="s">
        <v>145</v>
      </c>
      <c r="B426" s="2">
        <v>1663</v>
      </c>
      <c r="C426" s="2">
        <v>8509</v>
      </c>
      <c r="D426" s="2">
        <v>5128</v>
      </c>
      <c r="E426" s="2">
        <v>8694</v>
      </c>
      <c r="F426" s="2">
        <v>5569</v>
      </c>
      <c r="G426" s="2">
        <v>8392</v>
      </c>
      <c r="H426" s="2">
        <v>7776</v>
      </c>
      <c r="I426" s="2">
        <v>7919</v>
      </c>
      <c r="L426" s="2"/>
      <c r="M426" s="2"/>
      <c r="N426" s="2"/>
      <c r="O426" s="2"/>
      <c r="P426" s="2"/>
      <c r="Q426" s="2"/>
      <c r="R426" s="2"/>
      <c r="S426" s="2"/>
    </row>
    <row r="427" spans="1:19">
      <c r="A427" t="s">
        <v>146</v>
      </c>
      <c r="B427" s="2">
        <v>-1526</v>
      </c>
      <c r="C427" s="2">
        <v>1260</v>
      </c>
      <c r="D427" s="2">
        <v>172</v>
      </c>
      <c r="E427" s="2">
        <v>372</v>
      </c>
      <c r="F427" s="2">
        <v>30</v>
      </c>
      <c r="H427" s="2"/>
      <c r="I427" s="2"/>
      <c r="L427" s="2"/>
      <c r="M427" s="2"/>
      <c r="N427" s="2"/>
      <c r="O427" s="2"/>
      <c r="P427" s="2"/>
      <c r="Q427" s="2"/>
      <c r="R427" s="2"/>
      <c r="S427" s="2"/>
    </row>
    <row r="428" spans="1:19">
      <c r="A428" t="s">
        <v>147</v>
      </c>
      <c r="B428" s="2">
        <v>797630</v>
      </c>
      <c r="C428" s="2">
        <v>785332</v>
      </c>
      <c r="D428" s="2">
        <v>795084</v>
      </c>
      <c r="E428" s="2">
        <v>799807</v>
      </c>
      <c r="F428" s="2">
        <v>790250</v>
      </c>
      <c r="G428" s="2">
        <v>819245</v>
      </c>
      <c r="H428" s="2">
        <v>825076</v>
      </c>
      <c r="I428" s="2">
        <v>830480</v>
      </c>
      <c r="L428" s="2"/>
      <c r="M428" s="2"/>
      <c r="N428" s="2"/>
      <c r="O428" s="2"/>
      <c r="P428" s="2"/>
      <c r="Q428" s="2"/>
      <c r="R428" s="2"/>
      <c r="S428" s="2"/>
    </row>
    <row r="429" spans="1:19">
      <c r="A429" t="s">
        <v>148</v>
      </c>
      <c r="B429" s="2">
        <v>339246</v>
      </c>
      <c r="C429" s="2">
        <v>324204</v>
      </c>
      <c r="D429" s="2">
        <v>326162</v>
      </c>
      <c r="E429" s="2">
        <v>324071</v>
      </c>
      <c r="F429" s="2">
        <v>315610</v>
      </c>
      <c r="G429" s="2">
        <v>332993</v>
      </c>
      <c r="H429" s="2">
        <v>332703</v>
      </c>
      <c r="I429" s="2">
        <v>330937</v>
      </c>
    </row>
    <row r="430" spans="1:19">
      <c r="A430" t="s">
        <v>149</v>
      </c>
      <c r="B430" s="2">
        <v>458384</v>
      </c>
      <c r="C430" s="2">
        <v>461128</v>
      </c>
      <c r="D430" s="2">
        <v>468921</v>
      </c>
      <c r="E430" s="2">
        <v>475736</v>
      </c>
      <c r="F430" s="2">
        <v>474640</v>
      </c>
      <c r="G430" s="2">
        <v>486252</v>
      </c>
      <c r="H430" s="2">
        <v>492373</v>
      </c>
      <c r="I430" s="2">
        <v>499543</v>
      </c>
    </row>
    <row r="431" spans="1:19">
      <c r="A431" t="s">
        <v>150</v>
      </c>
      <c r="B431" s="2">
        <v>423734</v>
      </c>
      <c r="C431" s="2">
        <v>423744</v>
      </c>
      <c r="D431" s="2">
        <v>431202</v>
      </c>
      <c r="E431" s="2">
        <v>437742</v>
      </c>
      <c r="F431" s="2">
        <v>437329</v>
      </c>
      <c r="G431" s="2">
        <v>448508</v>
      </c>
      <c r="H431" s="2">
        <v>454376</v>
      </c>
      <c r="I431" s="2">
        <v>461284</v>
      </c>
    </row>
    <row r="432" spans="1:19">
      <c r="A432" t="s">
        <v>151</v>
      </c>
      <c r="B432" s="2">
        <v>34650</v>
      </c>
      <c r="C432" s="2">
        <v>37384</v>
      </c>
      <c r="D432" s="2">
        <v>37720</v>
      </c>
      <c r="E432" s="2">
        <v>37994</v>
      </c>
      <c r="F432" s="2">
        <v>37311</v>
      </c>
      <c r="G432" s="2">
        <v>37744</v>
      </c>
      <c r="H432" s="2">
        <v>37996</v>
      </c>
      <c r="I432" s="2">
        <v>38259</v>
      </c>
    </row>
    <row r="433" spans="1:16">
      <c r="A433" t="s">
        <v>152</v>
      </c>
      <c r="B433" s="2">
        <v>4824</v>
      </c>
      <c r="C433" s="2">
        <v>4824</v>
      </c>
      <c r="D433" s="2">
        <v>4824</v>
      </c>
      <c r="E433" s="2">
        <v>4824</v>
      </c>
      <c r="F433" s="2">
        <v>4824</v>
      </c>
      <c r="G433" s="2">
        <v>4824</v>
      </c>
      <c r="H433" s="2">
        <v>4824</v>
      </c>
      <c r="I433" s="2">
        <v>4824</v>
      </c>
      <c r="L433" s="4"/>
      <c r="M433" s="4"/>
      <c r="N433" s="4"/>
      <c r="O433" s="4"/>
      <c r="P433" s="4"/>
    </row>
    <row r="434" spans="1:16">
      <c r="A434" t="s">
        <v>153</v>
      </c>
      <c r="B434" s="4">
        <v>74.010000000000005</v>
      </c>
      <c r="C434" s="4">
        <v>70.31</v>
      </c>
      <c r="D434" s="4">
        <v>69.56</v>
      </c>
      <c r="E434" s="4">
        <v>68.12</v>
      </c>
      <c r="F434" s="4">
        <v>66.489999999999995</v>
      </c>
      <c r="G434">
        <v>68.48</v>
      </c>
      <c r="H434">
        <v>67.569999999999993</v>
      </c>
      <c r="I434">
        <v>66.25</v>
      </c>
    </row>
    <row r="435" spans="1:16">
      <c r="A435" t="s">
        <v>154</v>
      </c>
      <c r="F435" s="4"/>
    </row>
    <row r="437" spans="1:16">
      <c r="A437" t="s">
        <v>155</v>
      </c>
      <c r="B437" s="4"/>
      <c r="C437" s="4"/>
      <c r="D437" s="4"/>
      <c r="E437" s="4"/>
      <c r="F437" s="4"/>
    </row>
    <row r="438" spans="1:16">
      <c r="A438" t="s">
        <v>156</v>
      </c>
      <c r="B438" s="4">
        <v>9001.7000000000007</v>
      </c>
      <c r="C438" s="4">
        <v>9001.9</v>
      </c>
      <c r="D438" s="4">
        <v>9156.4500000000007</v>
      </c>
      <c r="E438" s="4">
        <v>9292.0300000000007</v>
      </c>
      <c r="F438" s="4">
        <v>9283.42</v>
      </c>
    </row>
    <row r="439" spans="1:16">
      <c r="A439" t="s">
        <v>157</v>
      </c>
    </row>
    <row r="441" spans="1:16">
      <c r="A441" t="s">
        <v>158</v>
      </c>
    </row>
    <row r="442" spans="1:16">
      <c r="A442" t="s">
        <v>159</v>
      </c>
      <c r="B442">
        <v>3.14</v>
      </c>
      <c r="C442">
        <v>9.0500000000000007</v>
      </c>
      <c r="D442">
        <v>6.55</v>
      </c>
      <c r="E442">
        <v>7.49</v>
      </c>
      <c r="F442">
        <v>7.39</v>
      </c>
      <c r="G442">
        <v>8.73</v>
      </c>
      <c r="H442">
        <v>8.1300000000000008</v>
      </c>
      <c r="I442">
        <v>7.79</v>
      </c>
    </row>
    <row r="443" spans="1:16">
      <c r="A443" t="s">
        <v>160</v>
      </c>
    </row>
    <row r="445" spans="1:16">
      <c r="A445" t="s">
        <v>161</v>
      </c>
    </row>
    <row r="446" spans="1:16">
      <c r="A446" t="s">
        <v>162</v>
      </c>
      <c r="B446" s="2">
        <v>1.1100000000000001</v>
      </c>
      <c r="C446" s="2">
        <v>5.64</v>
      </c>
      <c r="D446" s="2">
        <v>3.43</v>
      </c>
      <c r="E446" s="2">
        <v>5.78</v>
      </c>
      <c r="F446" s="2">
        <v>3.57</v>
      </c>
      <c r="G446">
        <v>5.46</v>
      </c>
      <c r="H446">
        <v>4.97</v>
      </c>
      <c r="I446">
        <v>5.0999999999999996</v>
      </c>
    </row>
    <row r="447" spans="1:16">
      <c r="A447" t="s">
        <v>163</v>
      </c>
    </row>
    <row r="449" spans="1:19">
      <c r="A449" t="s">
        <v>164</v>
      </c>
    </row>
    <row r="450" spans="1:19">
      <c r="A450" t="s">
        <v>165</v>
      </c>
      <c r="B450" s="2">
        <v>7.0000000000000007E-2</v>
      </c>
      <c r="C450" s="2">
        <v>4.9400000000000004</v>
      </c>
      <c r="D450" s="2">
        <v>2.68</v>
      </c>
      <c r="E450" s="2">
        <v>4.55</v>
      </c>
      <c r="F450" s="2">
        <v>2.82</v>
      </c>
      <c r="G450">
        <v>4.42</v>
      </c>
      <c r="H450">
        <v>3.9</v>
      </c>
      <c r="I450">
        <v>3.72</v>
      </c>
    </row>
    <row r="451" spans="1:19">
      <c r="A451" t="s">
        <v>166</v>
      </c>
    </row>
    <row r="453" spans="1:19">
      <c r="A453" t="s">
        <v>167</v>
      </c>
    </row>
    <row r="454" spans="1:19">
      <c r="A454" t="s">
        <v>168</v>
      </c>
      <c r="B454" s="2">
        <v>1.58</v>
      </c>
      <c r="C454" s="2">
        <v>8.0299999999999994</v>
      </c>
      <c r="D454" s="2">
        <v>4.8</v>
      </c>
      <c r="E454" s="2">
        <v>8</v>
      </c>
      <c r="F454" s="2">
        <v>5.09</v>
      </c>
      <c r="G454">
        <v>7.58</v>
      </c>
      <c r="H454">
        <v>6.89</v>
      </c>
      <c r="I454">
        <v>6.92</v>
      </c>
    </row>
    <row r="455" spans="1:19">
      <c r="A455" t="s">
        <v>169</v>
      </c>
    </row>
    <row r="456" spans="1:19">
      <c r="B456" s="2"/>
      <c r="C456" s="2"/>
      <c r="D456" s="2"/>
      <c r="E456" s="2"/>
      <c r="F456" s="2"/>
      <c r="H456" s="2"/>
      <c r="I456" s="2"/>
    </row>
    <row r="457" spans="1:19">
      <c r="A457" t="s">
        <v>127</v>
      </c>
      <c r="L457" s="2"/>
      <c r="M457" s="2"/>
      <c r="N457" s="2"/>
      <c r="O457" s="2"/>
      <c r="P457" s="2"/>
      <c r="Q457" s="2"/>
      <c r="R457" s="2"/>
      <c r="S457" s="2"/>
    </row>
    <row r="458" spans="1:19">
      <c r="A458" t="s">
        <v>123</v>
      </c>
      <c r="B458" s="2">
        <v>1907</v>
      </c>
      <c r="C458" s="2">
        <v>9760</v>
      </c>
      <c r="D458" s="2">
        <v>5882</v>
      </c>
      <c r="E458" s="2">
        <v>9972</v>
      </c>
      <c r="F458" s="2">
        <v>6388</v>
      </c>
      <c r="G458" s="2">
        <v>9625</v>
      </c>
      <c r="H458" s="2">
        <v>8919</v>
      </c>
      <c r="I458" s="2">
        <v>9083</v>
      </c>
    </row>
    <row r="459" spans="1:19">
      <c r="A459" t="s">
        <v>170</v>
      </c>
      <c r="B459" s="2"/>
      <c r="C459" s="2"/>
      <c r="D459" s="2"/>
      <c r="E459" s="2"/>
      <c r="F459" s="2"/>
      <c r="G459" s="2"/>
      <c r="H459" s="2"/>
    </row>
    <row r="460" spans="1:19">
      <c r="B460" s="2"/>
      <c r="C460" s="2"/>
      <c r="D460" s="2"/>
      <c r="E460" s="2"/>
      <c r="F460" s="2"/>
      <c r="M460" s="2"/>
    </row>
    <row r="461" spans="1:19">
      <c r="A461" t="s">
        <v>123</v>
      </c>
      <c r="B461" s="2"/>
      <c r="C461" s="2"/>
      <c r="D461" s="2"/>
      <c r="E461" s="2"/>
      <c r="F461" s="2"/>
      <c r="H461" s="2"/>
      <c r="I461" s="2"/>
    </row>
    <row r="462" spans="1:19">
      <c r="A462" t="s">
        <v>171</v>
      </c>
      <c r="B462" s="2">
        <v>503596</v>
      </c>
      <c r="C462" s="2">
        <v>503607</v>
      </c>
      <c r="D462" s="2">
        <v>512158</v>
      </c>
      <c r="E462" s="2">
        <v>519659</v>
      </c>
      <c r="F462" s="2">
        <v>519183</v>
      </c>
      <c r="G462" s="2">
        <v>532005</v>
      </c>
      <c r="H462" s="2">
        <v>538736</v>
      </c>
      <c r="I462" s="2">
        <v>546658</v>
      </c>
    </row>
    <row r="463" spans="1:19">
      <c r="A463" t="s">
        <v>172</v>
      </c>
    </row>
    <row r="465" spans="1:18">
      <c r="A465" t="s">
        <v>171</v>
      </c>
    </row>
    <row r="466" spans="1:18" ht="16.5" customHeight="1">
      <c r="A466" t="s">
        <v>173</v>
      </c>
      <c r="B466" s="2">
        <v>5750</v>
      </c>
      <c r="C466" s="2">
        <v>1500</v>
      </c>
      <c r="D466" s="2">
        <v>1500</v>
      </c>
      <c r="E466" s="2">
        <v>1500</v>
      </c>
      <c r="F466" s="2">
        <v>3500</v>
      </c>
      <c r="G466" s="2">
        <v>1500</v>
      </c>
      <c r="H466" s="2">
        <v>1875</v>
      </c>
      <c r="I466" s="2">
        <v>1500</v>
      </c>
    </row>
    <row r="467" spans="1:18">
      <c r="A467" t="s">
        <v>174</v>
      </c>
      <c r="B467" s="5"/>
      <c r="C467" s="5"/>
      <c r="D467" s="5"/>
      <c r="F467" s="5"/>
      <c r="G467" s="5"/>
      <c r="H467" s="5"/>
      <c r="L467" s="5"/>
      <c r="M467" s="5"/>
      <c r="N467" s="5"/>
      <c r="P467" s="5"/>
      <c r="Q467" s="5"/>
      <c r="R467" s="5"/>
    </row>
    <row r="469" spans="1:18">
      <c r="A469" t="s">
        <v>173</v>
      </c>
      <c r="B469" s="5"/>
      <c r="C469" s="5"/>
      <c r="D469" s="5"/>
      <c r="F469" s="5"/>
      <c r="G469" s="5"/>
      <c r="H469" s="5"/>
    </row>
    <row r="470" spans="1:18">
      <c r="A470" t="s">
        <v>175</v>
      </c>
      <c r="B470" s="2"/>
      <c r="C470" s="2"/>
      <c r="D470" s="2"/>
      <c r="E470" s="2"/>
      <c r="F470" s="2"/>
    </row>
    <row r="471" spans="1:18">
      <c r="A471" t="s">
        <v>176</v>
      </c>
    </row>
    <row r="472" spans="1:18">
      <c r="B472" s="2"/>
      <c r="C472" s="2"/>
      <c r="D472" s="2"/>
      <c r="E472" s="2"/>
      <c r="F472" s="2"/>
    </row>
    <row r="473" spans="1:18">
      <c r="A473" t="s">
        <v>27</v>
      </c>
      <c r="B473" s="5"/>
      <c r="C473" s="5"/>
      <c r="D473" s="5"/>
      <c r="F473" s="5"/>
      <c r="G473" s="5"/>
      <c r="H473" s="5"/>
      <c r="L473" s="2"/>
      <c r="M473" s="2"/>
      <c r="N473" s="2"/>
      <c r="O473" s="2"/>
      <c r="P473" s="2"/>
    </row>
    <row r="474" spans="1:18">
      <c r="A474" t="s">
        <v>177</v>
      </c>
      <c r="B474" s="2">
        <v>0.51</v>
      </c>
      <c r="C474" s="2">
        <v>0.57999999999999996</v>
      </c>
      <c r="D474" s="2">
        <v>0.56000000000000005</v>
      </c>
      <c r="E474" s="2">
        <v>0.61</v>
      </c>
      <c r="F474" s="2">
        <v>0.64</v>
      </c>
      <c r="G474">
        <v>0.6</v>
      </c>
      <c r="H474">
        <v>0.6</v>
      </c>
      <c r="I474">
        <v>0.59</v>
      </c>
      <c r="L474" s="2"/>
    </row>
    <row r="475" spans="1:18">
      <c r="A475" t="s">
        <v>178</v>
      </c>
      <c r="B475" s="2"/>
      <c r="C475" s="2"/>
      <c r="D475" s="2"/>
      <c r="E475" s="2"/>
      <c r="F475" s="2"/>
    </row>
    <row r="477" spans="1:18">
      <c r="A477" t="s">
        <v>35</v>
      </c>
      <c r="B477" s="2"/>
      <c r="C477" s="2"/>
      <c r="D477" s="2"/>
      <c r="E477" s="2"/>
      <c r="F477" s="2"/>
      <c r="G477" s="5"/>
      <c r="H477" s="5"/>
    </row>
    <row r="478" spans="1:18">
      <c r="A478" t="s">
        <v>179</v>
      </c>
      <c r="B478" s="2">
        <v>87187</v>
      </c>
      <c r="C478" s="2">
        <v>87187</v>
      </c>
      <c r="D478" s="2">
        <v>87187</v>
      </c>
      <c r="E478" s="2">
        <v>87187</v>
      </c>
      <c r="F478" s="2">
        <v>87187</v>
      </c>
      <c r="M478" s="4"/>
      <c r="N478" s="4"/>
    </row>
    <row r="479" spans="1:18" ht="16.5" customHeight="1">
      <c r="A479" t="s">
        <v>180</v>
      </c>
      <c r="B479" s="5">
        <v>2.23</v>
      </c>
      <c r="C479" s="5">
        <v>0.52</v>
      </c>
      <c r="D479" s="5">
        <v>0.52</v>
      </c>
      <c r="E479">
        <v>0.47</v>
      </c>
      <c r="F479" s="5">
        <v>1.05</v>
      </c>
      <c r="G479" s="5"/>
      <c r="H479" s="5"/>
    </row>
    <row r="480" spans="1:18">
      <c r="A480" t="s">
        <v>181</v>
      </c>
      <c r="B480" s="2"/>
      <c r="C480" s="2"/>
      <c r="D480" s="2"/>
      <c r="F480" s="2"/>
      <c r="G480" s="2"/>
      <c r="H480" s="2"/>
      <c r="L480" s="5"/>
      <c r="M480" s="5"/>
      <c r="N480" s="5"/>
      <c r="P480" s="5"/>
      <c r="Q480" s="5"/>
      <c r="R480" s="5"/>
    </row>
    <row r="481" spans="1:19">
      <c r="B481" s="5"/>
      <c r="C481" s="5"/>
      <c r="D481" s="5"/>
      <c r="F481" s="5"/>
      <c r="G481" s="5"/>
      <c r="H481" s="5"/>
    </row>
    <row r="482" spans="1:19">
      <c r="A482" t="s">
        <v>36</v>
      </c>
      <c r="B482" s="5"/>
      <c r="C482" s="5"/>
      <c r="D482" s="5"/>
      <c r="F482" s="5"/>
      <c r="G482" s="5"/>
      <c r="H482" s="5"/>
    </row>
    <row r="483" spans="1:19">
      <c r="A483" t="s">
        <v>138</v>
      </c>
      <c r="D483" s="2"/>
    </row>
    <row r="484" spans="1:19">
      <c r="A484" t="s">
        <v>583</v>
      </c>
      <c r="B484" s="5" t="s">
        <v>142</v>
      </c>
      <c r="C484" s="5"/>
      <c r="D484" s="5"/>
      <c r="F484" s="5" t="s">
        <v>143</v>
      </c>
      <c r="G484" s="5"/>
      <c r="H484" s="5"/>
      <c r="L484" s="2"/>
      <c r="M484" s="2"/>
      <c r="N484" s="2"/>
      <c r="O484" s="2"/>
      <c r="P484" s="2"/>
      <c r="Q484" s="2"/>
      <c r="R484" s="2"/>
      <c r="S484" s="2"/>
    </row>
    <row r="485" spans="1:19">
      <c r="B485" s="5">
        <v>42339</v>
      </c>
      <c r="C485" s="5">
        <v>42705</v>
      </c>
      <c r="D485" s="5">
        <v>43070</v>
      </c>
      <c r="E485" t="s">
        <v>182</v>
      </c>
      <c r="F485" s="5">
        <v>42887</v>
      </c>
      <c r="G485" s="5">
        <v>42979</v>
      </c>
      <c r="H485" s="5">
        <v>43070</v>
      </c>
      <c r="I485" t="s">
        <v>182</v>
      </c>
      <c r="L485" s="2"/>
      <c r="M485" s="2"/>
      <c r="N485" s="2"/>
      <c r="O485" s="2"/>
    </row>
    <row r="486" spans="1:19">
      <c r="B486" s="2"/>
      <c r="C486" s="2"/>
      <c r="D486" s="2"/>
      <c r="E486" t="s">
        <v>183</v>
      </c>
      <c r="F486" s="2"/>
      <c r="G486" s="2"/>
      <c r="H486" s="2"/>
      <c r="I486" t="s">
        <v>183</v>
      </c>
      <c r="L486" s="2"/>
      <c r="M486" s="2"/>
      <c r="N486" s="2"/>
      <c r="O486" s="2"/>
    </row>
    <row r="487" spans="1:19">
      <c r="L487" s="2"/>
      <c r="M487" s="2"/>
      <c r="N487" s="2"/>
      <c r="O487" s="2"/>
      <c r="P487" s="2"/>
      <c r="Q487" s="2"/>
      <c r="R487" s="2"/>
      <c r="S487" s="2"/>
    </row>
    <row r="488" spans="1:19">
      <c r="B488" s="2"/>
      <c r="C488" s="2"/>
      <c r="D488" s="2"/>
      <c r="E488" t="s">
        <v>205</v>
      </c>
      <c r="F488" s="2"/>
      <c r="G488" s="2"/>
      <c r="H488" s="2"/>
      <c r="I488" t="s">
        <v>604</v>
      </c>
      <c r="L488" s="2"/>
      <c r="M488" s="2"/>
      <c r="N488" s="2"/>
      <c r="O488" s="2"/>
      <c r="P488" s="2"/>
      <c r="Q488" s="2"/>
      <c r="R488" s="2"/>
      <c r="S488" s="2"/>
    </row>
    <row r="489" spans="1:19">
      <c r="A489" t="s">
        <v>121</v>
      </c>
      <c r="B489" s="2">
        <v>256072</v>
      </c>
      <c r="C489" s="2">
        <v>243249</v>
      </c>
      <c r="D489" s="2">
        <v>285538</v>
      </c>
      <c r="E489" s="2">
        <v>301594</v>
      </c>
      <c r="F489" s="2">
        <v>71343</v>
      </c>
      <c r="G489" s="2">
        <v>72550</v>
      </c>
      <c r="H489" s="2">
        <v>70970</v>
      </c>
      <c r="I489" s="2">
        <v>74505</v>
      </c>
      <c r="L489" s="2"/>
      <c r="M489" s="2"/>
      <c r="N489" s="2"/>
      <c r="O489" s="2"/>
      <c r="P489" s="2"/>
      <c r="Q489" s="2"/>
      <c r="R489" s="2"/>
      <c r="S489" s="2"/>
    </row>
    <row r="490" spans="1:19">
      <c r="A490" t="s">
        <v>122</v>
      </c>
      <c r="B490" s="2">
        <v>22382</v>
      </c>
      <c r="C490" s="2">
        <v>26353</v>
      </c>
      <c r="D490" s="2">
        <v>29025</v>
      </c>
      <c r="E490" s="2">
        <v>35696</v>
      </c>
      <c r="F490" s="2">
        <v>5850</v>
      </c>
      <c r="G490" s="2">
        <v>7218</v>
      </c>
      <c r="H490" s="2">
        <v>8003</v>
      </c>
      <c r="I490" s="2">
        <v>9314</v>
      </c>
      <c r="L490" s="2"/>
      <c r="M490" s="2"/>
      <c r="N490" s="2"/>
      <c r="O490" s="2"/>
      <c r="P490" s="2"/>
      <c r="Q490" s="2"/>
      <c r="R490" s="2"/>
      <c r="S490" s="2"/>
    </row>
    <row r="491" spans="1:19">
      <c r="A491" t="s">
        <v>144</v>
      </c>
      <c r="B491" s="2">
        <v>13183</v>
      </c>
      <c r="C491" s="2">
        <v>17850</v>
      </c>
      <c r="D491" s="2">
        <v>25457</v>
      </c>
      <c r="E491" s="2">
        <v>26359</v>
      </c>
      <c r="F491" s="2">
        <v>5092</v>
      </c>
      <c r="G491" s="2">
        <v>7299</v>
      </c>
      <c r="H491" s="2">
        <v>4670</v>
      </c>
      <c r="I491" s="2">
        <v>6873</v>
      </c>
    </row>
    <row r="492" spans="1:19">
      <c r="A492" t="s">
        <v>147</v>
      </c>
      <c r="B492" s="2">
        <v>513094</v>
      </c>
      <c r="C492" s="2">
        <v>520558</v>
      </c>
      <c r="D492" s="2">
        <v>536923</v>
      </c>
      <c r="F492" s="2">
        <v>526673</v>
      </c>
      <c r="G492" s="2">
        <v>530936</v>
      </c>
      <c r="H492" s="2">
        <v>536923</v>
      </c>
    </row>
    <row r="493" spans="1:19">
      <c r="A493" t="s">
        <v>148</v>
      </c>
      <c r="B493" s="2">
        <v>82839</v>
      </c>
      <c r="C493" s="2">
        <v>77263</v>
      </c>
      <c r="D493" s="2">
        <v>77508</v>
      </c>
      <c r="F493" s="2">
        <v>73696</v>
      </c>
      <c r="G493" s="2">
        <v>74387</v>
      </c>
      <c r="H493" s="2">
        <v>77508</v>
      </c>
    </row>
    <row r="494" spans="1:19">
      <c r="A494" t="s">
        <v>149</v>
      </c>
      <c r="B494" s="2">
        <v>430256</v>
      </c>
      <c r="C494" s="2">
        <v>443294</v>
      </c>
      <c r="D494" s="2">
        <v>459415</v>
      </c>
      <c r="F494" s="2">
        <v>452977</v>
      </c>
      <c r="G494" s="2">
        <v>456549</v>
      </c>
      <c r="H494" s="2">
        <v>459415</v>
      </c>
    </row>
    <row r="495" spans="1:19">
      <c r="A495" t="s">
        <v>152</v>
      </c>
      <c r="B495" s="2">
        <v>4824</v>
      </c>
      <c r="C495" s="2">
        <v>4824</v>
      </c>
      <c r="D495" s="2">
        <v>4824</v>
      </c>
      <c r="F495" s="2">
        <v>4824</v>
      </c>
      <c r="G495" s="2">
        <v>4824</v>
      </c>
      <c r="H495" s="2">
        <v>4824</v>
      </c>
      <c r="L495" s="4"/>
      <c r="M495" s="4"/>
      <c r="N495" s="4"/>
      <c r="P495" s="4"/>
      <c r="Q495" s="4"/>
      <c r="R495" s="4"/>
    </row>
    <row r="496" spans="1:19">
      <c r="A496" t="s">
        <v>153</v>
      </c>
      <c r="B496">
        <v>19.25</v>
      </c>
      <c r="C496" s="4">
        <v>17.43</v>
      </c>
      <c r="D496" s="4">
        <v>16.87</v>
      </c>
      <c r="F496" s="4">
        <v>16.27</v>
      </c>
      <c r="G496" s="4">
        <v>16.29</v>
      </c>
      <c r="H496" s="4">
        <v>16.87</v>
      </c>
    </row>
    <row r="497" spans="1:9">
      <c r="A497" t="s">
        <v>154</v>
      </c>
      <c r="H497" s="4"/>
    </row>
    <row r="499" spans="1:9">
      <c r="A499" t="s">
        <v>155</v>
      </c>
      <c r="B499" s="4"/>
      <c r="C499" s="4"/>
      <c r="D499" s="4"/>
      <c r="F499" s="4"/>
      <c r="G499" s="4"/>
      <c r="H499" s="4"/>
    </row>
    <row r="500" spans="1:9">
      <c r="A500" t="s">
        <v>156</v>
      </c>
      <c r="B500" s="4">
        <v>9136.9699999999993</v>
      </c>
      <c r="C500" s="4">
        <v>9407.18</v>
      </c>
      <c r="D500" s="4">
        <v>9741.25</v>
      </c>
      <c r="F500" s="4">
        <v>9607.85</v>
      </c>
      <c r="G500" s="4">
        <v>9681.89</v>
      </c>
      <c r="H500" s="4">
        <v>9741.25</v>
      </c>
    </row>
    <row r="501" spans="1:9">
      <c r="A501" t="s">
        <v>157</v>
      </c>
    </row>
    <row r="503" spans="1:9">
      <c r="A503" t="s">
        <v>158</v>
      </c>
    </row>
    <row r="504" spans="1:9">
      <c r="A504" t="s">
        <v>159</v>
      </c>
      <c r="B504">
        <v>8.74</v>
      </c>
      <c r="C504">
        <v>10.83</v>
      </c>
      <c r="D504">
        <v>10.16</v>
      </c>
      <c r="E504">
        <v>11.84</v>
      </c>
      <c r="F504">
        <v>8.1999999999999993</v>
      </c>
      <c r="G504">
        <v>9.9499999999999993</v>
      </c>
      <c r="H504">
        <v>11.28</v>
      </c>
      <c r="I504">
        <v>12.5</v>
      </c>
    </row>
    <row r="505" spans="1:9">
      <c r="A505" t="s">
        <v>160</v>
      </c>
    </row>
    <row r="506" spans="1:9">
      <c r="D506" s="2"/>
      <c r="F506" s="2"/>
      <c r="G506" s="2"/>
      <c r="H506" s="2"/>
    </row>
    <row r="507" spans="1:9">
      <c r="A507" t="s">
        <v>161</v>
      </c>
    </row>
    <row r="508" spans="1:9">
      <c r="A508" t="s">
        <v>184</v>
      </c>
      <c r="B508" s="2">
        <v>5.15</v>
      </c>
      <c r="C508" s="2">
        <v>7.34</v>
      </c>
      <c r="D508" s="2">
        <v>8.92</v>
      </c>
      <c r="E508">
        <v>8.74</v>
      </c>
      <c r="F508" s="2">
        <v>7.14</v>
      </c>
      <c r="G508" s="2">
        <v>10.06</v>
      </c>
      <c r="H508" s="2">
        <v>6.58</v>
      </c>
      <c r="I508">
        <v>9.2200000000000006</v>
      </c>
    </row>
    <row r="509" spans="1:9">
      <c r="A509" t="s">
        <v>163</v>
      </c>
    </row>
    <row r="511" spans="1:9">
      <c r="A511" t="s">
        <v>185</v>
      </c>
    </row>
    <row r="512" spans="1:9">
      <c r="A512" t="s">
        <v>165</v>
      </c>
      <c r="B512" s="2">
        <v>2.54</v>
      </c>
      <c r="C512" s="2">
        <v>3.45</v>
      </c>
      <c r="D512" s="2">
        <v>4.8099999999999996</v>
      </c>
      <c r="E512">
        <v>4.91</v>
      </c>
      <c r="F512" s="2">
        <v>3.87</v>
      </c>
      <c r="G512" s="2">
        <v>5.52</v>
      </c>
      <c r="H512" s="2">
        <v>3.5</v>
      </c>
      <c r="I512">
        <v>5.12</v>
      </c>
    </row>
    <row r="513" spans="1:19">
      <c r="A513" t="s">
        <v>166</v>
      </c>
    </row>
    <row r="514" spans="1:19">
      <c r="B514" s="2"/>
      <c r="C514" s="2"/>
    </row>
    <row r="515" spans="1:19">
      <c r="A515" t="s">
        <v>167</v>
      </c>
      <c r="M515" s="2"/>
      <c r="N515" s="2"/>
      <c r="O515" s="2"/>
    </row>
    <row r="516" spans="1:19">
      <c r="A516" t="s">
        <v>168</v>
      </c>
      <c r="B516" s="2">
        <v>3.08</v>
      </c>
      <c r="C516" s="2">
        <v>4.09</v>
      </c>
      <c r="D516" s="2">
        <v>5.64</v>
      </c>
      <c r="E516">
        <v>5.74</v>
      </c>
      <c r="F516" s="2">
        <v>4.5199999999999996</v>
      </c>
      <c r="G516" s="2">
        <v>6.42</v>
      </c>
      <c r="H516" s="2">
        <v>4.08</v>
      </c>
      <c r="I516">
        <v>5.98</v>
      </c>
    </row>
    <row r="517" spans="1:19">
      <c r="A517" t="s">
        <v>169</v>
      </c>
      <c r="D517" s="2"/>
    </row>
    <row r="518" spans="1:19">
      <c r="B518" s="2"/>
      <c r="C518" s="2"/>
      <c r="D518" s="2"/>
      <c r="F518" s="2"/>
      <c r="G518" s="2"/>
      <c r="H518" s="2"/>
    </row>
    <row r="519" spans="1:19">
      <c r="A519" t="s">
        <v>127</v>
      </c>
      <c r="C519" s="2"/>
      <c r="L519" s="2"/>
      <c r="M519" s="2"/>
      <c r="N519" s="2"/>
      <c r="O519" s="2"/>
      <c r="P519" s="2"/>
      <c r="Q519" s="2"/>
      <c r="R519" s="2"/>
      <c r="S519" s="2"/>
    </row>
    <row r="520" spans="1:19">
      <c r="A520" t="s">
        <v>123</v>
      </c>
      <c r="B520" s="2">
        <v>15120</v>
      </c>
      <c r="C520" s="2">
        <v>20474</v>
      </c>
      <c r="D520" s="2">
        <v>29198</v>
      </c>
      <c r="E520" s="2">
        <v>30232</v>
      </c>
      <c r="F520" s="2">
        <v>5840</v>
      </c>
      <c r="G520" s="2">
        <v>8372</v>
      </c>
      <c r="H520" s="2">
        <v>5356</v>
      </c>
      <c r="I520" s="2">
        <v>7883</v>
      </c>
    </row>
    <row r="521" spans="1:19">
      <c r="A521" t="s">
        <v>170</v>
      </c>
      <c r="B521" s="2"/>
      <c r="C521" s="2"/>
      <c r="D521" s="2"/>
      <c r="F521" s="2"/>
      <c r="G521" s="2"/>
      <c r="H521" s="2"/>
    </row>
    <row r="522" spans="1:19">
      <c r="B522" s="2"/>
      <c r="C522" s="2"/>
      <c r="D522" s="2"/>
      <c r="F522" s="2"/>
      <c r="G522" s="2"/>
      <c r="H522" s="2"/>
      <c r="L522" s="2"/>
      <c r="M522" s="2"/>
      <c r="N522" s="2"/>
      <c r="P522" s="2"/>
      <c r="Q522" s="2"/>
      <c r="R522" s="2"/>
    </row>
    <row r="523" spans="1:19">
      <c r="A523" t="s">
        <v>123</v>
      </c>
      <c r="B523" s="2"/>
      <c r="C523" s="2"/>
      <c r="D523" s="2"/>
      <c r="F523" s="2"/>
      <c r="G523" s="2"/>
      <c r="H523" s="2"/>
    </row>
    <row r="524" spans="1:19">
      <c r="A524" t="s">
        <v>171</v>
      </c>
      <c r="B524" s="2">
        <v>511080</v>
      </c>
      <c r="C524" s="2">
        <v>526030</v>
      </c>
      <c r="D524" s="2">
        <v>544515</v>
      </c>
      <c r="F524" s="2">
        <v>537134</v>
      </c>
      <c r="G524" s="2">
        <v>541230</v>
      </c>
      <c r="H524" s="2">
        <v>544515</v>
      </c>
    </row>
    <row r="525" spans="1:19">
      <c r="A525" t="s">
        <v>172</v>
      </c>
    </row>
    <row r="527" spans="1:19">
      <c r="A527" t="s">
        <v>171</v>
      </c>
    </row>
    <row r="528" spans="1:19" ht="16.5" customHeight="1">
      <c r="A528" t="s">
        <v>173</v>
      </c>
      <c r="B528" s="2">
        <v>8000</v>
      </c>
      <c r="C528" s="2">
        <v>8000</v>
      </c>
      <c r="D528" s="2">
        <v>8000</v>
      </c>
      <c r="F528" s="2">
        <v>1500</v>
      </c>
      <c r="G528" s="2">
        <v>1500</v>
      </c>
      <c r="H528" s="2">
        <v>3500</v>
      </c>
    </row>
    <row r="529" spans="1:18">
      <c r="A529" t="s">
        <v>174</v>
      </c>
      <c r="B529" s="5"/>
      <c r="C529" s="5"/>
      <c r="D529" s="5"/>
      <c r="E529" s="5"/>
      <c r="F529" s="5"/>
      <c r="L529" s="5"/>
      <c r="M529" s="5"/>
      <c r="N529" s="5"/>
      <c r="O529" s="5"/>
      <c r="P529" s="5"/>
    </row>
    <row r="531" spans="1:18">
      <c r="A531" t="s">
        <v>173</v>
      </c>
      <c r="B531" s="5"/>
      <c r="C531" s="5"/>
      <c r="D531" s="5"/>
      <c r="E531" s="5"/>
      <c r="F531" s="5"/>
    </row>
    <row r="532" spans="1:18">
      <c r="A532" t="s">
        <v>175</v>
      </c>
      <c r="B532" s="2">
        <v>11.01</v>
      </c>
      <c r="C532" s="2">
        <v>12.58</v>
      </c>
      <c r="D532" s="2">
        <v>11.39</v>
      </c>
      <c r="E532">
        <v>10.63</v>
      </c>
      <c r="F532" s="2"/>
      <c r="G532" s="2"/>
      <c r="H532" s="2"/>
    </row>
    <row r="533" spans="1:18">
      <c r="A533" t="s">
        <v>176</v>
      </c>
      <c r="L533" s="2"/>
      <c r="M533" s="2"/>
    </row>
    <row r="534" spans="1:18">
      <c r="B534" s="2"/>
      <c r="C534" s="2"/>
      <c r="D534" s="2"/>
      <c r="F534" s="2"/>
      <c r="G534" s="2"/>
      <c r="H534" s="2"/>
    </row>
    <row r="535" spans="1:18">
      <c r="A535" t="s">
        <v>27</v>
      </c>
      <c r="B535" s="5"/>
      <c r="C535" s="5"/>
      <c r="D535" s="5"/>
      <c r="E535" s="5"/>
      <c r="F535" s="5"/>
      <c r="L535" s="2"/>
      <c r="M535" s="2"/>
      <c r="N535" s="2"/>
      <c r="P535" s="2"/>
      <c r="Q535" s="2"/>
      <c r="R535" s="2"/>
    </row>
    <row r="536" spans="1:18">
      <c r="A536" t="s">
        <v>177</v>
      </c>
      <c r="B536" s="2">
        <v>0.33</v>
      </c>
      <c r="C536" s="2">
        <v>0.49</v>
      </c>
      <c r="D536" s="2">
        <v>0.61</v>
      </c>
      <c r="F536" s="2">
        <v>0.53</v>
      </c>
      <c r="G536" s="2">
        <v>0.59</v>
      </c>
      <c r="H536" s="2">
        <v>0.61</v>
      </c>
      <c r="L536" s="2"/>
      <c r="M536" s="2"/>
      <c r="N536" s="2"/>
    </row>
    <row r="537" spans="1:18">
      <c r="A537" t="s">
        <v>178</v>
      </c>
      <c r="B537" s="2"/>
      <c r="C537" s="2"/>
      <c r="D537" s="2"/>
      <c r="F537" s="2"/>
      <c r="G537" s="2"/>
      <c r="H537" s="2"/>
      <c r="L537" s="2"/>
      <c r="M537" s="2"/>
    </row>
    <row r="539" spans="1:18">
      <c r="A539" t="s">
        <v>35</v>
      </c>
      <c r="B539" s="2"/>
      <c r="C539" s="2"/>
      <c r="D539" s="2"/>
      <c r="E539" s="5"/>
      <c r="F539" s="2"/>
      <c r="G539" s="2"/>
      <c r="H539" s="2"/>
    </row>
    <row r="540" spans="1:18">
      <c r="A540" t="s">
        <v>179</v>
      </c>
      <c r="B540" s="2">
        <v>87187</v>
      </c>
      <c r="C540" s="2">
        <v>87187</v>
      </c>
      <c r="D540" s="2">
        <v>87187</v>
      </c>
      <c r="F540" s="2">
        <v>87187</v>
      </c>
      <c r="G540" s="2">
        <v>87187</v>
      </c>
      <c r="H540" s="2">
        <v>87187</v>
      </c>
      <c r="O540" s="4"/>
      <c r="P540" s="4"/>
    </row>
    <row r="541" spans="1:18" ht="16.5" customHeight="1">
      <c r="A541" t="s">
        <v>180</v>
      </c>
      <c r="B541" s="5">
        <v>4.8</v>
      </c>
      <c r="C541" s="5">
        <v>3.11</v>
      </c>
      <c r="D541" s="5">
        <v>2.41</v>
      </c>
      <c r="E541" s="5"/>
      <c r="F541" s="5">
        <v>0.52</v>
      </c>
      <c r="G541">
        <v>0.47</v>
      </c>
      <c r="H541">
        <v>1.05</v>
      </c>
    </row>
    <row r="542" spans="1:18">
      <c r="A542" t="s">
        <v>181</v>
      </c>
      <c r="B542" s="2"/>
      <c r="C542" s="2"/>
      <c r="D542" s="2"/>
      <c r="E542" s="2"/>
      <c r="F542" s="2"/>
      <c r="L542" s="5"/>
      <c r="M542" s="5"/>
      <c r="N542" s="5"/>
      <c r="O542" s="5"/>
      <c r="P542" s="5"/>
    </row>
    <row r="543" spans="1:18">
      <c r="B543" s="5"/>
      <c r="C543" s="5"/>
      <c r="D543" s="5"/>
      <c r="E543" s="5"/>
      <c r="F543" s="5"/>
    </row>
    <row r="544" spans="1:18">
      <c r="A544" t="s">
        <v>36</v>
      </c>
      <c r="B544" s="5"/>
      <c r="C544" s="5"/>
      <c r="D544" s="5"/>
      <c r="E544" s="5"/>
      <c r="F544" s="5"/>
    </row>
    <row r="545" spans="1:19">
      <c r="A545" t="s">
        <v>138</v>
      </c>
      <c r="F545" s="2"/>
    </row>
    <row r="546" spans="1:19">
      <c r="A546" t="s">
        <v>583</v>
      </c>
      <c r="B546" s="5" t="s">
        <v>142</v>
      </c>
      <c r="C546" s="5"/>
      <c r="D546" s="5"/>
      <c r="E546" s="5"/>
      <c r="F546" s="5"/>
      <c r="L546" s="2"/>
      <c r="M546" s="2"/>
      <c r="N546" s="2"/>
      <c r="O546" s="2"/>
      <c r="P546" s="2"/>
      <c r="Q546" s="2"/>
      <c r="R546" s="2"/>
      <c r="S546" s="2"/>
    </row>
    <row r="547" spans="1:19">
      <c r="B547" s="5">
        <v>41609</v>
      </c>
      <c r="C547" s="5">
        <v>41974</v>
      </c>
      <c r="D547" s="5">
        <v>42339</v>
      </c>
      <c r="E547" s="5">
        <v>42705</v>
      </c>
      <c r="F547" s="5">
        <v>43070</v>
      </c>
      <c r="G547" t="s">
        <v>182</v>
      </c>
      <c r="H547" t="s">
        <v>182</v>
      </c>
      <c r="I547" t="s">
        <v>182</v>
      </c>
      <c r="L547" s="2"/>
      <c r="M547" s="2"/>
      <c r="N547" s="2"/>
      <c r="O547" s="2"/>
      <c r="P547" s="2"/>
      <c r="Q547" s="2"/>
      <c r="R547" s="2"/>
      <c r="S547" s="2"/>
    </row>
    <row r="548" spans="1:19">
      <c r="D548" s="2"/>
      <c r="E548" s="2"/>
      <c r="F548" s="2"/>
      <c r="G548" t="s">
        <v>183</v>
      </c>
      <c r="H548" t="s">
        <v>183</v>
      </c>
      <c r="I548" t="s">
        <v>183</v>
      </c>
      <c r="L548" s="2"/>
      <c r="M548" s="2"/>
      <c r="N548" s="2"/>
      <c r="O548" s="2"/>
      <c r="P548" s="2"/>
      <c r="Q548" s="2"/>
      <c r="R548" s="2"/>
      <c r="S548" s="2"/>
    </row>
    <row r="549" spans="1:19">
      <c r="L549" s="2"/>
      <c r="M549" s="2"/>
      <c r="N549" s="2"/>
      <c r="O549" s="2"/>
      <c r="P549" s="2"/>
      <c r="Q549" s="2"/>
      <c r="R549" s="2"/>
      <c r="S549" s="2"/>
    </row>
    <row r="550" spans="1:19">
      <c r="B550" s="2"/>
      <c r="C550" s="2"/>
      <c r="D550" s="2"/>
      <c r="E550" s="2"/>
      <c r="F550" s="2"/>
      <c r="G550" t="s">
        <v>205</v>
      </c>
      <c r="H550" t="s">
        <v>597</v>
      </c>
      <c r="I550" t="s">
        <v>630</v>
      </c>
      <c r="L550" s="2"/>
      <c r="M550" s="2"/>
      <c r="N550" s="2"/>
      <c r="O550" s="2"/>
      <c r="P550" s="2"/>
      <c r="Q550" s="2"/>
      <c r="R550" s="2"/>
      <c r="S550" s="2"/>
    </row>
    <row r="551" spans="1:19">
      <c r="A551" t="s">
        <v>121</v>
      </c>
      <c r="B551" s="2">
        <v>305435</v>
      </c>
      <c r="C551" s="2">
        <v>292189</v>
      </c>
      <c r="D551" s="2">
        <v>256072</v>
      </c>
      <c r="E551" s="2">
        <v>243249</v>
      </c>
      <c r="F551" s="2">
        <v>285538</v>
      </c>
      <c r="G551" s="2">
        <v>301594</v>
      </c>
      <c r="H551" s="2">
        <v>315342</v>
      </c>
      <c r="I551" s="2">
        <v>340640</v>
      </c>
      <c r="L551" s="2"/>
      <c r="M551" s="2"/>
      <c r="N551" s="2"/>
      <c r="O551" s="2"/>
      <c r="P551" s="2"/>
      <c r="Q551" s="2"/>
      <c r="R551" s="2"/>
      <c r="S551" s="2"/>
    </row>
    <row r="552" spans="1:19">
      <c r="A552" t="s">
        <v>122</v>
      </c>
      <c r="B552" s="2">
        <v>22151</v>
      </c>
      <c r="C552" s="2">
        <v>23500</v>
      </c>
      <c r="D552" s="2">
        <v>22382</v>
      </c>
      <c r="E552" s="2">
        <v>26353</v>
      </c>
      <c r="F552" s="2">
        <v>29025</v>
      </c>
      <c r="G552" s="2">
        <v>35696</v>
      </c>
      <c r="H552" s="2">
        <v>39099</v>
      </c>
      <c r="I552" s="2">
        <v>48780</v>
      </c>
      <c r="N552" s="2"/>
      <c r="O552" s="2"/>
      <c r="P552" s="2"/>
      <c r="Q552" s="2"/>
      <c r="R552" s="2"/>
      <c r="S552" s="2"/>
    </row>
    <row r="553" spans="1:19">
      <c r="A553" t="s">
        <v>144</v>
      </c>
      <c r="B553" s="2">
        <v>15826</v>
      </c>
      <c r="C553" s="2">
        <v>11390</v>
      </c>
      <c r="D553" s="2">
        <v>13183</v>
      </c>
      <c r="E553" s="2">
        <v>17850</v>
      </c>
      <c r="F553" s="2">
        <v>25457</v>
      </c>
      <c r="G553" s="2">
        <v>26359</v>
      </c>
      <c r="H553" s="2">
        <v>28580</v>
      </c>
    </row>
    <row r="554" spans="1:19">
      <c r="A554" t="s">
        <v>147</v>
      </c>
      <c r="B554" s="2">
        <v>542423</v>
      </c>
      <c r="C554" s="2">
        <v>525973</v>
      </c>
      <c r="D554" s="2">
        <v>513094</v>
      </c>
      <c r="E554" s="2">
        <v>520558</v>
      </c>
      <c r="F554" s="2">
        <v>536923</v>
      </c>
    </row>
    <row r="555" spans="1:19">
      <c r="A555" t="s">
        <v>148</v>
      </c>
      <c r="B555" s="2">
        <v>119308</v>
      </c>
      <c r="C555" s="2">
        <v>101219</v>
      </c>
      <c r="D555" s="2">
        <v>82839</v>
      </c>
      <c r="E555" s="2">
        <v>77263</v>
      </c>
      <c r="F555" s="2">
        <v>77508</v>
      </c>
    </row>
    <row r="556" spans="1:19" ht="16.5" customHeight="1">
      <c r="A556" t="s">
        <v>149</v>
      </c>
      <c r="B556" s="2">
        <v>423115</v>
      </c>
      <c r="C556" s="2">
        <v>424754</v>
      </c>
      <c r="D556" s="2">
        <v>430256</v>
      </c>
      <c r="E556" s="2">
        <v>443294</v>
      </c>
      <c r="F556" s="2">
        <v>459415</v>
      </c>
    </row>
    <row r="557" spans="1:19">
      <c r="A557" t="s">
        <v>152</v>
      </c>
      <c r="B557" s="2">
        <v>4824</v>
      </c>
      <c r="C557" s="2">
        <v>4824</v>
      </c>
      <c r="D557" s="2">
        <v>4824</v>
      </c>
      <c r="E557" s="2">
        <v>4824</v>
      </c>
      <c r="F557" s="2">
        <v>4824</v>
      </c>
      <c r="L557" s="4"/>
      <c r="M557" s="4"/>
      <c r="N557" s="4"/>
      <c r="O557" s="4"/>
      <c r="P557" s="4"/>
    </row>
    <row r="558" spans="1:19">
      <c r="A558" t="s">
        <v>153</v>
      </c>
      <c r="B558" s="4">
        <v>28.2</v>
      </c>
      <c r="C558">
        <v>23.83</v>
      </c>
      <c r="D558">
        <v>19.25</v>
      </c>
      <c r="E558" s="4">
        <v>17.43</v>
      </c>
      <c r="F558" s="4">
        <v>16.87</v>
      </c>
    </row>
    <row r="559" spans="1:19">
      <c r="A559" t="s">
        <v>154</v>
      </c>
    </row>
    <row r="560" spans="1:19" ht="16.5" customHeight="1"/>
    <row r="561" spans="1:13">
      <c r="A561" t="s">
        <v>155</v>
      </c>
      <c r="B561" s="4"/>
      <c r="C561" s="4"/>
      <c r="D561" s="4"/>
      <c r="E561" s="4"/>
      <c r="F561" s="4"/>
    </row>
    <row r="562" spans="1:13">
      <c r="A562" t="s">
        <v>156</v>
      </c>
      <c r="B562" s="4">
        <v>8998.32</v>
      </c>
      <c r="C562" s="4">
        <v>9023.0499999999993</v>
      </c>
      <c r="D562" s="4">
        <v>9136.9699999999993</v>
      </c>
      <c r="E562" s="4">
        <v>9407.18</v>
      </c>
      <c r="F562" s="4">
        <v>9741.25</v>
      </c>
    </row>
    <row r="563" spans="1:13">
      <c r="A563" t="s">
        <v>157</v>
      </c>
    </row>
    <row r="565" spans="1:13">
      <c r="A565" t="s">
        <v>158</v>
      </c>
    </row>
    <row r="566" spans="1:13">
      <c r="A566" t="s">
        <v>159</v>
      </c>
      <c r="B566">
        <v>7.25</v>
      </c>
      <c r="C566">
        <v>8.0399999999999991</v>
      </c>
      <c r="D566">
        <v>8.74</v>
      </c>
      <c r="E566">
        <v>10.83</v>
      </c>
      <c r="F566">
        <v>10.16</v>
      </c>
      <c r="G566">
        <v>11.84</v>
      </c>
      <c r="H566">
        <v>12.4</v>
      </c>
      <c r="I566">
        <v>14.32</v>
      </c>
    </row>
    <row r="567" spans="1:13">
      <c r="A567" t="s">
        <v>160</v>
      </c>
    </row>
    <row r="568" spans="1:13">
      <c r="F568" s="2"/>
      <c r="L568" s="2"/>
      <c r="M568" s="2"/>
    </row>
    <row r="569" spans="1:13">
      <c r="A569" t="s">
        <v>161</v>
      </c>
    </row>
    <row r="570" spans="1:13">
      <c r="A570" t="s">
        <v>184</v>
      </c>
      <c r="B570">
        <v>5.18</v>
      </c>
      <c r="C570">
        <v>3.9</v>
      </c>
      <c r="D570" s="2">
        <v>5.15</v>
      </c>
      <c r="E570" s="2">
        <v>7.34</v>
      </c>
      <c r="F570" s="2">
        <v>8.92</v>
      </c>
      <c r="G570">
        <v>8.74</v>
      </c>
      <c r="H570">
        <v>9.06</v>
      </c>
    </row>
    <row r="571" spans="1:13">
      <c r="A571" t="s">
        <v>163</v>
      </c>
    </row>
    <row r="573" spans="1:13">
      <c r="A573" t="s">
        <v>185</v>
      </c>
    </row>
    <row r="574" spans="1:13">
      <c r="A574" t="s">
        <v>165</v>
      </c>
      <c r="B574" s="2">
        <v>2.97</v>
      </c>
      <c r="C574" s="2">
        <v>2.13</v>
      </c>
      <c r="D574" s="2">
        <v>2.54</v>
      </c>
      <c r="E574" s="2">
        <v>3.45</v>
      </c>
      <c r="F574" s="2">
        <v>4.8099999999999996</v>
      </c>
      <c r="G574">
        <v>4.91</v>
      </c>
    </row>
    <row r="575" spans="1:13">
      <c r="A575" t="s">
        <v>166</v>
      </c>
    </row>
    <row r="576" spans="1:13">
      <c r="B576" s="2"/>
      <c r="C576" s="2"/>
      <c r="D576" s="2"/>
      <c r="E576" s="2"/>
    </row>
    <row r="577" spans="1:19">
      <c r="A577" t="s">
        <v>167</v>
      </c>
      <c r="L577" s="2"/>
      <c r="M577" s="2"/>
      <c r="O577" s="2"/>
      <c r="P577" s="2"/>
      <c r="Q577" s="2"/>
      <c r="R577" s="2"/>
      <c r="S577" s="2"/>
    </row>
    <row r="578" spans="1:19">
      <c r="A578" t="s">
        <v>168</v>
      </c>
      <c r="B578" s="2">
        <v>3.88</v>
      </c>
      <c r="C578" s="2">
        <v>2.69</v>
      </c>
      <c r="D578" s="2">
        <v>3.08</v>
      </c>
      <c r="E578" s="2">
        <v>4.09</v>
      </c>
      <c r="F578" s="2">
        <v>5.64</v>
      </c>
      <c r="G578">
        <v>5.74</v>
      </c>
    </row>
    <row r="579" spans="1:19">
      <c r="A579" t="s">
        <v>169</v>
      </c>
      <c r="F579" s="2"/>
    </row>
    <row r="580" spans="1:19">
      <c r="B580" s="2"/>
      <c r="C580" s="2"/>
      <c r="D580" s="2"/>
      <c r="E580" s="2"/>
      <c r="F580" s="2"/>
    </row>
    <row r="581" spans="1:19">
      <c r="A581" t="s">
        <v>127</v>
      </c>
      <c r="B581" s="2"/>
      <c r="E581" s="2"/>
      <c r="L581" s="2"/>
      <c r="M581" s="2"/>
      <c r="N581" s="2"/>
      <c r="O581" s="2"/>
      <c r="P581" s="2"/>
      <c r="Q581" s="2"/>
      <c r="R581" s="2"/>
      <c r="S581" s="2"/>
    </row>
    <row r="582" spans="1:19">
      <c r="A582" t="s">
        <v>123</v>
      </c>
      <c r="B582" s="2">
        <v>18152</v>
      </c>
      <c r="C582" s="2">
        <v>13063</v>
      </c>
      <c r="D582" s="2">
        <v>15120</v>
      </c>
      <c r="E582" s="2">
        <v>20474</v>
      </c>
      <c r="F582" s="2">
        <v>29198</v>
      </c>
      <c r="G582" s="2">
        <v>30232</v>
      </c>
      <c r="H582" s="2">
        <v>32780</v>
      </c>
    </row>
    <row r="583" spans="1:19">
      <c r="A583" t="s">
        <v>170</v>
      </c>
      <c r="B583" s="2"/>
      <c r="C583" s="2"/>
      <c r="D583" s="2"/>
      <c r="E583" s="2"/>
      <c r="F583" s="2"/>
    </row>
    <row r="584" spans="1:19">
      <c r="B584" s="2"/>
      <c r="C584" s="2"/>
      <c r="D584" s="2"/>
      <c r="E584" s="2"/>
      <c r="F584" s="2"/>
      <c r="L584" s="2"/>
      <c r="M584" s="2"/>
      <c r="N584" s="2"/>
      <c r="O584" s="2"/>
      <c r="P584" s="2"/>
    </row>
    <row r="585" spans="1:19">
      <c r="A585" t="s">
        <v>123</v>
      </c>
      <c r="B585" s="2"/>
      <c r="C585" s="2"/>
      <c r="D585" s="2"/>
      <c r="E585" s="2"/>
      <c r="F585" s="2"/>
    </row>
    <row r="586" spans="1:19">
      <c r="A586" t="s">
        <v>171</v>
      </c>
      <c r="B586" s="2">
        <v>503408</v>
      </c>
      <c r="C586" s="2">
        <v>504777</v>
      </c>
      <c r="D586" s="2">
        <v>511080</v>
      </c>
      <c r="E586" s="2">
        <v>526030</v>
      </c>
      <c r="F586" s="2">
        <v>544515</v>
      </c>
    </row>
    <row r="587" spans="1:19">
      <c r="A587" t="s">
        <v>172</v>
      </c>
    </row>
    <row r="589" spans="1:19">
      <c r="A589" t="s">
        <v>171</v>
      </c>
    </row>
    <row r="590" spans="1:19" ht="16.5" customHeight="1">
      <c r="A590" t="s">
        <v>173</v>
      </c>
      <c r="B590" s="2">
        <v>8000</v>
      </c>
      <c r="C590" s="2">
        <v>8000</v>
      </c>
      <c r="D590" s="2">
        <v>8000</v>
      </c>
      <c r="E590" s="2">
        <v>8000</v>
      </c>
      <c r="F590" s="2">
        <v>8000</v>
      </c>
    </row>
    <row r="591" spans="1:19">
      <c r="A591" t="s">
        <v>174</v>
      </c>
      <c r="B591" s="5"/>
      <c r="C591" s="5"/>
      <c r="D591" s="5"/>
      <c r="E591" s="5"/>
      <c r="F591" s="5"/>
      <c r="L591" s="5"/>
      <c r="M591" s="5"/>
      <c r="N591" s="5"/>
      <c r="O591" s="5"/>
      <c r="P591" s="5"/>
    </row>
    <row r="593" spans="1:19">
      <c r="A593" t="s">
        <v>173</v>
      </c>
      <c r="B593" s="5"/>
      <c r="C593" s="5"/>
      <c r="D593" s="5"/>
      <c r="E593" s="5"/>
      <c r="F593" s="5"/>
    </row>
    <row r="594" spans="1:19">
      <c r="A594" t="s">
        <v>175</v>
      </c>
      <c r="B594" s="2">
        <v>17.989999999999998</v>
      </c>
      <c r="C594" s="2">
        <v>21.09</v>
      </c>
      <c r="D594" s="2">
        <v>11.01</v>
      </c>
      <c r="E594" s="2">
        <v>12.58</v>
      </c>
      <c r="F594" s="2">
        <v>11.39</v>
      </c>
      <c r="G594">
        <v>10.63</v>
      </c>
      <c r="H594">
        <v>9.81</v>
      </c>
    </row>
    <row r="595" spans="1:19">
      <c r="A595" t="s">
        <v>176</v>
      </c>
    </row>
    <row r="596" spans="1:19">
      <c r="B596" s="2"/>
      <c r="C596" s="2"/>
      <c r="D596" s="2"/>
      <c r="E596" s="2"/>
      <c r="F596" s="2"/>
    </row>
    <row r="597" spans="1:19">
      <c r="A597" t="s">
        <v>27</v>
      </c>
      <c r="B597" s="5"/>
      <c r="C597" s="5"/>
      <c r="D597" s="5"/>
      <c r="E597" s="5"/>
      <c r="F597" s="5"/>
      <c r="L597" s="2"/>
      <c r="M597" s="2"/>
      <c r="N597" s="2"/>
      <c r="O597" s="2"/>
      <c r="P597" s="2"/>
    </row>
    <row r="598" spans="1:19">
      <c r="A598" t="s">
        <v>177</v>
      </c>
      <c r="B598" s="2">
        <v>0.65</v>
      </c>
      <c r="C598" s="2">
        <v>0.55000000000000004</v>
      </c>
      <c r="D598" s="2">
        <v>0.33</v>
      </c>
      <c r="E598" s="2">
        <v>0.49</v>
      </c>
      <c r="F598" s="2">
        <v>0.61</v>
      </c>
    </row>
    <row r="599" spans="1:19">
      <c r="A599" t="s">
        <v>178</v>
      </c>
      <c r="B599" s="2"/>
      <c r="C599" s="2"/>
      <c r="D599" s="2"/>
      <c r="E599" s="2"/>
      <c r="F599" s="2"/>
    </row>
    <row r="601" spans="1:19">
      <c r="A601" t="s">
        <v>35</v>
      </c>
      <c r="B601" s="2"/>
      <c r="C601" s="2"/>
      <c r="D601" s="2"/>
      <c r="E601" s="2"/>
      <c r="F601" s="2"/>
    </row>
    <row r="602" spans="1:19">
      <c r="A602" t="s">
        <v>179</v>
      </c>
      <c r="B602" s="2">
        <v>87187</v>
      </c>
      <c r="C602" s="2">
        <v>87187</v>
      </c>
      <c r="D602" s="2">
        <v>87187</v>
      </c>
      <c r="E602" s="2">
        <v>87187</v>
      </c>
      <c r="F602" s="2">
        <v>87187</v>
      </c>
      <c r="L602" s="4"/>
      <c r="M602" s="4"/>
    </row>
    <row r="603" spans="1:19" ht="16.5" customHeight="1">
      <c r="A603" t="s">
        <v>180</v>
      </c>
      <c r="B603" s="5">
        <v>2.4500000000000002</v>
      </c>
      <c r="C603" s="5">
        <v>2.9</v>
      </c>
      <c r="D603" s="5">
        <v>4.8</v>
      </c>
      <c r="E603" s="5">
        <v>3.11</v>
      </c>
      <c r="F603" s="5">
        <v>2.41</v>
      </c>
    </row>
    <row r="604" spans="1:19">
      <c r="A604" t="s">
        <v>181</v>
      </c>
      <c r="B604" s="2"/>
      <c r="C604" s="2"/>
      <c r="D604" s="2"/>
      <c r="E604" s="2"/>
      <c r="F604" s="2"/>
      <c r="L604" s="5"/>
      <c r="M604" s="5"/>
      <c r="N604" s="5"/>
      <c r="O604" s="5"/>
      <c r="P604" s="5"/>
    </row>
    <row r="605" spans="1:19">
      <c r="B605" s="5"/>
      <c r="C605" s="5"/>
      <c r="D605" s="5"/>
      <c r="E605" s="5"/>
      <c r="F605" s="5"/>
    </row>
    <row r="606" spans="1:19">
      <c r="A606" t="s">
        <v>36</v>
      </c>
      <c r="B606" s="5"/>
      <c r="C606" s="5"/>
      <c r="D606" s="5"/>
      <c r="E606" s="5"/>
      <c r="F606" s="5"/>
    </row>
    <row r="607" spans="1:19">
      <c r="A607" t="s">
        <v>138</v>
      </c>
    </row>
    <row r="608" spans="1:19">
      <c r="A608" t="s">
        <v>583</v>
      </c>
      <c r="B608" s="5" t="s">
        <v>143</v>
      </c>
      <c r="C608" s="5"/>
      <c r="D608" s="5"/>
      <c r="E608" s="5"/>
      <c r="F608" s="5"/>
      <c r="N608" s="2"/>
      <c r="O608" s="2"/>
      <c r="P608" s="2"/>
      <c r="Q608" s="2"/>
      <c r="R608" s="2"/>
      <c r="S608" s="2"/>
    </row>
    <row r="609" spans="1:19">
      <c r="B609" s="5">
        <v>42705</v>
      </c>
      <c r="C609" s="5">
        <v>42795</v>
      </c>
      <c r="D609" s="5">
        <v>42887</v>
      </c>
      <c r="E609" s="5">
        <v>42979</v>
      </c>
      <c r="F609" s="5">
        <v>43070</v>
      </c>
      <c r="G609" t="s">
        <v>182</v>
      </c>
      <c r="H609" t="s">
        <v>182</v>
      </c>
      <c r="I609" t="s">
        <v>182</v>
      </c>
    </row>
    <row r="610" spans="1:19">
      <c r="B610" s="2"/>
      <c r="C610" s="2"/>
      <c r="D610" s="2"/>
      <c r="E610" s="2"/>
      <c r="F610" s="2"/>
      <c r="G610" t="s">
        <v>183</v>
      </c>
      <c r="H610" t="s">
        <v>183</v>
      </c>
      <c r="I610" t="s">
        <v>183</v>
      </c>
    </row>
    <row r="611" spans="1:19">
      <c r="L611" s="2"/>
      <c r="M611" s="2"/>
      <c r="N611" s="2"/>
      <c r="O611" s="2"/>
      <c r="P611" s="2"/>
      <c r="Q611" s="2"/>
      <c r="R611" s="2"/>
      <c r="S611" s="2"/>
    </row>
    <row r="612" spans="1:19">
      <c r="B612" s="2"/>
      <c r="C612" s="2"/>
      <c r="D612" s="2"/>
      <c r="E612" s="2"/>
      <c r="F612" s="2"/>
      <c r="G612" t="s">
        <v>604</v>
      </c>
      <c r="H612" t="s">
        <v>607</v>
      </c>
      <c r="I612" t="s">
        <v>631</v>
      </c>
      <c r="L612" s="2"/>
      <c r="M612" s="2"/>
      <c r="N612" s="2"/>
      <c r="O612" s="2"/>
      <c r="P612" s="2"/>
      <c r="Q612" s="2"/>
      <c r="R612" s="2"/>
      <c r="S612" s="2"/>
    </row>
    <row r="613" spans="1:19">
      <c r="A613" t="s">
        <v>121</v>
      </c>
      <c r="B613" s="2">
        <v>64417</v>
      </c>
      <c r="C613" s="2">
        <v>70674</v>
      </c>
      <c r="D613" s="2">
        <v>71343</v>
      </c>
      <c r="E613" s="2">
        <v>72550</v>
      </c>
      <c r="F613" s="2">
        <v>70970</v>
      </c>
      <c r="G613" s="2">
        <v>74505</v>
      </c>
      <c r="H613" s="2">
        <v>75082</v>
      </c>
      <c r="I613" s="2">
        <v>75417</v>
      </c>
      <c r="L613" s="2"/>
      <c r="M613" s="2"/>
      <c r="N613" s="2"/>
      <c r="O613" s="2"/>
      <c r="P613" s="2"/>
      <c r="Q613" s="2"/>
      <c r="R613" s="2"/>
      <c r="S613" s="2"/>
    </row>
    <row r="614" spans="1:19">
      <c r="A614" t="s">
        <v>122</v>
      </c>
      <c r="B614" s="2">
        <v>4881</v>
      </c>
      <c r="C614" s="2">
        <v>7954</v>
      </c>
      <c r="D614" s="2">
        <v>5850</v>
      </c>
      <c r="E614" s="2">
        <v>7218</v>
      </c>
      <c r="F614" s="2">
        <v>8003</v>
      </c>
      <c r="G614" s="2">
        <v>9314</v>
      </c>
      <c r="H614" s="2">
        <v>8948</v>
      </c>
      <c r="I614" s="2">
        <v>8596</v>
      </c>
      <c r="L614" s="2"/>
      <c r="M614" s="2"/>
      <c r="N614" s="2"/>
      <c r="O614" s="2"/>
      <c r="P614" s="2"/>
      <c r="Q614" s="2"/>
      <c r="R614" s="2"/>
      <c r="S614" s="2"/>
    </row>
    <row r="615" spans="1:19">
      <c r="A615" t="s">
        <v>144</v>
      </c>
      <c r="B615" s="2">
        <v>4496</v>
      </c>
      <c r="C615" s="2">
        <v>8396</v>
      </c>
      <c r="D615" s="2">
        <v>5092</v>
      </c>
      <c r="E615" s="2">
        <v>7299</v>
      </c>
      <c r="F615" s="2">
        <v>4670</v>
      </c>
      <c r="G615" s="2">
        <v>6873</v>
      </c>
      <c r="H615" s="2">
        <v>6793</v>
      </c>
      <c r="I615" s="2">
        <v>6540</v>
      </c>
    </row>
    <row r="616" spans="1:19">
      <c r="A616" t="s">
        <v>147</v>
      </c>
      <c r="B616" s="2">
        <v>520558</v>
      </c>
      <c r="C616" s="2">
        <v>526149</v>
      </c>
      <c r="D616" s="2">
        <v>526673</v>
      </c>
      <c r="E616" s="2">
        <v>530936</v>
      </c>
      <c r="F616" s="2">
        <v>536923</v>
      </c>
    </row>
    <row r="617" spans="1:19">
      <c r="A617" t="s">
        <v>148</v>
      </c>
      <c r="B617" s="2">
        <v>77263</v>
      </c>
      <c r="C617" s="2">
        <v>78790</v>
      </c>
      <c r="D617" s="2">
        <v>73696</v>
      </c>
      <c r="E617" s="2">
        <v>74387</v>
      </c>
      <c r="F617" s="2">
        <v>77508</v>
      </c>
    </row>
    <row r="618" spans="1:19">
      <c r="A618" t="s">
        <v>149</v>
      </c>
      <c r="B618" s="2">
        <v>443294</v>
      </c>
      <c r="C618" s="2">
        <v>447359</v>
      </c>
      <c r="D618" s="2">
        <v>452977</v>
      </c>
      <c r="E618" s="2">
        <v>456549</v>
      </c>
      <c r="F618" s="2">
        <v>459415</v>
      </c>
    </row>
    <row r="619" spans="1:19">
      <c r="A619" t="s">
        <v>152</v>
      </c>
      <c r="B619" s="2">
        <v>4824</v>
      </c>
      <c r="C619" s="2">
        <v>4824</v>
      </c>
      <c r="D619" s="2">
        <v>4824</v>
      </c>
      <c r="E619" s="2">
        <v>4824</v>
      </c>
      <c r="F619" s="2">
        <v>4824</v>
      </c>
      <c r="L619" s="4"/>
      <c r="M619" s="4"/>
      <c r="N619" s="4"/>
      <c r="O619" s="4"/>
      <c r="P619" s="4"/>
    </row>
    <row r="620" spans="1:19">
      <c r="A620" t="s">
        <v>153</v>
      </c>
      <c r="B620" s="4">
        <v>17.43</v>
      </c>
      <c r="C620" s="4">
        <v>17.61</v>
      </c>
      <c r="D620" s="4">
        <v>16.27</v>
      </c>
      <c r="E620" s="4">
        <v>16.29</v>
      </c>
      <c r="F620" s="4">
        <v>16.87</v>
      </c>
    </row>
    <row r="621" spans="1:19">
      <c r="A621" t="s">
        <v>154</v>
      </c>
      <c r="F621" s="4"/>
    </row>
    <row r="623" spans="1:19">
      <c r="A623" t="s">
        <v>155</v>
      </c>
      <c r="B623" s="4"/>
      <c r="C623" s="4"/>
      <c r="D623" s="4"/>
      <c r="E623" s="4"/>
      <c r="F623" s="4"/>
    </row>
    <row r="624" spans="1:19">
      <c r="A624" t="s">
        <v>156</v>
      </c>
      <c r="B624" s="4">
        <v>9407.18</v>
      </c>
      <c r="C624" s="4">
        <v>9491.43</v>
      </c>
      <c r="D624" s="4">
        <v>9607.85</v>
      </c>
      <c r="E624" s="4">
        <v>9681.89</v>
      </c>
      <c r="F624" s="4">
        <v>9741.25</v>
      </c>
    </row>
    <row r="625" spans="1:9">
      <c r="A625" t="s">
        <v>157</v>
      </c>
    </row>
    <row r="627" spans="1:9">
      <c r="A627" t="s">
        <v>158</v>
      </c>
    </row>
    <row r="628" spans="1:9">
      <c r="A628" t="s">
        <v>159</v>
      </c>
      <c r="B628">
        <v>7.58</v>
      </c>
      <c r="C628">
        <v>11.25</v>
      </c>
      <c r="D628">
        <v>8.1999999999999993</v>
      </c>
      <c r="E628">
        <v>9.9499999999999993</v>
      </c>
      <c r="F628">
        <v>11.28</v>
      </c>
      <c r="G628">
        <v>12.5</v>
      </c>
      <c r="H628">
        <v>11.92</v>
      </c>
      <c r="I628">
        <v>11.4</v>
      </c>
    </row>
    <row r="629" spans="1:9">
      <c r="A629" t="s">
        <v>160</v>
      </c>
    </row>
    <row r="630" spans="1:9">
      <c r="C630" s="2"/>
      <c r="D630" s="2"/>
      <c r="E630" s="2"/>
      <c r="F630" s="2"/>
    </row>
    <row r="631" spans="1:9">
      <c r="A631" t="s">
        <v>161</v>
      </c>
    </row>
    <row r="632" spans="1:9">
      <c r="A632" t="s">
        <v>184</v>
      </c>
      <c r="B632" s="2">
        <v>6.98</v>
      </c>
      <c r="C632" s="2">
        <v>11.88</v>
      </c>
      <c r="D632" s="2">
        <v>7.14</v>
      </c>
      <c r="E632" s="2">
        <v>10.06</v>
      </c>
      <c r="F632" s="2">
        <v>6.58</v>
      </c>
      <c r="G632">
        <v>9.2200000000000006</v>
      </c>
      <c r="H632">
        <v>9.0500000000000007</v>
      </c>
      <c r="I632">
        <v>8.67</v>
      </c>
    </row>
    <row r="633" spans="1:9">
      <c r="A633" t="s">
        <v>163</v>
      </c>
    </row>
    <row r="635" spans="1:9">
      <c r="A635" t="s">
        <v>185</v>
      </c>
    </row>
    <row r="636" spans="1:9">
      <c r="A636" t="s">
        <v>165</v>
      </c>
      <c r="B636" s="2">
        <v>3.48</v>
      </c>
      <c r="C636" s="2">
        <v>6.42</v>
      </c>
      <c r="D636" s="2">
        <v>3.87</v>
      </c>
      <c r="E636" s="2">
        <v>5.52</v>
      </c>
      <c r="F636" s="2">
        <v>3.5</v>
      </c>
      <c r="G636">
        <v>5.12</v>
      </c>
    </row>
    <row r="637" spans="1:9">
      <c r="A637" t="s">
        <v>166</v>
      </c>
    </row>
    <row r="639" spans="1:9">
      <c r="A639" t="s">
        <v>167</v>
      </c>
    </row>
    <row r="640" spans="1:9">
      <c r="A640" t="s">
        <v>168</v>
      </c>
      <c r="B640" s="2">
        <v>4.08</v>
      </c>
      <c r="C640" s="2">
        <v>7.54</v>
      </c>
      <c r="D640" s="2">
        <v>4.5199999999999996</v>
      </c>
      <c r="E640" s="2">
        <v>6.42</v>
      </c>
      <c r="F640" s="2">
        <v>4.08</v>
      </c>
      <c r="G640">
        <v>5.98</v>
      </c>
    </row>
    <row r="641" spans="1:19">
      <c r="A641" t="s">
        <v>169</v>
      </c>
    </row>
    <row r="642" spans="1:19">
      <c r="B642" s="2"/>
      <c r="C642" s="2"/>
      <c r="D642" s="2"/>
      <c r="E642" s="2"/>
      <c r="F642" s="2"/>
    </row>
    <row r="643" spans="1:19">
      <c r="A643" t="s">
        <v>127</v>
      </c>
      <c r="L643" s="2"/>
      <c r="M643" s="2"/>
      <c r="N643" s="2"/>
      <c r="O643" s="2"/>
      <c r="P643" s="2"/>
      <c r="Q643" s="2"/>
      <c r="R643" s="2"/>
      <c r="S643" s="2"/>
    </row>
    <row r="644" spans="1:19">
      <c r="A644" t="s">
        <v>123</v>
      </c>
      <c r="B644" s="2">
        <v>5157</v>
      </c>
      <c r="C644" s="2">
        <v>9630</v>
      </c>
      <c r="D644" s="2">
        <v>5840</v>
      </c>
      <c r="E644" s="2">
        <v>8372</v>
      </c>
      <c r="F644" s="2">
        <v>5356</v>
      </c>
      <c r="G644" s="2">
        <v>7883</v>
      </c>
      <c r="H644" s="2">
        <v>7792</v>
      </c>
      <c r="I644" s="2">
        <v>7501</v>
      </c>
    </row>
    <row r="645" spans="1:19">
      <c r="A645" t="s">
        <v>170</v>
      </c>
      <c r="B645" s="2"/>
      <c r="C645" s="2"/>
      <c r="D645" s="2"/>
      <c r="E645" s="2"/>
      <c r="F645" s="2"/>
    </row>
    <row r="646" spans="1:19">
      <c r="B646" s="2"/>
      <c r="C646" s="2"/>
      <c r="D646" s="2"/>
      <c r="E646" s="2"/>
      <c r="F646" s="2"/>
      <c r="L646" s="2"/>
      <c r="M646" s="2"/>
      <c r="N646" s="2"/>
      <c r="O646" s="2"/>
      <c r="P646" s="2"/>
    </row>
    <row r="647" spans="1:19">
      <c r="A647" t="s">
        <v>123</v>
      </c>
      <c r="B647" s="2"/>
      <c r="C647" s="2"/>
      <c r="D647" s="2"/>
      <c r="E647" s="2"/>
      <c r="F647" s="2"/>
    </row>
    <row r="648" spans="1:19">
      <c r="A648" t="s">
        <v>171</v>
      </c>
      <c r="B648" s="2">
        <v>526030</v>
      </c>
      <c r="C648" s="2">
        <v>530692</v>
      </c>
      <c r="D648" s="2">
        <v>537134</v>
      </c>
      <c r="E648" s="2">
        <v>541230</v>
      </c>
      <c r="F648" s="2">
        <v>544515</v>
      </c>
    </row>
    <row r="649" spans="1:19">
      <c r="A649" t="s">
        <v>172</v>
      </c>
    </row>
    <row r="651" spans="1:19">
      <c r="A651" t="s">
        <v>171</v>
      </c>
    </row>
    <row r="652" spans="1:19">
      <c r="A652" t="s">
        <v>173</v>
      </c>
      <c r="B652" s="2">
        <v>5750</v>
      </c>
      <c r="C652" s="2">
        <v>1500</v>
      </c>
      <c r="D652" s="2">
        <v>1500</v>
      </c>
      <c r="E652" s="2">
        <v>1500</v>
      </c>
      <c r="F652" s="2">
        <v>3500</v>
      </c>
    </row>
    <row r="653" spans="1:19">
      <c r="A653" t="s">
        <v>174</v>
      </c>
    </row>
    <row r="655" spans="1:19">
      <c r="A655" t="s">
        <v>173</v>
      </c>
    </row>
    <row r="656" spans="1:19">
      <c r="A656" t="s">
        <v>175</v>
      </c>
      <c r="B656" s="2"/>
      <c r="C656" s="2"/>
      <c r="D656" s="2"/>
      <c r="E656" s="2"/>
      <c r="F656" s="2"/>
    </row>
    <row r="657" spans="1:16">
      <c r="A657" t="s">
        <v>176</v>
      </c>
    </row>
    <row r="658" spans="1:16">
      <c r="B658" s="2"/>
      <c r="C658" s="2"/>
      <c r="D658" s="2"/>
      <c r="E658" s="2"/>
      <c r="F658" s="2"/>
    </row>
    <row r="659" spans="1:16">
      <c r="A659" t="s">
        <v>27</v>
      </c>
      <c r="L659" s="2"/>
      <c r="M659" s="2"/>
      <c r="N659" s="2"/>
      <c r="O659" s="2"/>
      <c r="P659" s="2"/>
    </row>
    <row r="660" spans="1:16">
      <c r="A660" t="s">
        <v>177</v>
      </c>
      <c r="B660" s="2">
        <v>0.49</v>
      </c>
      <c r="C660" s="2">
        <v>0.55000000000000004</v>
      </c>
      <c r="D660" s="2">
        <v>0.53</v>
      </c>
      <c r="E660" s="2">
        <v>0.59</v>
      </c>
      <c r="F660" s="2">
        <v>0.61</v>
      </c>
    </row>
    <row r="661" spans="1:16">
      <c r="A661" t="s">
        <v>178</v>
      </c>
      <c r="B661" s="2"/>
      <c r="C661" s="2"/>
      <c r="D661" s="2"/>
      <c r="E661" s="2"/>
      <c r="F661" s="2"/>
    </row>
    <row r="663" spans="1:16">
      <c r="A663" t="s">
        <v>35</v>
      </c>
      <c r="B663" s="2"/>
      <c r="C663" s="2"/>
      <c r="D663" s="2"/>
      <c r="E663" s="2"/>
      <c r="F663" s="2"/>
    </row>
    <row r="664" spans="1:16">
      <c r="A664" t="s">
        <v>179</v>
      </c>
      <c r="B664" s="2">
        <v>87187</v>
      </c>
      <c r="C664" s="2">
        <v>87187</v>
      </c>
      <c r="D664" s="2">
        <v>87187</v>
      </c>
      <c r="E664" s="2">
        <v>87187</v>
      </c>
      <c r="F664" s="2">
        <v>87187</v>
      </c>
    </row>
    <row r="665" spans="1:16">
      <c r="A665" t="s">
        <v>180</v>
      </c>
      <c r="B665">
        <v>2.23</v>
      </c>
      <c r="C665">
        <v>0.52</v>
      </c>
      <c r="D665">
        <v>0.52</v>
      </c>
      <c r="E665">
        <v>0.47</v>
      </c>
      <c r="F665">
        <v>1.05</v>
      </c>
    </row>
    <row r="666" spans="1:16">
      <c r="A666" t="s">
        <v>181</v>
      </c>
    </row>
    <row r="668" spans="1:16">
      <c r="A668" t="s">
        <v>36</v>
      </c>
    </row>
    <row r="670" spans="1:16">
      <c r="A670" t="s">
        <v>186</v>
      </c>
    </row>
    <row r="671" spans="1:16">
      <c r="A671" t="s">
        <v>187</v>
      </c>
    </row>
    <row r="672" spans="1:16">
      <c r="A672" t="s">
        <v>188</v>
      </c>
    </row>
    <row r="673" spans="1:2">
      <c r="A673" t="s">
        <v>189</v>
      </c>
    </row>
    <row r="674" spans="1:2">
      <c r="A674" t="s">
        <v>190</v>
      </c>
    </row>
    <row r="675" spans="1:2">
      <c r="A675" t="s">
        <v>191</v>
      </c>
    </row>
    <row r="676" spans="1:2">
      <c r="A676" t="s">
        <v>192</v>
      </c>
    </row>
    <row r="678" spans="1:2">
      <c r="A678" t="s">
        <v>193</v>
      </c>
    </row>
    <row r="679" spans="1:2">
      <c r="A679" t="s">
        <v>194</v>
      </c>
    </row>
    <row r="680" spans="1:2">
      <c r="A680" t="s">
        <v>195</v>
      </c>
    </row>
    <row r="682" spans="1:2">
      <c r="A682" t="s">
        <v>196</v>
      </c>
    </row>
    <row r="684" spans="1:2">
      <c r="A684" t="s">
        <v>197</v>
      </c>
    </row>
    <row r="685" spans="1:2">
      <c r="A685" t="s">
        <v>198</v>
      </c>
      <c r="B685" t="s">
        <v>198</v>
      </c>
    </row>
    <row r="686" spans="1:2">
      <c r="A686" t="s">
        <v>199</v>
      </c>
      <c r="B686" t="s">
        <v>199</v>
      </c>
    </row>
    <row r="687" spans="1:2">
      <c r="A687" t="s">
        <v>199</v>
      </c>
      <c r="B687" t="s">
        <v>199</v>
      </c>
    </row>
    <row r="688" spans="1:2">
      <c r="A688" t="s">
        <v>199</v>
      </c>
      <c r="B688" t="s">
        <v>199</v>
      </c>
    </row>
    <row r="689" spans="1:2">
      <c r="A689" t="s">
        <v>199</v>
      </c>
      <c r="B689" t="s">
        <v>199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0.39997558519241921"/>
  </sheetPr>
  <dimension ref="A1:H698"/>
  <sheetViews>
    <sheetView workbookViewId="0">
      <selection sqref="A1:G698"/>
    </sheetView>
  </sheetViews>
  <sheetFormatPr defaultRowHeight="16.5"/>
  <cols>
    <col min="1" max="1" width="30.625" customWidth="1"/>
    <col min="2" max="7" width="12.625" customWidth="1"/>
    <col min="8" max="8" width="3.625" style="138" customWidth="1"/>
  </cols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648</v>
      </c>
    </row>
    <row r="27" spans="1:1">
      <c r="A27">
        <v>5490</v>
      </c>
    </row>
    <row r="29" spans="1:1">
      <c r="A29" t="s">
        <v>20</v>
      </c>
    </row>
    <row r="31" spans="1:1">
      <c r="A31" t="s">
        <v>21</v>
      </c>
    </row>
    <row r="32" spans="1:1">
      <c r="A32" t="s">
        <v>649</v>
      </c>
    </row>
    <row r="34" spans="1:1">
      <c r="A34" t="s">
        <v>22</v>
      </c>
    </row>
    <row r="36" spans="1:1">
      <c r="A36" t="s">
        <v>22</v>
      </c>
    </row>
    <row r="37" spans="1:1">
      <c r="A37" t="s">
        <v>650</v>
      </c>
    </row>
    <row r="39" spans="1:1">
      <c r="A39" t="s">
        <v>23</v>
      </c>
    </row>
    <row r="41" spans="1:1">
      <c r="A41" t="s">
        <v>23</v>
      </c>
    </row>
    <row r="42" spans="1:1">
      <c r="A42" t="s">
        <v>651</v>
      </c>
    </row>
    <row r="44" spans="1:1">
      <c r="A44" t="s">
        <v>652</v>
      </c>
    </row>
    <row r="46" spans="1:1">
      <c r="A46" t="s">
        <v>24</v>
      </c>
    </row>
    <row r="47" spans="1:1">
      <c r="A47" t="s">
        <v>25</v>
      </c>
    </row>
    <row r="48" spans="1:1">
      <c r="A48" t="s">
        <v>26</v>
      </c>
    </row>
    <row r="49" spans="1:1">
      <c r="A49" t="s">
        <v>611</v>
      </c>
    </row>
    <row r="50" spans="1:1">
      <c r="A50" t="s">
        <v>27</v>
      </c>
    </row>
    <row r="51" spans="1:1">
      <c r="A51">
        <v>10.050000000000001</v>
      </c>
    </row>
    <row r="53" spans="1:1">
      <c r="A53" t="s">
        <v>29</v>
      </c>
    </row>
    <row r="54" spans="1:1">
      <c r="A54" t="s">
        <v>30</v>
      </c>
    </row>
    <row r="55" spans="1:1">
      <c r="A55" t="s">
        <v>29</v>
      </c>
    </row>
    <row r="56" spans="1:1">
      <c r="A56">
        <v>8.5</v>
      </c>
    </row>
    <row r="58" spans="1:1">
      <c r="A58" t="s">
        <v>31</v>
      </c>
    </row>
    <row r="59" spans="1:1">
      <c r="A59" t="s">
        <v>599</v>
      </c>
    </row>
    <row r="60" spans="1:1">
      <c r="A60" t="s">
        <v>600</v>
      </c>
    </row>
    <row r="61" spans="1:1">
      <c r="A61" t="s">
        <v>612</v>
      </c>
    </row>
    <row r="62" spans="1:1">
      <c r="A62" t="s">
        <v>31</v>
      </c>
    </row>
    <row r="63" spans="1:1">
      <c r="A63">
        <v>14.39</v>
      </c>
    </row>
    <row r="65" spans="1:1">
      <c r="A65" t="s">
        <v>32</v>
      </c>
    </row>
    <row r="66" spans="1:1">
      <c r="A66" t="s">
        <v>33</v>
      </c>
    </row>
    <row r="67" spans="1:1">
      <c r="A67" t="s">
        <v>34</v>
      </c>
    </row>
    <row r="68" spans="1:1">
      <c r="A68" t="s">
        <v>611</v>
      </c>
    </row>
    <row r="69" spans="1:1">
      <c r="A69" t="s">
        <v>35</v>
      </c>
    </row>
    <row r="70" spans="1:1">
      <c r="A70">
        <v>0.62</v>
      </c>
    </row>
    <row r="72" spans="1:1">
      <c r="A72" t="s">
        <v>36</v>
      </c>
    </row>
    <row r="73" spans="1:1">
      <c r="A73" t="s">
        <v>37</v>
      </c>
    </row>
    <row r="74" spans="1:1">
      <c r="A74" t="s">
        <v>611</v>
      </c>
    </row>
    <row r="75" spans="1:1">
      <c r="A75" t="s">
        <v>36</v>
      </c>
    </row>
    <row r="76" spans="1:1">
      <c r="A76" s="1">
        <v>2.4899999999999999E-2</v>
      </c>
    </row>
    <row r="78" spans="1:1">
      <c r="A78" t="s">
        <v>118</v>
      </c>
    </row>
    <row r="79" spans="1:1">
      <c r="A79" t="s">
        <v>672</v>
      </c>
    </row>
    <row r="81" spans="1:7">
      <c r="A81" t="s">
        <v>328</v>
      </c>
    </row>
    <row r="83" spans="1:7">
      <c r="A83" t="s">
        <v>329</v>
      </c>
    </row>
    <row r="84" spans="1:7">
      <c r="A84" t="s">
        <v>330</v>
      </c>
    </row>
    <row r="85" spans="1:7">
      <c r="A85" t="s">
        <v>202</v>
      </c>
    </row>
    <row r="87" spans="1:7">
      <c r="A87" t="s">
        <v>331</v>
      </c>
    </row>
    <row r="88" spans="1:7">
      <c r="B88" s="5"/>
      <c r="C88" s="5"/>
      <c r="D88" s="5"/>
    </row>
    <row r="89" spans="1:7">
      <c r="A89" t="s">
        <v>687</v>
      </c>
    </row>
    <row r="91" spans="1:7">
      <c r="A91" t="s">
        <v>673</v>
      </c>
    </row>
    <row r="92" spans="1:7">
      <c r="B92" s="2"/>
      <c r="C92" s="2"/>
      <c r="D92" s="2"/>
      <c r="E92" s="2"/>
      <c r="F92" s="2"/>
      <c r="G92" s="2"/>
    </row>
    <row r="93" spans="1:7">
      <c r="A93" t="s">
        <v>688</v>
      </c>
    </row>
    <row r="94" spans="1:7">
      <c r="A94" t="s">
        <v>328</v>
      </c>
    </row>
    <row r="95" spans="1:7">
      <c r="A95" t="s">
        <v>141</v>
      </c>
      <c r="B95" s="5">
        <v>41974</v>
      </c>
      <c r="C95" s="5">
        <v>42339</v>
      </c>
      <c r="D95" s="5">
        <v>42705</v>
      </c>
      <c r="E95" s="5">
        <v>43070</v>
      </c>
      <c r="F95" s="2" t="s">
        <v>674</v>
      </c>
      <c r="G95" s="2" t="s">
        <v>675</v>
      </c>
    </row>
    <row r="96" spans="1:7">
      <c r="A96" t="s">
        <v>121</v>
      </c>
      <c r="B96" s="2">
        <v>650984</v>
      </c>
      <c r="C96" s="2">
        <v>581923</v>
      </c>
      <c r="D96" s="2">
        <v>530835</v>
      </c>
      <c r="E96" s="2">
        <v>606551</v>
      </c>
      <c r="F96" s="2">
        <v>530835</v>
      </c>
      <c r="G96">
        <v>14.3</v>
      </c>
    </row>
    <row r="97" spans="1:7">
      <c r="A97" t="s">
        <v>676</v>
      </c>
      <c r="B97" s="2">
        <v>578150</v>
      </c>
      <c r="C97" s="2">
        <v>516581</v>
      </c>
      <c r="D97" s="2">
        <v>463940</v>
      </c>
      <c r="E97" s="2">
        <v>522992</v>
      </c>
      <c r="F97" s="2">
        <v>463940</v>
      </c>
      <c r="G97">
        <v>12.7</v>
      </c>
    </row>
    <row r="98" spans="1:7">
      <c r="A98" t="s">
        <v>677</v>
      </c>
      <c r="B98" s="2">
        <v>72834</v>
      </c>
      <c r="C98" s="2">
        <v>65342</v>
      </c>
      <c r="D98" s="2">
        <v>66896</v>
      </c>
      <c r="E98" s="2">
        <v>83559</v>
      </c>
      <c r="F98" s="2">
        <v>66896</v>
      </c>
      <c r="G98" s="2">
        <v>24.9</v>
      </c>
    </row>
    <row r="99" spans="1:7">
      <c r="A99" t="s">
        <v>678</v>
      </c>
      <c r="B99" s="2">
        <v>40699</v>
      </c>
      <c r="C99" s="2">
        <v>41242</v>
      </c>
      <c r="D99" s="2">
        <v>38452</v>
      </c>
      <c r="E99" s="2">
        <v>37341</v>
      </c>
      <c r="F99" s="2">
        <v>38452</v>
      </c>
      <c r="G99">
        <v>-2.9</v>
      </c>
    </row>
    <row r="100" spans="1:7">
      <c r="A100" t="s">
        <v>679</v>
      </c>
      <c r="B100" s="2">
        <v>10223</v>
      </c>
      <c r="C100" s="2">
        <v>10921</v>
      </c>
      <c r="D100" s="2">
        <v>11473</v>
      </c>
      <c r="E100" s="2">
        <v>10135</v>
      </c>
      <c r="F100" s="2">
        <v>11473</v>
      </c>
      <c r="G100">
        <v>-11.7</v>
      </c>
    </row>
    <row r="101" spans="1:7">
      <c r="A101" t="s">
        <v>680</v>
      </c>
      <c r="B101" s="2">
        <v>2732</v>
      </c>
      <c r="C101" s="2">
        <v>2740</v>
      </c>
      <c r="D101" s="2">
        <v>2430</v>
      </c>
      <c r="E101" s="2">
        <v>2436</v>
      </c>
      <c r="F101" s="2">
        <v>2430</v>
      </c>
      <c r="G101" s="2">
        <v>0.2</v>
      </c>
    </row>
    <row r="102" spans="1:7">
      <c r="A102" t="s">
        <v>681</v>
      </c>
      <c r="B102" s="2">
        <v>1752</v>
      </c>
      <c r="C102" s="2">
        <v>1355</v>
      </c>
      <c r="D102" s="2">
        <v>1206</v>
      </c>
      <c r="E102" s="2">
        <v>1258</v>
      </c>
      <c r="F102" s="2">
        <v>1206</v>
      </c>
      <c r="G102">
        <v>4.3</v>
      </c>
    </row>
    <row r="103" spans="1:7">
      <c r="A103" t="s">
        <v>682</v>
      </c>
      <c r="B103" s="2">
        <v>1045</v>
      </c>
      <c r="C103" s="2">
        <v>907</v>
      </c>
      <c r="D103" s="2">
        <v>861</v>
      </c>
      <c r="E103" s="2">
        <v>1197</v>
      </c>
      <c r="F103" s="2">
        <v>861</v>
      </c>
      <c r="G103" s="2">
        <v>39</v>
      </c>
    </row>
    <row r="104" spans="1:7">
      <c r="A104" t="s">
        <v>683</v>
      </c>
      <c r="B104" s="2">
        <v>18187</v>
      </c>
      <c r="C104" s="2">
        <v>18769</v>
      </c>
      <c r="D104" s="2">
        <v>16771</v>
      </c>
      <c r="E104" s="2">
        <v>16839</v>
      </c>
      <c r="F104" s="2">
        <v>16771</v>
      </c>
      <c r="G104" s="2">
        <v>0.4</v>
      </c>
    </row>
    <row r="105" spans="1:7">
      <c r="A105" t="s">
        <v>684</v>
      </c>
      <c r="B105" s="2">
        <v>6475</v>
      </c>
      <c r="C105" s="2">
        <v>6279</v>
      </c>
      <c r="D105" s="2">
        <v>5476</v>
      </c>
      <c r="E105" s="2">
        <v>5226</v>
      </c>
      <c r="F105" s="2">
        <v>5476</v>
      </c>
      <c r="G105" s="2">
        <v>-4.5999999999999996</v>
      </c>
    </row>
    <row r="106" spans="1:7">
      <c r="A106" t="s">
        <v>685</v>
      </c>
      <c r="B106" s="2"/>
      <c r="C106" s="2"/>
      <c r="D106" s="2"/>
      <c r="E106" s="2"/>
      <c r="F106" s="2"/>
      <c r="G106" s="2"/>
    </row>
    <row r="107" spans="1:7">
      <c r="A107" t="s">
        <v>332</v>
      </c>
      <c r="B107" s="2">
        <v>284</v>
      </c>
      <c r="C107" s="2">
        <v>271</v>
      </c>
      <c r="D107" s="2">
        <v>234</v>
      </c>
      <c r="E107" s="2">
        <v>250</v>
      </c>
      <c r="F107" s="2">
        <v>234</v>
      </c>
      <c r="G107" s="2">
        <v>6.7</v>
      </c>
    </row>
    <row r="108" spans="1:7">
      <c r="A108" t="s">
        <v>122</v>
      </c>
      <c r="B108" s="2">
        <v>32135</v>
      </c>
      <c r="C108" s="2">
        <v>24100</v>
      </c>
      <c r="D108" s="2">
        <v>28443</v>
      </c>
      <c r="E108" s="2">
        <v>46218</v>
      </c>
      <c r="F108" s="2">
        <v>28443</v>
      </c>
      <c r="G108" s="2">
        <v>62.5</v>
      </c>
    </row>
    <row r="109" spans="1:7">
      <c r="A109" t="s">
        <v>686</v>
      </c>
      <c r="B109" s="2">
        <v>23968</v>
      </c>
      <c r="C109" s="2">
        <v>25571</v>
      </c>
      <c r="D109" s="2">
        <v>22320</v>
      </c>
      <c r="E109" s="2">
        <v>23727</v>
      </c>
      <c r="F109" s="2">
        <v>22320</v>
      </c>
      <c r="G109" s="2">
        <v>6.3</v>
      </c>
    </row>
    <row r="110" spans="1:7">
      <c r="A110" t="s">
        <v>333</v>
      </c>
      <c r="B110" s="2">
        <v>2283</v>
      </c>
      <c r="C110" s="2">
        <v>2102</v>
      </c>
      <c r="D110" s="2">
        <v>1825</v>
      </c>
      <c r="E110" s="2">
        <v>2125</v>
      </c>
      <c r="F110" s="2">
        <v>1825</v>
      </c>
      <c r="G110">
        <v>16.399999999999999</v>
      </c>
    </row>
    <row r="111" spans="1:7">
      <c r="A111" t="s">
        <v>334</v>
      </c>
      <c r="B111">
        <v>478</v>
      </c>
      <c r="C111" s="2">
        <v>1837</v>
      </c>
      <c r="D111">
        <v>410</v>
      </c>
      <c r="E111">
        <v>930</v>
      </c>
      <c r="F111">
        <v>410</v>
      </c>
      <c r="G111">
        <v>126.7</v>
      </c>
    </row>
    <row r="112" spans="1:7">
      <c r="A112" t="s">
        <v>335</v>
      </c>
      <c r="B112" s="2">
        <v>14757</v>
      </c>
      <c r="C112" s="2">
        <v>14913</v>
      </c>
      <c r="D112" s="2">
        <v>14103</v>
      </c>
      <c r="E112" s="2">
        <v>13496</v>
      </c>
      <c r="F112" s="2">
        <v>14103</v>
      </c>
      <c r="G112">
        <v>-4.3</v>
      </c>
    </row>
    <row r="113" spans="1:7">
      <c r="A113" t="s">
        <v>336</v>
      </c>
      <c r="B113" s="2"/>
      <c r="C113" s="2"/>
      <c r="D113" s="2"/>
      <c r="E113" s="2"/>
      <c r="F113" s="2"/>
      <c r="G113" s="2"/>
    </row>
    <row r="114" spans="1:7">
      <c r="A114" t="s">
        <v>337</v>
      </c>
    </row>
    <row r="115" spans="1:7">
      <c r="A115" t="s">
        <v>338</v>
      </c>
      <c r="B115" s="2">
        <v>2365</v>
      </c>
      <c r="C115" s="2">
        <v>1391</v>
      </c>
      <c r="D115" s="2">
        <v>1308</v>
      </c>
      <c r="E115" s="2">
        <v>4257</v>
      </c>
      <c r="F115" s="2">
        <v>1308</v>
      </c>
      <c r="G115">
        <v>225.4</v>
      </c>
    </row>
    <row r="116" spans="1:7">
      <c r="A116" t="s">
        <v>339</v>
      </c>
    </row>
    <row r="117" spans="1:7">
      <c r="A117" t="s">
        <v>340</v>
      </c>
      <c r="B117" s="2"/>
      <c r="C117" s="2"/>
      <c r="D117" s="2"/>
      <c r="E117" s="2"/>
      <c r="F117" s="2"/>
      <c r="G117" s="2"/>
    </row>
    <row r="118" spans="1:7">
      <c r="A118" t="s">
        <v>341</v>
      </c>
      <c r="B118" s="2">
        <v>4010</v>
      </c>
      <c r="C118" s="2">
        <v>5218</v>
      </c>
      <c r="D118" s="2">
        <v>4636</v>
      </c>
      <c r="E118" s="2">
        <v>2755</v>
      </c>
      <c r="F118" s="2">
        <v>4636</v>
      </c>
      <c r="G118">
        <v>-40.6</v>
      </c>
    </row>
    <row r="119" spans="1:7">
      <c r="A119" t="s">
        <v>342</v>
      </c>
      <c r="B119" s="2">
        <v>75</v>
      </c>
      <c r="C119">
        <v>109</v>
      </c>
      <c r="D119">
        <v>38</v>
      </c>
      <c r="E119">
        <v>165</v>
      </c>
      <c r="F119">
        <v>38</v>
      </c>
      <c r="G119">
        <v>337.6</v>
      </c>
    </row>
    <row r="120" spans="1:7">
      <c r="A120" t="s">
        <v>343</v>
      </c>
      <c r="B120" s="2">
        <v>32220</v>
      </c>
      <c r="C120" s="2">
        <v>33871</v>
      </c>
      <c r="D120" s="2">
        <v>30142</v>
      </c>
      <c r="E120" s="2">
        <v>24843</v>
      </c>
      <c r="F120" s="2">
        <v>30142</v>
      </c>
      <c r="G120">
        <v>-17.600000000000001</v>
      </c>
    </row>
    <row r="121" spans="1:7">
      <c r="A121" t="s">
        <v>344</v>
      </c>
      <c r="B121" s="2">
        <v>7956</v>
      </c>
      <c r="C121" s="2">
        <v>7888</v>
      </c>
      <c r="D121" s="2">
        <v>6587</v>
      </c>
      <c r="E121" s="2">
        <v>6531</v>
      </c>
      <c r="F121" s="2">
        <v>6587</v>
      </c>
      <c r="G121">
        <v>-0.9</v>
      </c>
    </row>
    <row r="122" spans="1:7">
      <c r="A122" t="s">
        <v>345</v>
      </c>
      <c r="B122" s="2">
        <v>14626</v>
      </c>
      <c r="C122" s="2">
        <v>18739</v>
      </c>
      <c r="D122" s="2">
        <v>15526</v>
      </c>
      <c r="E122" s="2">
        <v>11795</v>
      </c>
      <c r="F122" s="2">
        <v>15526</v>
      </c>
      <c r="G122">
        <v>-24</v>
      </c>
    </row>
    <row r="123" spans="1:7">
      <c r="A123" t="s">
        <v>346</v>
      </c>
    </row>
    <row r="124" spans="1:7">
      <c r="A124" t="s">
        <v>347</v>
      </c>
    </row>
    <row r="125" spans="1:7">
      <c r="A125" t="s">
        <v>348</v>
      </c>
    </row>
    <row r="126" spans="1:7">
      <c r="A126" t="s">
        <v>349</v>
      </c>
    </row>
    <row r="127" spans="1:7">
      <c r="A127" t="s">
        <v>350</v>
      </c>
      <c r="B127" s="2">
        <v>3697</v>
      </c>
      <c r="C127" s="2">
        <v>1428</v>
      </c>
      <c r="D127" s="2">
        <v>2484</v>
      </c>
      <c r="E127" s="2">
        <v>1232</v>
      </c>
      <c r="F127" s="2">
        <v>2484</v>
      </c>
      <c r="G127">
        <v>-50.4</v>
      </c>
    </row>
    <row r="128" spans="1:7">
      <c r="A128" t="s">
        <v>351</v>
      </c>
      <c r="B128" s="2">
        <v>4548</v>
      </c>
      <c r="C128" s="2">
        <v>4153</v>
      </c>
      <c r="D128" s="2">
        <v>5010</v>
      </c>
      <c r="E128" s="2">
        <v>4628</v>
      </c>
      <c r="F128" s="2">
        <v>5010</v>
      </c>
      <c r="G128">
        <v>-7.6</v>
      </c>
    </row>
    <row r="129" spans="1:7">
      <c r="A129" t="s">
        <v>352</v>
      </c>
      <c r="B129" s="2">
        <v>1393</v>
      </c>
      <c r="C129" s="2">
        <v>1664</v>
      </c>
      <c r="D129">
        <v>535</v>
      </c>
      <c r="E129">
        <v>657</v>
      </c>
      <c r="F129">
        <v>535</v>
      </c>
      <c r="G129">
        <v>22.7</v>
      </c>
    </row>
    <row r="130" spans="1:7">
      <c r="A130" t="s">
        <v>353</v>
      </c>
      <c r="B130" s="2">
        <v>2694</v>
      </c>
      <c r="C130" s="2">
        <v>5490</v>
      </c>
      <c r="D130" s="2">
        <v>2151</v>
      </c>
      <c r="E130" s="2">
        <v>4512</v>
      </c>
      <c r="F130" s="2">
        <v>2151</v>
      </c>
      <c r="G130">
        <v>109.7</v>
      </c>
    </row>
    <row r="131" spans="1:7">
      <c r="A131" t="s">
        <v>333</v>
      </c>
    </row>
    <row r="132" spans="1:7">
      <c r="A132" t="s">
        <v>334</v>
      </c>
      <c r="B132" s="2"/>
      <c r="C132" s="2"/>
      <c r="D132" s="2"/>
      <c r="F132" s="2"/>
    </row>
    <row r="133" spans="1:7">
      <c r="A133" t="s">
        <v>335</v>
      </c>
    </row>
    <row r="134" spans="1:7">
      <c r="A134" t="s">
        <v>354</v>
      </c>
    </row>
    <row r="135" spans="1:7">
      <c r="A135" t="s">
        <v>355</v>
      </c>
    </row>
    <row r="136" spans="1:7">
      <c r="A136" t="s">
        <v>356</v>
      </c>
      <c r="B136" s="2">
        <v>633</v>
      </c>
      <c r="C136" s="2">
        <v>2507</v>
      </c>
      <c r="D136" s="2">
        <v>476</v>
      </c>
      <c r="E136">
        <v>567</v>
      </c>
      <c r="F136" s="2">
        <v>476</v>
      </c>
      <c r="G136">
        <v>19.100000000000001</v>
      </c>
    </row>
    <row r="137" spans="1:7">
      <c r="A137" t="s">
        <v>357</v>
      </c>
    </row>
    <row r="138" spans="1:7">
      <c r="A138" t="s">
        <v>358</v>
      </c>
    </row>
    <row r="139" spans="1:7">
      <c r="A139" t="s">
        <v>341</v>
      </c>
      <c r="B139" s="3"/>
      <c r="E139">
        <v>563</v>
      </c>
    </row>
    <row r="140" spans="1:7">
      <c r="A140" t="s">
        <v>359</v>
      </c>
      <c r="B140" s="2">
        <v>17</v>
      </c>
      <c r="C140" s="2">
        <v>10</v>
      </c>
      <c r="D140" s="2">
        <v>18</v>
      </c>
      <c r="E140" s="2">
        <v>15</v>
      </c>
      <c r="F140" s="2">
        <v>18</v>
      </c>
      <c r="G140">
        <v>-15.4</v>
      </c>
    </row>
    <row r="141" spans="1:7">
      <c r="A141" t="s">
        <v>360</v>
      </c>
      <c r="B141" s="2"/>
      <c r="C141" s="2"/>
      <c r="D141" s="2"/>
      <c r="E141" s="2"/>
      <c r="F141" s="2"/>
    </row>
    <row r="142" spans="1:7">
      <c r="A142" t="s">
        <v>361</v>
      </c>
      <c r="B142" s="2"/>
      <c r="C142" s="2"/>
      <c r="D142" s="2"/>
      <c r="E142" s="2"/>
      <c r="F142" s="2"/>
    </row>
    <row r="143" spans="1:7">
      <c r="A143" t="s">
        <v>362</v>
      </c>
      <c r="B143" s="2"/>
      <c r="C143" s="2">
        <v>105</v>
      </c>
      <c r="D143" s="2">
        <v>127</v>
      </c>
      <c r="E143" s="2">
        <v>27</v>
      </c>
      <c r="F143" s="2">
        <v>127</v>
      </c>
      <c r="G143">
        <v>-78.3</v>
      </c>
    </row>
    <row r="144" spans="1:7">
      <c r="A144" t="s">
        <v>363</v>
      </c>
    </row>
    <row r="145" spans="1:7">
      <c r="A145" t="s">
        <v>332</v>
      </c>
      <c r="B145" s="2">
        <v>2044</v>
      </c>
      <c r="C145" s="2">
        <v>2869</v>
      </c>
      <c r="D145" s="2">
        <v>1531</v>
      </c>
      <c r="E145" s="2">
        <v>3340</v>
      </c>
      <c r="F145" s="2">
        <v>1531</v>
      </c>
      <c r="G145">
        <v>118.1</v>
      </c>
    </row>
    <row r="146" spans="1:7">
      <c r="A146" t="s">
        <v>364</v>
      </c>
      <c r="B146" s="2">
        <v>9797</v>
      </c>
      <c r="C146" s="2">
        <v>14423</v>
      </c>
      <c r="D146" s="2">
        <v>7557</v>
      </c>
      <c r="E146" s="2">
        <v>7923</v>
      </c>
      <c r="F146" s="2">
        <v>7557</v>
      </c>
      <c r="G146">
        <v>4.8</v>
      </c>
    </row>
    <row r="147" spans="1:7">
      <c r="A147" t="s">
        <v>344</v>
      </c>
    </row>
    <row r="148" spans="1:7">
      <c r="A148" t="s">
        <v>345</v>
      </c>
    </row>
    <row r="149" spans="1:7">
      <c r="A149" t="s">
        <v>365</v>
      </c>
    </row>
    <row r="150" spans="1:7">
      <c r="A150" t="s">
        <v>366</v>
      </c>
    </row>
    <row r="151" spans="1:7">
      <c r="A151" t="s">
        <v>367</v>
      </c>
      <c r="B151" s="2">
        <v>500</v>
      </c>
      <c r="C151" s="2">
        <v>2921</v>
      </c>
      <c r="D151" s="2">
        <v>866</v>
      </c>
      <c r="E151" s="2">
        <v>1513</v>
      </c>
      <c r="F151">
        <v>866</v>
      </c>
      <c r="G151">
        <v>74.7</v>
      </c>
    </row>
    <row r="152" spans="1:7">
      <c r="A152" t="s">
        <v>368</v>
      </c>
    </row>
    <row r="153" spans="1:7">
      <c r="A153" t="s">
        <v>369</v>
      </c>
      <c r="B153" s="2">
        <v>1754</v>
      </c>
      <c r="C153" s="2">
        <v>4435</v>
      </c>
      <c r="D153" s="2">
        <v>3496</v>
      </c>
      <c r="E153" s="2">
        <v>2852</v>
      </c>
      <c r="F153" s="2">
        <v>3496</v>
      </c>
      <c r="G153">
        <v>-18.399999999999999</v>
      </c>
    </row>
    <row r="154" spans="1:7">
      <c r="A154" t="s">
        <v>351</v>
      </c>
      <c r="E154">
        <v>432</v>
      </c>
    </row>
    <row r="155" spans="1:7">
      <c r="A155" t="s">
        <v>370</v>
      </c>
      <c r="B155">
        <v>964</v>
      </c>
      <c r="C155" s="2">
        <v>1581</v>
      </c>
      <c r="D155">
        <v>502</v>
      </c>
      <c r="E155" s="2">
        <v>1009</v>
      </c>
      <c r="F155">
        <v>502</v>
      </c>
      <c r="G155">
        <v>100.9</v>
      </c>
    </row>
    <row r="156" spans="1:7">
      <c r="A156" t="s">
        <v>371</v>
      </c>
      <c r="B156" s="2">
        <v>1266</v>
      </c>
      <c r="C156">
        <v>184</v>
      </c>
      <c r="D156">
        <v>531</v>
      </c>
      <c r="E156">
        <v>340</v>
      </c>
      <c r="F156">
        <v>531</v>
      </c>
      <c r="G156">
        <v>-36</v>
      </c>
    </row>
    <row r="157" spans="1:7">
      <c r="A157" t="s">
        <v>332</v>
      </c>
      <c r="B157" s="2">
        <v>5313</v>
      </c>
      <c r="C157" s="2">
        <v>5302</v>
      </c>
      <c r="D157" s="2">
        <v>2162</v>
      </c>
      <c r="E157" s="2">
        <v>1777</v>
      </c>
      <c r="F157" s="2">
        <v>2162</v>
      </c>
      <c r="G157">
        <v>-17.8</v>
      </c>
    </row>
    <row r="158" spans="1:7">
      <c r="A158" t="s">
        <v>372</v>
      </c>
      <c r="B158" s="2">
        <v>-2999</v>
      </c>
      <c r="C158" s="2">
        <v>-5061</v>
      </c>
      <c r="D158" s="2">
        <v>-887</v>
      </c>
      <c r="E158" s="2">
        <v>105</v>
      </c>
      <c r="F158" s="2">
        <v>-887</v>
      </c>
      <c r="G158" t="s">
        <v>632</v>
      </c>
    </row>
    <row r="159" spans="1:7">
      <c r="A159" t="s">
        <v>373</v>
      </c>
      <c r="B159" s="2">
        <v>-2999</v>
      </c>
      <c r="C159" s="2">
        <v>-5061</v>
      </c>
      <c r="D159" s="2">
        <v>-887</v>
      </c>
      <c r="E159" s="2">
        <v>105</v>
      </c>
      <c r="F159" s="2">
        <v>-887</v>
      </c>
      <c r="G159" t="s">
        <v>632</v>
      </c>
    </row>
    <row r="160" spans="1:7">
      <c r="A160" t="s">
        <v>374</v>
      </c>
      <c r="C160" s="2"/>
      <c r="D160" s="2"/>
      <c r="E160" s="2"/>
    </row>
    <row r="161" spans="1:7">
      <c r="A161" t="s">
        <v>375</v>
      </c>
      <c r="B161" s="3"/>
      <c r="C161" s="2"/>
      <c r="D161" s="2"/>
      <c r="F161" s="2"/>
    </row>
    <row r="162" spans="1:7">
      <c r="A162" t="s">
        <v>332</v>
      </c>
      <c r="B162" s="3"/>
      <c r="C162" s="2"/>
      <c r="D162" s="2"/>
    </row>
    <row r="163" spans="1:7">
      <c r="A163" t="s">
        <v>376</v>
      </c>
      <c r="B163" s="2">
        <v>13781</v>
      </c>
      <c r="C163" s="2">
        <v>1808</v>
      </c>
      <c r="D163" s="2">
        <v>14329</v>
      </c>
      <c r="E163" s="2">
        <v>41797</v>
      </c>
      <c r="F163" s="2">
        <v>14329</v>
      </c>
      <c r="G163">
        <v>191.7</v>
      </c>
    </row>
    <row r="164" spans="1:7">
      <c r="A164" t="s">
        <v>377</v>
      </c>
      <c r="B164" s="2">
        <v>8215</v>
      </c>
      <c r="C164" s="2">
        <v>2769</v>
      </c>
      <c r="D164" s="2">
        <v>3847</v>
      </c>
      <c r="E164" s="2">
        <v>12062</v>
      </c>
      <c r="F164" s="2">
        <v>3847</v>
      </c>
      <c r="G164">
        <v>213.6</v>
      </c>
    </row>
    <row r="165" spans="1:7">
      <c r="A165" t="s">
        <v>378</v>
      </c>
      <c r="B165" s="2">
        <v>5567</v>
      </c>
      <c r="C165" s="2">
        <v>-962</v>
      </c>
      <c r="D165" s="2">
        <v>10482</v>
      </c>
      <c r="E165" s="2">
        <v>29735</v>
      </c>
      <c r="F165" s="2">
        <v>10482</v>
      </c>
      <c r="G165">
        <v>183.7</v>
      </c>
    </row>
    <row r="166" spans="1:7">
      <c r="A166" t="s">
        <v>379</v>
      </c>
      <c r="B166" s="2"/>
      <c r="C166" s="2"/>
      <c r="D166" s="2"/>
      <c r="F166" s="2"/>
    </row>
    <row r="167" spans="1:7">
      <c r="A167" t="s">
        <v>144</v>
      </c>
      <c r="B167" s="2">
        <v>5567</v>
      </c>
      <c r="C167" s="2">
        <v>-962</v>
      </c>
      <c r="D167" s="2">
        <v>10482</v>
      </c>
      <c r="E167" s="2">
        <v>29735</v>
      </c>
      <c r="F167" s="2">
        <v>10482</v>
      </c>
      <c r="G167">
        <v>183.7</v>
      </c>
    </row>
    <row r="168" spans="1:7">
      <c r="A168" t="s">
        <v>380</v>
      </c>
      <c r="B168" s="2">
        <v>6261</v>
      </c>
      <c r="C168" s="2">
        <v>1806</v>
      </c>
      <c r="D168" s="2">
        <v>13633</v>
      </c>
      <c r="E168" s="2">
        <v>27901</v>
      </c>
      <c r="F168" s="2">
        <v>13633</v>
      </c>
      <c r="G168">
        <v>104.7</v>
      </c>
    </row>
    <row r="169" spans="1:7">
      <c r="A169" t="s">
        <v>584</v>
      </c>
      <c r="B169" s="2">
        <v>-694</v>
      </c>
      <c r="C169" s="2">
        <v>-2768</v>
      </c>
      <c r="D169" s="2">
        <v>-3151</v>
      </c>
      <c r="E169" s="2">
        <v>1834</v>
      </c>
      <c r="F169" s="2">
        <v>-3151</v>
      </c>
      <c r="G169" t="s">
        <v>632</v>
      </c>
    </row>
    <row r="170" spans="1:7">
      <c r="A170" t="s">
        <v>328</v>
      </c>
      <c r="B170" s="3"/>
      <c r="C170" s="2"/>
      <c r="D170" s="2"/>
    </row>
    <row r="171" spans="1:7">
      <c r="A171" t="s">
        <v>141</v>
      </c>
      <c r="B171" s="5">
        <v>42795</v>
      </c>
      <c r="C171" s="5">
        <v>42887</v>
      </c>
      <c r="D171" s="5">
        <v>42979</v>
      </c>
      <c r="E171" s="5">
        <v>43070</v>
      </c>
      <c r="F171" t="s">
        <v>674</v>
      </c>
      <c r="G171" t="s">
        <v>675</v>
      </c>
    </row>
    <row r="172" spans="1:7">
      <c r="A172" t="s">
        <v>121</v>
      </c>
      <c r="B172" s="2">
        <v>150772</v>
      </c>
      <c r="C172" s="2">
        <v>149444</v>
      </c>
      <c r="D172" s="2">
        <v>150361</v>
      </c>
      <c r="E172" s="2">
        <v>155974</v>
      </c>
      <c r="F172" s="2">
        <v>150174</v>
      </c>
      <c r="G172">
        <v>3.9</v>
      </c>
    </row>
    <row r="173" spans="1:7">
      <c r="A173" t="s">
        <v>676</v>
      </c>
      <c r="B173" s="2">
        <v>128191</v>
      </c>
      <c r="C173" s="2">
        <v>130755</v>
      </c>
      <c r="D173" s="2">
        <v>130374</v>
      </c>
      <c r="E173" s="2">
        <v>133671</v>
      </c>
      <c r="F173" s="2">
        <v>134003</v>
      </c>
      <c r="G173">
        <v>-0.2</v>
      </c>
    </row>
    <row r="174" spans="1:7">
      <c r="A174" t="s">
        <v>677</v>
      </c>
      <c r="B174" s="2">
        <v>22581</v>
      </c>
      <c r="C174" s="2">
        <v>18689</v>
      </c>
      <c r="D174" s="2">
        <v>19987</v>
      </c>
      <c r="E174" s="2">
        <v>22303</v>
      </c>
      <c r="F174" s="2">
        <v>16171</v>
      </c>
      <c r="G174">
        <v>37.9</v>
      </c>
    </row>
    <row r="175" spans="1:7">
      <c r="A175" t="s">
        <v>678</v>
      </c>
      <c r="B175" s="2">
        <v>8931</v>
      </c>
      <c r="C175" s="2">
        <v>8898</v>
      </c>
      <c r="D175" s="2">
        <v>8730</v>
      </c>
      <c r="E175" s="2">
        <v>10782</v>
      </c>
      <c r="F175" s="2">
        <v>11453</v>
      </c>
      <c r="G175">
        <v>-5.9</v>
      </c>
    </row>
    <row r="176" spans="1:7">
      <c r="A176" t="s">
        <v>679</v>
      </c>
      <c r="B176" s="2">
        <v>2723</v>
      </c>
      <c r="C176" s="2">
        <v>2312</v>
      </c>
      <c r="D176" s="2">
        <v>2552</v>
      </c>
      <c r="E176" s="2">
        <v>2547</v>
      </c>
      <c r="F176" s="2">
        <v>3270</v>
      </c>
      <c r="G176">
        <v>-22.1</v>
      </c>
    </row>
    <row r="177" spans="1:7">
      <c r="A177" t="s">
        <v>680</v>
      </c>
      <c r="B177" s="2">
        <v>603</v>
      </c>
      <c r="C177" s="2">
        <v>593</v>
      </c>
      <c r="D177" s="2">
        <v>602</v>
      </c>
      <c r="E177" s="2">
        <v>638</v>
      </c>
      <c r="F177" s="2">
        <v>622</v>
      </c>
      <c r="G177">
        <v>2.7</v>
      </c>
    </row>
    <row r="178" spans="1:7">
      <c r="A178" t="s">
        <v>681</v>
      </c>
      <c r="B178" s="2">
        <v>256</v>
      </c>
      <c r="C178" s="2">
        <v>248</v>
      </c>
      <c r="D178" s="2">
        <v>316</v>
      </c>
      <c r="E178" s="2">
        <v>438</v>
      </c>
      <c r="F178" s="2">
        <v>430</v>
      </c>
      <c r="G178">
        <v>2</v>
      </c>
    </row>
    <row r="179" spans="1:7">
      <c r="A179" t="s">
        <v>682</v>
      </c>
      <c r="B179" s="2">
        <v>238</v>
      </c>
      <c r="C179" s="2">
        <v>346</v>
      </c>
      <c r="D179" s="2">
        <v>265</v>
      </c>
      <c r="E179" s="2">
        <v>348</v>
      </c>
      <c r="F179" s="2">
        <v>205</v>
      </c>
      <c r="G179">
        <v>69.7</v>
      </c>
    </row>
    <row r="180" spans="1:7">
      <c r="A180" t="s">
        <v>683</v>
      </c>
      <c r="B180" s="2">
        <v>3754</v>
      </c>
      <c r="C180" s="2">
        <v>4043</v>
      </c>
      <c r="D180" s="2">
        <v>3743</v>
      </c>
      <c r="E180" s="2">
        <v>5299</v>
      </c>
      <c r="F180" s="2">
        <v>5353</v>
      </c>
      <c r="G180">
        <v>-1</v>
      </c>
    </row>
    <row r="181" spans="1:7">
      <c r="A181" t="s">
        <v>684</v>
      </c>
      <c r="B181" s="2">
        <v>1300</v>
      </c>
      <c r="C181" s="2">
        <v>1295</v>
      </c>
      <c r="D181" s="2">
        <v>1187</v>
      </c>
      <c r="E181" s="2">
        <v>1445</v>
      </c>
      <c r="F181" s="2">
        <v>1513</v>
      </c>
      <c r="G181">
        <v>-4.5</v>
      </c>
    </row>
    <row r="182" spans="1:7">
      <c r="A182" t="s">
        <v>685</v>
      </c>
    </row>
    <row r="183" spans="1:7">
      <c r="A183" t="s">
        <v>332</v>
      </c>
      <c r="B183" s="2">
        <v>58</v>
      </c>
      <c r="C183" s="2">
        <v>61</v>
      </c>
      <c r="D183" s="2">
        <v>65</v>
      </c>
      <c r="E183" s="2">
        <v>66</v>
      </c>
      <c r="F183" s="2">
        <v>60</v>
      </c>
      <c r="G183">
        <v>9.9</v>
      </c>
    </row>
    <row r="184" spans="1:7">
      <c r="A184" t="s">
        <v>122</v>
      </c>
      <c r="B184" s="2">
        <v>13650</v>
      </c>
      <c r="C184" s="2">
        <v>9791</v>
      </c>
      <c r="D184" s="2">
        <v>11257</v>
      </c>
      <c r="E184" s="2">
        <v>11521</v>
      </c>
      <c r="F184" s="2">
        <v>4717</v>
      </c>
      <c r="G184">
        <v>144.19999999999999</v>
      </c>
    </row>
    <row r="185" spans="1:7">
      <c r="A185" t="s">
        <v>686</v>
      </c>
      <c r="B185" s="2">
        <v>8802</v>
      </c>
      <c r="C185" s="2">
        <v>2324</v>
      </c>
      <c r="D185" s="2">
        <v>6248</v>
      </c>
      <c r="E185" s="2">
        <v>6353</v>
      </c>
      <c r="F185" s="2">
        <v>5579</v>
      </c>
      <c r="G185">
        <v>13.9</v>
      </c>
    </row>
    <row r="186" spans="1:7">
      <c r="A186" t="s">
        <v>333</v>
      </c>
      <c r="B186" s="2">
        <v>404</v>
      </c>
      <c r="C186" s="2">
        <v>377</v>
      </c>
      <c r="D186" s="2">
        <v>631</v>
      </c>
      <c r="E186" s="2">
        <v>712</v>
      </c>
      <c r="F186" s="2">
        <v>411</v>
      </c>
      <c r="G186">
        <v>73.400000000000006</v>
      </c>
    </row>
    <row r="187" spans="1:7">
      <c r="A187" t="s">
        <v>334</v>
      </c>
      <c r="B187">
        <v>420</v>
      </c>
      <c r="C187">
        <v>273</v>
      </c>
      <c r="D187">
        <v>36</v>
      </c>
      <c r="E187">
        <v>201</v>
      </c>
      <c r="F187">
        <v>81</v>
      </c>
      <c r="G187">
        <v>149.1</v>
      </c>
    </row>
    <row r="188" spans="1:7">
      <c r="A188" t="s">
        <v>335</v>
      </c>
      <c r="B188" s="2">
        <v>6461</v>
      </c>
      <c r="C188" s="2">
        <v>403</v>
      </c>
      <c r="D188" s="2">
        <v>2005</v>
      </c>
      <c r="E188" s="2">
        <v>4628</v>
      </c>
      <c r="F188" s="2">
        <v>2748</v>
      </c>
      <c r="G188">
        <v>68.400000000000006</v>
      </c>
    </row>
    <row r="189" spans="1:7">
      <c r="A189" t="s">
        <v>336</v>
      </c>
    </row>
    <row r="190" spans="1:7">
      <c r="A190" t="s">
        <v>337</v>
      </c>
    </row>
    <row r="191" spans="1:7">
      <c r="A191" t="s">
        <v>338</v>
      </c>
      <c r="C191">
        <v>971</v>
      </c>
      <c r="D191" s="2">
        <v>2842</v>
      </c>
      <c r="E191">
        <v>443</v>
      </c>
      <c r="F191" s="2">
        <v>1211</v>
      </c>
      <c r="G191">
        <v>-63.4</v>
      </c>
    </row>
    <row r="192" spans="1:7">
      <c r="A192" t="s">
        <v>339</v>
      </c>
    </row>
    <row r="193" spans="1:7">
      <c r="A193" t="s">
        <v>340</v>
      </c>
    </row>
    <row r="194" spans="1:7">
      <c r="A194" t="s">
        <v>341</v>
      </c>
      <c r="B194" s="2">
        <v>1471</v>
      </c>
      <c r="C194" s="2">
        <v>282</v>
      </c>
      <c r="D194" s="2">
        <v>699</v>
      </c>
      <c r="E194" s="2">
        <v>301</v>
      </c>
      <c r="F194" s="2">
        <v>1124</v>
      </c>
      <c r="G194">
        <v>-73.2</v>
      </c>
    </row>
    <row r="195" spans="1:7">
      <c r="A195" t="s">
        <v>342</v>
      </c>
      <c r="B195">
        <v>46</v>
      </c>
      <c r="C195">
        <v>18</v>
      </c>
      <c r="D195">
        <v>34</v>
      </c>
      <c r="E195">
        <v>67</v>
      </c>
      <c r="F195">
        <v>4</v>
      </c>
      <c r="G195">
        <v>1411.4</v>
      </c>
    </row>
    <row r="196" spans="1:7">
      <c r="A196" t="s">
        <v>343</v>
      </c>
      <c r="B196" s="2">
        <v>9471</v>
      </c>
      <c r="C196" s="2">
        <v>3148</v>
      </c>
      <c r="D196" s="2">
        <v>5220</v>
      </c>
      <c r="E196" s="2">
        <v>7004</v>
      </c>
      <c r="F196" s="2">
        <v>5501</v>
      </c>
      <c r="G196">
        <v>27.3</v>
      </c>
    </row>
    <row r="197" spans="1:7">
      <c r="A197" t="s">
        <v>344</v>
      </c>
      <c r="B197" s="2">
        <v>1686</v>
      </c>
      <c r="C197" s="2">
        <v>1598</v>
      </c>
      <c r="D197" s="2">
        <v>1709</v>
      </c>
      <c r="E197" s="2">
        <v>1538</v>
      </c>
      <c r="F197" s="2">
        <v>1457</v>
      </c>
      <c r="G197">
        <v>5.6</v>
      </c>
    </row>
    <row r="198" spans="1:7">
      <c r="A198" t="s">
        <v>345</v>
      </c>
      <c r="B198" s="2">
        <v>5210</v>
      </c>
      <c r="C198" s="2">
        <v>645</v>
      </c>
      <c r="D198" s="2">
        <v>1959</v>
      </c>
      <c r="E198" s="2">
        <v>3982</v>
      </c>
      <c r="F198" s="2">
        <v>3002</v>
      </c>
      <c r="G198">
        <v>32.700000000000003</v>
      </c>
    </row>
    <row r="199" spans="1:7">
      <c r="A199" t="s">
        <v>346</v>
      </c>
    </row>
    <row r="200" spans="1:7">
      <c r="A200" t="s">
        <v>347</v>
      </c>
    </row>
    <row r="201" spans="1:7">
      <c r="A201" t="s">
        <v>348</v>
      </c>
    </row>
    <row r="202" spans="1:7">
      <c r="A202" t="s">
        <v>349</v>
      </c>
    </row>
    <row r="203" spans="1:7">
      <c r="A203" t="s">
        <v>350</v>
      </c>
      <c r="B203" s="2">
        <v>40</v>
      </c>
      <c r="C203">
        <v>552</v>
      </c>
      <c r="D203">
        <v>470</v>
      </c>
      <c r="E203">
        <v>170</v>
      </c>
      <c r="F203">
        <v>185</v>
      </c>
      <c r="G203">
        <v>-8</v>
      </c>
    </row>
    <row r="204" spans="1:7">
      <c r="A204" t="s">
        <v>351</v>
      </c>
      <c r="B204" s="2">
        <v>2326</v>
      </c>
      <c r="C204" s="2">
        <v>207</v>
      </c>
      <c r="D204" s="2">
        <v>855</v>
      </c>
      <c r="E204" s="2">
        <v>1240</v>
      </c>
      <c r="F204" s="2">
        <v>637</v>
      </c>
      <c r="G204">
        <v>94.6</v>
      </c>
    </row>
    <row r="205" spans="1:7">
      <c r="A205" t="s">
        <v>352</v>
      </c>
      <c r="B205">
        <v>210</v>
      </c>
      <c r="C205">
        <v>146</v>
      </c>
      <c r="D205">
        <v>227</v>
      </c>
      <c r="E205">
        <v>74</v>
      </c>
      <c r="F205">
        <v>220</v>
      </c>
      <c r="G205">
        <v>-66.5</v>
      </c>
    </row>
    <row r="206" spans="1:7">
      <c r="A206" t="s">
        <v>353</v>
      </c>
      <c r="B206" s="2">
        <v>784</v>
      </c>
      <c r="C206" s="2">
        <v>457</v>
      </c>
      <c r="D206" s="2">
        <v>227</v>
      </c>
      <c r="E206" s="2">
        <v>3044</v>
      </c>
      <c r="F206" s="2">
        <v>583</v>
      </c>
      <c r="G206">
        <v>421.8</v>
      </c>
    </row>
    <row r="207" spans="1:7">
      <c r="A207" t="s">
        <v>333</v>
      </c>
    </row>
    <row r="208" spans="1:7">
      <c r="A208" t="s">
        <v>334</v>
      </c>
      <c r="F208" s="2"/>
    </row>
    <row r="209" spans="1:7">
      <c r="A209" t="s">
        <v>335</v>
      </c>
    </row>
    <row r="210" spans="1:7">
      <c r="A210" t="s">
        <v>354</v>
      </c>
    </row>
    <row r="211" spans="1:7">
      <c r="A211" t="s">
        <v>355</v>
      </c>
    </row>
    <row r="212" spans="1:7">
      <c r="A212" t="s">
        <v>356</v>
      </c>
      <c r="B212">
        <v>118</v>
      </c>
      <c r="C212" s="2">
        <v>300</v>
      </c>
      <c r="D212" s="2">
        <v>77</v>
      </c>
      <c r="E212">
        <v>73</v>
      </c>
      <c r="F212" s="2">
        <v>23</v>
      </c>
      <c r="G212">
        <v>215.7</v>
      </c>
    </row>
    <row r="213" spans="1:7">
      <c r="A213" t="s">
        <v>357</v>
      </c>
    </row>
    <row r="214" spans="1:7">
      <c r="A214" t="s">
        <v>358</v>
      </c>
    </row>
    <row r="215" spans="1:7">
      <c r="A215" t="s">
        <v>341</v>
      </c>
      <c r="E215">
        <v>563</v>
      </c>
    </row>
    <row r="216" spans="1:7">
      <c r="A216" t="s">
        <v>359</v>
      </c>
      <c r="E216">
        <v>15</v>
      </c>
      <c r="F216">
        <v>18</v>
      </c>
      <c r="G216">
        <v>-15.4</v>
      </c>
    </row>
    <row r="217" spans="1:7">
      <c r="A217" t="s">
        <v>360</v>
      </c>
    </row>
    <row r="218" spans="1:7">
      <c r="A218" t="s">
        <v>361</v>
      </c>
    </row>
    <row r="219" spans="1:7">
      <c r="A219" t="s">
        <v>362</v>
      </c>
      <c r="C219">
        <v>1</v>
      </c>
      <c r="D219">
        <v>2</v>
      </c>
      <c r="E219">
        <v>25</v>
      </c>
      <c r="F219">
        <v>0</v>
      </c>
      <c r="G219">
        <v>49400</v>
      </c>
    </row>
    <row r="220" spans="1:7">
      <c r="A220" t="s">
        <v>363</v>
      </c>
    </row>
    <row r="221" spans="1:7">
      <c r="A221" t="s">
        <v>332</v>
      </c>
      <c r="B221" s="2">
        <v>666</v>
      </c>
      <c r="C221" s="2">
        <v>156</v>
      </c>
      <c r="D221" s="2">
        <v>149</v>
      </c>
      <c r="E221" s="2">
        <v>2369</v>
      </c>
      <c r="F221" s="2">
        <v>543</v>
      </c>
      <c r="G221">
        <v>336.5</v>
      </c>
    </row>
    <row r="222" spans="1:7">
      <c r="A222" t="s">
        <v>364</v>
      </c>
      <c r="B222" s="2">
        <v>1231</v>
      </c>
      <c r="C222" s="2">
        <v>1045</v>
      </c>
      <c r="D222" s="2">
        <v>741</v>
      </c>
      <c r="E222" s="2">
        <v>4905</v>
      </c>
      <c r="F222" s="2">
        <v>4024</v>
      </c>
      <c r="G222">
        <v>21.9</v>
      </c>
    </row>
    <row r="223" spans="1:7">
      <c r="A223" t="s">
        <v>344</v>
      </c>
    </row>
    <row r="224" spans="1:7">
      <c r="A224" t="s">
        <v>345</v>
      </c>
    </row>
    <row r="225" spans="1:7">
      <c r="A225" t="s">
        <v>365</v>
      </c>
    </row>
    <row r="226" spans="1:7">
      <c r="A226" t="s">
        <v>366</v>
      </c>
    </row>
    <row r="227" spans="1:7">
      <c r="A227" t="s">
        <v>367</v>
      </c>
      <c r="B227">
        <v>313</v>
      </c>
      <c r="C227">
        <v>468</v>
      </c>
      <c r="D227">
        <v>373</v>
      </c>
      <c r="E227">
        <v>360</v>
      </c>
      <c r="F227">
        <v>255</v>
      </c>
      <c r="G227">
        <v>40.9</v>
      </c>
    </row>
    <row r="228" spans="1:7">
      <c r="A228" t="s">
        <v>368</v>
      </c>
    </row>
    <row r="229" spans="1:7">
      <c r="A229" t="s">
        <v>369</v>
      </c>
      <c r="B229" s="2">
        <v>69</v>
      </c>
      <c r="C229">
        <v>210</v>
      </c>
      <c r="D229" s="2">
        <v>45</v>
      </c>
      <c r="E229" s="2">
        <v>2528</v>
      </c>
      <c r="F229" s="2">
        <v>2366</v>
      </c>
      <c r="G229">
        <v>6.8</v>
      </c>
    </row>
    <row r="230" spans="1:7">
      <c r="A230" t="s">
        <v>351</v>
      </c>
      <c r="E230">
        <v>432</v>
      </c>
    </row>
    <row r="231" spans="1:7">
      <c r="A231" t="s">
        <v>370</v>
      </c>
      <c r="B231">
        <v>231</v>
      </c>
      <c r="C231">
        <v>99</v>
      </c>
      <c r="D231">
        <v>1</v>
      </c>
      <c r="E231">
        <v>678</v>
      </c>
      <c r="F231">
        <v>143</v>
      </c>
      <c r="G231">
        <v>374.7</v>
      </c>
    </row>
    <row r="232" spans="1:7">
      <c r="A232" t="s">
        <v>371</v>
      </c>
      <c r="B232">
        <v>29</v>
      </c>
      <c r="C232">
        <v>-14</v>
      </c>
      <c r="D232">
        <v>-3</v>
      </c>
      <c r="E232">
        <v>328</v>
      </c>
      <c r="F232">
        <v>330</v>
      </c>
      <c r="G232">
        <v>-0.6</v>
      </c>
    </row>
    <row r="233" spans="1:7">
      <c r="A233" t="s">
        <v>332</v>
      </c>
      <c r="B233" s="2">
        <v>589</v>
      </c>
      <c r="C233" s="2">
        <v>283</v>
      </c>
      <c r="D233" s="2">
        <v>325</v>
      </c>
      <c r="E233" s="2">
        <v>580</v>
      </c>
      <c r="F233" s="2">
        <v>929</v>
      </c>
      <c r="G233">
        <v>-37.6</v>
      </c>
    </row>
    <row r="234" spans="1:7">
      <c r="A234" t="s">
        <v>372</v>
      </c>
      <c r="B234" s="2">
        <v>720</v>
      </c>
      <c r="C234" s="2">
        <v>-646</v>
      </c>
      <c r="D234" s="2">
        <v>542</v>
      </c>
      <c r="E234" s="2">
        <v>-510</v>
      </c>
      <c r="F234" s="2">
        <v>-1793</v>
      </c>
      <c r="G234" t="s">
        <v>633</v>
      </c>
    </row>
    <row r="235" spans="1:7">
      <c r="A235" t="s">
        <v>373</v>
      </c>
      <c r="D235" s="2">
        <v>542</v>
      </c>
      <c r="E235" s="2">
        <v>-436</v>
      </c>
      <c r="F235" s="2">
        <v>-175</v>
      </c>
      <c r="G235" t="s">
        <v>633</v>
      </c>
    </row>
    <row r="236" spans="1:7">
      <c r="A236" t="s">
        <v>374</v>
      </c>
      <c r="E236" s="2"/>
    </row>
    <row r="237" spans="1:7">
      <c r="A237" t="s">
        <v>375</v>
      </c>
      <c r="F237" s="2"/>
    </row>
    <row r="238" spans="1:7">
      <c r="A238" t="s">
        <v>332</v>
      </c>
      <c r="B238" s="2">
        <v>720</v>
      </c>
      <c r="C238" s="2">
        <v>-646</v>
      </c>
      <c r="D238" s="2"/>
      <c r="E238" s="2">
        <v>-74</v>
      </c>
      <c r="F238" s="2">
        <v>-1618</v>
      </c>
      <c r="G238" t="s">
        <v>633</v>
      </c>
    </row>
    <row r="239" spans="1:7">
      <c r="A239" t="s">
        <v>376</v>
      </c>
      <c r="B239" s="2">
        <v>13254</v>
      </c>
      <c r="C239" s="2">
        <v>7732</v>
      </c>
      <c r="D239" s="2">
        <v>12313</v>
      </c>
      <c r="E239" s="2">
        <v>8498</v>
      </c>
      <c r="F239" s="2">
        <v>-438</v>
      </c>
      <c r="G239" t="s">
        <v>632</v>
      </c>
    </row>
    <row r="240" spans="1:7">
      <c r="A240" t="s">
        <v>377</v>
      </c>
      <c r="B240" s="2">
        <v>3485</v>
      </c>
      <c r="C240" s="2">
        <v>2432</v>
      </c>
      <c r="D240" s="2">
        <v>3247</v>
      </c>
      <c r="E240" s="2">
        <v>2899</v>
      </c>
      <c r="F240" s="2">
        <v>-576</v>
      </c>
      <c r="G240" t="s">
        <v>632</v>
      </c>
    </row>
    <row r="241" spans="1:7">
      <c r="A241" t="s">
        <v>378</v>
      </c>
      <c r="B241" s="2">
        <v>9769</v>
      </c>
      <c r="C241" s="2">
        <v>5301</v>
      </c>
      <c r="D241" s="2">
        <v>9066</v>
      </c>
      <c r="E241" s="2">
        <v>5599</v>
      </c>
      <c r="F241" s="2">
        <v>137</v>
      </c>
      <c r="G241">
        <v>3979.1</v>
      </c>
    </row>
    <row r="242" spans="1:7">
      <c r="A242" t="s">
        <v>379</v>
      </c>
    </row>
    <row r="243" spans="1:7">
      <c r="A243" t="s">
        <v>144</v>
      </c>
      <c r="B243" s="2">
        <v>9769</v>
      </c>
      <c r="C243" s="2">
        <v>5301</v>
      </c>
      <c r="D243" s="2">
        <v>9066</v>
      </c>
      <c r="E243" s="2">
        <v>5599</v>
      </c>
      <c r="F243" s="2">
        <v>137</v>
      </c>
      <c r="G243">
        <v>3979.1</v>
      </c>
    </row>
    <row r="244" spans="1:7">
      <c r="A244" t="s">
        <v>380</v>
      </c>
      <c r="B244" s="2">
        <v>8509</v>
      </c>
      <c r="C244" s="2">
        <v>5128</v>
      </c>
      <c r="D244" s="2">
        <v>8694</v>
      </c>
      <c r="E244" s="2">
        <v>5569</v>
      </c>
      <c r="F244" s="2">
        <v>1663</v>
      </c>
      <c r="G244">
        <v>234.9</v>
      </c>
    </row>
    <row r="245" spans="1:7">
      <c r="A245" t="s">
        <v>584</v>
      </c>
      <c r="B245" s="2">
        <v>1260</v>
      </c>
      <c r="C245" s="2">
        <v>172</v>
      </c>
      <c r="D245" s="2">
        <v>372</v>
      </c>
      <c r="E245" s="2">
        <v>30</v>
      </c>
      <c r="F245" s="2">
        <v>-1526</v>
      </c>
      <c r="G245" t="s">
        <v>632</v>
      </c>
    </row>
    <row r="247" spans="1:7">
      <c r="A247" t="s">
        <v>381</v>
      </c>
    </row>
    <row r="249" spans="1:7">
      <c r="A249" t="s">
        <v>329</v>
      </c>
    </row>
    <row r="250" spans="1:7">
      <c r="A250" t="s">
        <v>330</v>
      </c>
    </row>
    <row r="251" spans="1:7">
      <c r="A251" t="s">
        <v>202</v>
      </c>
    </row>
    <row r="253" spans="1:7">
      <c r="A253" t="s">
        <v>331</v>
      </c>
    </row>
    <row r="255" spans="1:7">
      <c r="A255" t="s">
        <v>569</v>
      </c>
    </row>
    <row r="257" spans="1:5">
      <c r="A257" t="s">
        <v>382</v>
      </c>
    </row>
    <row r="259" spans="1:5">
      <c r="A259" t="s">
        <v>570</v>
      </c>
    </row>
    <row r="260" spans="1:5">
      <c r="A260" t="s">
        <v>381</v>
      </c>
    </row>
    <row r="261" spans="1:5">
      <c r="A261" t="s">
        <v>141</v>
      </c>
      <c r="B261" s="5">
        <v>41974</v>
      </c>
      <c r="C261" s="5">
        <v>42339</v>
      </c>
      <c r="D261" s="5">
        <v>42705</v>
      </c>
      <c r="E261" s="5">
        <v>43070</v>
      </c>
    </row>
    <row r="262" spans="1:5">
      <c r="A262" t="s">
        <v>383</v>
      </c>
      <c r="B262" s="2">
        <v>852522</v>
      </c>
      <c r="C262" s="2">
        <v>804088</v>
      </c>
      <c r="D262" s="2">
        <v>797630</v>
      </c>
      <c r="E262" s="2">
        <v>790250</v>
      </c>
    </row>
    <row r="263" spans="1:5">
      <c r="A263" t="s">
        <v>384</v>
      </c>
      <c r="B263" s="2">
        <v>326274</v>
      </c>
      <c r="C263" s="2">
        <v>291809</v>
      </c>
      <c r="D263" s="2">
        <v>293038</v>
      </c>
      <c r="E263" s="2">
        <v>311274</v>
      </c>
    </row>
    <row r="264" spans="1:5">
      <c r="A264" t="s">
        <v>385</v>
      </c>
      <c r="B264" s="2">
        <v>104713</v>
      </c>
      <c r="C264" s="2">
        <v>82252</v>
      </c>
      <c r="D264" s="2">
        <v>90517</v>
      </c>
      <c r="E264" s="2">
        <v>99510</v>
      </c>
    </row>
    <row r="265" spans="1:5">
      <c r="A265" t="s">
        <v>386</v>
      </c>
    </row>
    <row r="266" spans="1:5">
      <c r="A266" t="s">
        <v>387</v>
      </c>
      <c r="B266" s="2">
        <v>17414</v>
      </c>
      <c r="C266" s="2">
        <v>43367</v>
      </c>
      <c r="D266" s="2">
        <v>56570</v>
      </c>
      <c r="E266" s="2">
        <v>76892</v>
      </c>
    </row>
    <row r="267" spans="1:5">
      <c r="A267" t="s">
        <v>388</v>
      </c>
      <c r="B267" s="2">
        <v>134638</v>
      </c>
      <c r="C267" s="2">
        <v>108495</v>
      </c>
      <c r="D267" s="2">
        <v>108946</v>
      </c>
      <c r="E267" s="2">
        <v>99584</v>
      </c>
    </row>
    <row r="268" spans="1:5">
      <c r="A268" t="s">
        <v>389</v>
      </c>
      <c r="B268">
        <v>361</v>
      </c>
      <c r="C268">
        <v>338</v>
      </c>
      <c r="D268">
        <v>465</v>
      </c>
      <c r="E268">
        <v>385</v>
      </c>
    </row>
    <row r="269" spans="1:5">
      <c r="A269" t="s">
        <v>390</v>
      </c>
      <c r="B269" s="2">
        <v>9764</v>
      </c>
      <c r="C269" s="2">
        <v>8083</v>
      </c>
      <c r="D269" s="2">
        <v>8945</v>
      </c>
      <c r="E269" s="2">
        <v>8061</v>
      </c>
    </row>
    <row r="270" spans="1:5">
      <c r="A270" t="s">
        <v>391</v>
      </c>
      <c r="B270" s="2">
        <v>38112</v>
      </c>
      <c r="C270" s="2">
        <v>48702</v>
      </c>
      <c r="D270" s="2">
        <v>24476</v>
      </c>
      <c r="E270" s="2">
        <v>26125</v>
      </c>
    </row>
    <row r="271" spans="1:5">
      <c r="A271" t="s">
        <v>392</v>
      </c>
      <c r="B271" s="2">
        <v>21271</v>
      </c>
      <c r="C271" s="2">
        <v>573</v>
      </c>
      <c r="D271" s="2">
        <v>3120</v>
      </c>
      <c r="E271" s="2">
        <v>718</v>
      </c>
    </row>
    <row r="272" spans="1:5">
      <c r="A272" t="s">
        <v>393</v>
      </c>
      <c r="B272" s="2">
        <v>526248</v>
      </c>
      <c r="C272" s="2">
        <v>512279</v>
      </c>
      <c r="D272" s="2">
        <v>504592</v>
      </c>
      <c r="E272" s="2">
        <v>478975</v>
      </c>
    </row>
    <row r="273" spans="1:5">
      <c r="A273" t="s">
        <v>394</v>
      </c>
      <c r="B273" s="2">
        <v>352412</v>
      </c>
      <c r="C273" s="2">
        <v>345229</v>
      </c>
      <c r="D273" s="2">
        <v>337703</v>
      </c>
      <c r="E273" s="2">
        <v>318835</v>
      </c>
    </row>
    <row r="274" spans="1:5">
      <c r="A274" t="s">
        <v>395</v>
      </c>
      <c r="B274" s="2">
        <v>68850</v>
      </c>
      <c r="C274" s="2">
        <v>64058</v>
      </c>
      <c r="D274" s="2">
        <v>60887</v>
      </c>
      <c r="E274" s="2">
        <v>59523</v>
      </c>
    </row>
    <row r="275" spans="1:5">
      <c r="A275" t="s">
        <v>396</v>
      </c>
    </row>
    <row r="276" spans="1:5">
      <c r="A276" t="s">
        <v>397</v>
      </c>
      <c r="B276" s="2">
        <v>10556</v>
      </c>
      <c r="C276" s="2">
        <v>10843</v>
      </c>
      <c r="D276" s="2">
        <v>11177</v>
      </c>
      <c r="E276" s="2">
        <v>10649</v>
      </c>
    </row>
    <row r="277" spans="1:5">
      <c r="A277" t="s">
        <v>398</v>
      </c>
      <c r="B277" s="2">
        <v>32514</v>
      </c>
      <c r="C277" s="2">
        <v>29198</v>
      </c>
      <c r="D277" s="2">
        <v>32327</v>
      </c>
      <c r="E277" s="2">
        <v>25738</v>
      </c>
    </row>
    <row r="278" spans="1:5">
      <c r="A278" t="s">
        <v>399</v>
      </c>
      <c r="B278" s="2">
        <v>40605</v>
      </c>
      <c r="C278" s="2">
        <v>39453</v>
      </c>
      <c r="D278" s="2">
        <v>38824</v>
      </c>
      <c r="E278" s="2">
        <v>35579</v>
      </c>
    </row>
    <row r="279" spans="1:5">
      <c r="A279" t="s">
        <v>400</v>
      </c>
      <c r="B279" s="2">
        <v>3851</v>
      </c>
      <c r="C279" s="2">
        <v>3825</v>
      </c>
      <c r="D279" s="2">
        <v>2277</v>
      </c>
      <c r="E279" s="2">
        <v>9479</v>
      </c>
    </row>
    <row r="280" spans="1:5">
      <c r="A280" t="s">
        <v>401</v>
      </c>
      <c r="B280" s="2">
        <v>11956</v>
      </c>
      <c r="C280" s="2">
        <v>13156</v>
      </c>
      <c r="D280" s="2">
        <v>14769</v>
      </c>
      <c r="E280" s="2">
        <v>14192</v>
      </c>
    </row>
    <row r="281" spans="1:5">
      <c r="A281" t="s">
        <v>402</v>
      </c>
    </row>
    <row r="282" spans="1:5">
      <c r="A282" t="s">
        <v>403</v>
      </c>
      <c r="B282" s="2">
        <v>5505</v>
      </c>
      <c r="C282" s="2">
        <v>6518</v>
      </c>
      <c r="D282" s="2">
        <v>6627</v>
      </c>
      <c r="E282" s="2">
        <v>4980</v>
      </c>
    </row>
    <row r="283" spans="1:5">
      <c r="A283" t="s">
        <v>404</v>
      </c>
    </row>
    <row r="284" spans="1:5">
      <c r="A284" t="s">
        <v>405</v>
      </c>
      <c r="B284" s="2">
        <v>399608</v>
      </c>
      <c r="C284" s="2">
        <v>353385</v>
      </c>
      <c r="D284" s="2">
        <v>339246</v>
      </c>
      <c r="E284" s="2">
        <v>315610</v>
      </c>
    </row>
    <row r="285" spans="1:5">
      <c r="A285" t="s">
        <v>406</v>
      </c>
      <c r="B285" s="2">
        <v>218770</v>
      </c>
      <c r="C285" s="2">
        <v>201309</v>
      </c>
      <c r="D285" s="2">
        <v>189154</v>
      </c>
      <c r="E285" s="2">
        <v>189460</v>
      </c>
    </row>
    <row r="286" spans="1:5">
      <c r="A286" t="s">
        <v>407</v>
      </c>
    </row>
    <row r="287" spans="1:5">
      <c r="A287" t="s">
        <v>408</v>
      </c>
      <c r="B287" s="2">
        <v>92445</v>
      </c>
      <c r="C287" s="2">
        <v>84158</v>
      </c>
      <c r="D287" s="2">
        <v>79797</v>
      </c>
      <c r="E287" s="2">
        <v>81748</v>
      </c>
    </row>
    <row r="288" spans="1:5">
      <c r="A288" t="s">
        <v>409</v>
      </c>
      <c r="B288" s="2">
        <v>29510</v>
      </c>
      <c r="C288" s="2">
        <v>39553</v>
      </c>
      <c r="D288" s="2">
        <v>22151</v>
      </c>
      <c r="E288" s="2">
        <v>30997</v>
      </c>
    </row>
    <row r="289" spans="1:5">
      <c r="A289" t="s">
        <v>410</v>
      </c>
      <c r="B289" s="2">
        <v>1335</v>
      </c>
      <c r="C289" s="2">
        <v>2290</v>
      </c>
      <c r="D289" s="2">
        <v>1743</v>
      </c>
      <c r="E289" s="2">
        <v>1598</v>
      </c>
    </row>
    <row r="290" spans="1:5">
      <c r="A290" t="s">
        <v>411</v>
      </c>
      <c r="B290" s="2">
        <v>73326</v>
      </c>
      <c r="C290" s="2">
        <v>61932</v>
      </c>
      <c r="D290" s="2">
        <v>72473</v>
      </c>
      <c r="E290" s="2">
        <v>62447</v>
      </c>
    </row>
    <row r="291" spans="1:5">
      <c r="A291" t="s">
        <v>412</v>
      </c>
      <c r="B291">
        <v>495</v>
      </c>
      <c r="C291">
        <v>426</v>
      </c>
      <c r="D291">
        <v>430</v>
      </c>
      <c r="E291">
        <v>492</v>
      </c>
    </row>
    <row r="292" spans="1:5">
      <c r="A292" t="s">
        <v>413</v>
      </c>
      <c r="B292" s="2">
        <v>1005</v>
      </c>
      <c r="C292" s="2">
        <v>597</v>
      </c>
      <c r="D292" s="2">
        <v>719</v>
      </c>
      <c r="E292" s="2">
        <v>618</v>
      </c>
    </row>
    <row r="293" spans="1:5">
      <c r="A293" t="s">
        <v>414</v>
      </c>
      <c r="B293" s="2">
        <v>4536</v>
      </c>
      <c r="C293" s="2">
        <v>3780</v>
      </c>
      <c r="D293" s="2">
        <v>4461</v>
      </c>
      <c r="E293" s="2">
        <v>5155</v>
      </c>
    </row>
    <row r="294" spans="1:5">
      <c r="A294" t="s">
        <v>415</v>
      </c>
      <c r="B294" s="2">
        <v>10208</v>
      </c>
      <c r="C294" s="2">
        <v>8232</v>
      </c>
      <c r="D294" s="2">
        <v>7381</v>
      </c>
      <c r="E294" s="2">
        <v>6406</v>
      </c>
    </row>
    <row r="295" spans="1:5">
      <c r="A295" t="s">
        <v>416</v>
      </c>
      <c r="B295" s="2">
        <v>5910</v>
      </c>
      <c r="C295">
        <v>342</v>
      </c>
      <c r="D295" s="2"/>
      <c r="E295" s="2"/>
    </row>
    <row r="296" spans="1:5">
      <c r="A296" t="s">
        <v>417</v>
      </c>
      <c r="B296" s="2">
        <v>180838</v>
      </c>
      <c r="C296" s="2">
        <v>152076</v>
      </c>
      <c r="D296" s="2">
        <v>150092</v>
      </c>
      <c r="E296" s="2">
        <v>126149</v>
      </c>
    </row>
    <row r="297" spans="1:5">
      <c r="A297" t="s">
        <v>418</v>
      </c>
      <c r="B297" s="2">
        <v>79823</v>
      </c>
      <c r="C297" s="2">
        <v>61111</v>
      </c>
      <c r="D297" s="2">
        <v>61454</v>
      </c>
      <c r="E297" s="2">
        <v>49864</v>
      </c>
    </row>
    <row r="298" spans="1:5">
      <c r="A298" t="s">
        <v>419</v>
      </c>
      <c r="B298" s="2">
        <v>72505</v>
      </c>
      <c r="C298" s="2">
        <v>67381</v>
      </c>
      <c r="D298" s="2">
        <v>63648</v>
      </c>
      <c r="E298" s="2">
        <v>48027</v>
      </c>
    </row>
    <row r="299" spans="1:5">
      <c r="A299" t="s">
        <v>420</v>
      </c>
      <c r="B299" s="2">
        <v>1159</v>
      </c>
      <c r="C299">
        <v>691</v>
      </c>
      <c r="D299" s="2">
        <v>1712</v>
      </c>
      <c r="E299" s="2">
        <v>1894</v>
      </c>
    </row>
    <row r="300" spans="1:5">
      <c r="A300" t="s">
        <v>421</v>
      </c>
      <c r="B300" s="2">
        <v>2336</v>
      </c>
      <c r="C300" s="2">
        <v>1312</v>
      </c>
      <c r="D300" s="2">
        <v>1632</v>
      </c>
      <c r="E300" s="2">
        <v>850</v>
      </c>
    </row>
    <row r="301" spans="1:5">
      <c r="A301" t="s">
        <v>422</v>
      </c>
      <c r="B301" s="2">
        <v>2903</v>
      </c>
      <c r="C301" s="2">
        <v>1820</v>
      </c>
      <c r="D301" s="2">
        <v>1236</v>
      </c>
      <c r="E301" s="2">
        <v>1372</v>
      </c>
    </row>
    <row r="302" spans="1:5">
      <c r="A302" t="s">
        <v>423</v>
      </c>
      <c r="B302" s="2">
        <v>2232</v>
      </c>
      <c r="C302" s="2">
        <v>2217</v>
      </c>
      <c r="D302" s="2">
        <v>3377</v>
      </c>
      <c r="E302" s="2">
        <v>4772</v>
      </c>
    </row>
    <row r="303" spans="1:5">
      <c r="A303" t="s">
        <v>424</v>
      </c>
      <c r="B303" s="2">
        <v>18323</v>
      </c>
      <c r="C303" s="2">
        <v>16767</v>
      </c>
      <c r="D303" s="2">
        <v>16429</v>
      </c>
      <c r="E303" s="2">
        <v>19042</v>
      </c>
    </row>
    <row r="304" spans="1:5">
      <c r="A304" t="s">
        <v>425</v>
      </c>
    </row>
    <row r="305" spans="1:5">
      <c r="A305" t="s">
        <v>426</v>
      </c>
      <c r="B305" s="2">
        <v>1557</v>
      </c>
      <c r="C305" s="2">
        <v>778</v>
      </c>
      <c r="D305" s="2">
        <v>604</v>
      </c>
      <c r="E305" s="2">
        <v>328</v>
      </c>
    </row>
    <row r="306" spans="1:5">
      <c r="A306" t="s">
        <v>427</v>
      </c>
    </row>
    <row r="307" spans="1:5">
      <c r="A307" t="s">
        <v>428</v>
      </c>
      <c r="B307" s="2">
        <v>452914</v>
      </c>
      <c r="C307" s="2">
        <v>450702</v>
      </c>
      <c r="D307" s="2">
        <v>458384</v>
      </c>
      <c r="E307" s="2">
        <v>474640</v>
      </c>
    </row>
    <row r="308" spans="1:5">
      <c r="A308" t="s">
        <v>429</v>
      </c>
      <c r="B308" s="2">
        <v>415874</v>
      </c>
      <c r="C308" s="2">
        <v>412353</v>
      </c>
      <c r="D308" s="2">
        <v>423734</v>
      </c>
      <c r="E308" s="2">
        <v>437329</v>
      </c>
    </row>
    <row r="309" spans="1:5">
      <c r="A309" t="s">
        <v>585</v>
      </c>
      <c r="B309" s="2">
        <v>4824</v>
      </c>
      <c r="C309" s="2">
        <v>4824</v>
      </c>
      <c r="D309" s="2">
        <v>4824</v>
      </c>
      <c r="E309" s="2">
        <v>4824</v>
      </c>
    </row>
    <row r="310" spans="1:5">
      <c r="A310" t="s">
        <v>586</v>
      </c>
      <c r="B310" s="2">
        <v>9969</v>
      </c>
      <c r="C310" s="2">
        <v>9969</v>
      </c>
      <c r="D310" s="2">
        <v>9969</v>
      </c>
      <c r="E310" s="2">
        <v>9969</v>
      </c>
    </row>
    <row r="311" spans="1:5">
      <c r="A311" t="s">
        <v>587</v>
      </c>
      <c r="B311" s="2">
        <v>10837</v>
      </c>
      <c r="C311" s="2">
        <v>13836</v>
      </c>
      <c r="D311" s="2">
        <v>13978</v>
      </c>
      <c r="E311" s="2">
        <v>14126</v>
      </c>
    </row>
    <row r="312" spans="1:5">
      <c r="A312" t="s">
        <v>588</v>
      </c>
      <c r="B312" s="2">
        <v>-15553</v>
      </c>
      <c r="C312" s="2">
        <v>-15544</v>
      </c>
      <c r="D312" s="2">
        <v>-15526</v>
      </c>
      <c r="E312" s="2">
        <v>-15570</v>
      </c>
    </row>
    <row r="313" spans="1:5">
      <c r="A313" t="s">
        <v>589</v>
      </c>
      <c r="B313" s="2">
        <v>-3879</v>
      </c>
      <c r="C313" s="2">
        <v>-5743</v>
      </c>
      <c r="D313" s="2">
        <v>-1249</v>
      </c>
      <c r="E313" s="2">
        <v>-6586</v>
      </c>
    </row>
    <row r="314" spans="1:5">
      <c r="A314" t="s">
        <v>590</v>
      </c>
      <c r="B314" s="2">
        <v>409676</v>
      </c>
      <c r="C314" s="2">
        <v>405011</v>
      </c>
      <c r="D314" s="2">
        <v>411738</v>
      </c>
      <c r="E314" s="2">
        <v>430566</v>
      </c>
    </row>
    <row r="315" spans="1:5">
      <c r="A315" t="s">
        <v>591</v>
      </c>
      <c r="B315" s="2">
        <v>37040</v>
      </c>
      <c r="C315" s="2">
        <v>38349</v>
      </c>
      <c r="D315" s="2">
        <v>34650</v>
      </c>
      <c r="E315" s="2">
        <v>37311</v>
      </c>
    </row>
    <row r="316" spans="1:5">
      <c r="A316" t="s">
        <v>381</v>
      </c>
    </row>
    <row r="317" spans="1:5">
      <c r="A317" t="s">
        <v>141</v>
      </c>
      <c r="B317" s="5">
        <v>42795</v>
      </c>
      <c r="C317" s="5">
        <v>42887</v>
      </c>
      <c r="D317" s="5">
        <v>42979</v>
      </c>
      <c r="E317" s="5">
        <v>43070</v>
      </c>
    </row>
    <row r="318" spans="1:5">
      <c r="A318" t="s">
        <v>383</v>
      </c>
      <c r="B318" s="2">
        <v>785332</v>
      </c>
      <c r="C318" s="2">
        <v>795084</v>
      </c>
      <c r="D318" s="2">
        <v>799807</v>
      </c>
      <c r="E318" s="2">
        <v>790250</v>
      </c>
    </row>
    <row r="319" spans="1:5">
      <c r="A319" t="s">
        <v>384</v>
      </c>
      <c r="B319" s="2">
        <v>293509</v>
      </c>
      <c r="C319" s="2">
        <v>298762</v>
      </c>
      <c r="D319" s="2">
        <v>308953</v>
      </c>
      <c r="E319" s="2">
        <v>311274</v>
      </c>
    </row>
    <row r="320" spans="1:5">
      <c r="A320" t="s">
        <v>385</v>
      </c>
      <c r="B320" s="2">
        <v>94885</v>
      </c>
      <c r="C320" s="2">
        <v>97117</v>
      </c>
      <c r="D320" s="2">
        <v>98199</v>
      </c>
      <c r="E320" s="2">
        <v>99510</v>
      </c>
    </row>
    <row r="321" spans="1:5">
      <c r="A321" t="s">
        <v>386</v>
      </c>
    </row>
    <row r="322" spans="1:5">
      <c r="A322" t="s">
        <v>387</v>
      </c>
      <c r="B322" s="2">
        <v>53185</v>
      </c>
      <c r="C322" s="2">
        <v>53962</v>
      </c>
      <c r="D322" s="2">
        <v>63605</v>
      </c>
      <c r="E322" s="2">
        <v>76892</v>
      </c>
    </row>
    <row r="323" spans="1:5">
      <c r="A323" t="s">
        <v>388</v>
      </c>
      <c r="B323" s="2">
        <v>108052</v>
      </c>
      <c r="C323" s="2">
        <v>109424</v>
      </c>
      <c r="D323" s="2">
        <v>108382</v>
      </c>
      <c r="E323" s="2">
        <v>99584</v>
      </c>
    </row>
    <row r="324" spans="1:5">
      <c r="A324" t="s">
        <v>389</v>
      </c>
      <c r="B324">
        <v>361</v>
      </c>
      <c r="C324">
        <v>376</v>
      </c>
      <c r="D324">
        <v>451</v>
      </c>
      <c r="E324">
        <v>385</v>
      </c>
    </row>
    <row r="325" spans="1:5">
      <c r="A325" t="s">
        <v>390</v>
      </c>
      <c r="B325" s="2">
        <v>9644</v>
      </c>
      <c r="C325" s="2">
        <v>8909</v>
      </c>
      <c r="D325" s="2">
        <v>8756</v>
      </c>
      <c r="E325" s="2">
        <v>8061</v>
      </c>
    </row>
    <row r="326" spans="1:5">
      <c r="A326" t="s">
        <v>391</v>
      </c>
      <c r="B326" s="2">
        <v>27252</v>
      </c>
      <c r="C326" s="2">
        <v>28970</v>
      </c>
      <c r="D326" s="2">
        <v>29555</v>
      </c>
      <c r="E326" s="2">
        <v>26125</v>
      </c>
    </row>
    <row r="327" spans="1:5">
      <c r="A327" t="s">
        <v>392</v>
      </c>
      <c r="B327" s="2">
        <v>131</v>
      </c>
      <c r="C327" s="2">
        <v>4</v>
      </c>
      <c r="D327" s="2">
        <v>4</v>
      </c>
      <c r="E327" s="2">
        <v>718</v>
      </c>
    </row>
    <row r="328" spans="1:5">
      <c r="A328" t="s">
        <v>393</v>
      </c>
      <c r="B328" s="2">
        <v>491823</v>
      </c>
      <c r="C328" s="2">
        <v>496321</v>
      </c>
      <c r="D328" s="2">
        <v>490854</v>
      </c>
      <c r="E328" s="2">
        <v>478975</v>
      </c>
    </row>
    <row r="329" spans="1:5">
      <c r="A329" t="s">
        <v>394</v>
      </c>
      <c r="B329" s="2">
        <v>328193</v>
      </c>
      <c r="C329" s="2">
        <v>328434</v>
      </c>
      <c r="D329" s="2">
        <v>326136</v>
      </c>
      <c r="E329" s="2">
        <v>318835</v>
      </c>
    </row>
    <row r="330" spans="1:5">
      <c r="A330" t="s">
        <v>395</v>
      </c>
      <c r="B330" s="2">
        <v>60558</v>
      </c>
      <c r="C330" s="2">
        <v>60924</v>
      </c>
      <c r="D330" s="2">
        <v>60823</v>
      </c>
      <c r="E330" s="2">
        <v>59523</v>
      </c>
    </row>
    <row r="331" spans="1:5">
      <c r="A331" t="s">
        <v>396</v>
      </c>
    </row>
    <row r="332" spans="1:5">
      <c r="A332" t="s">
        <v>397</v>
      </c>
      <c r="B332" s="2">
        <v>11016</v>
      </c>
      <c r="C332" s="2">
        <v>11012</v>
      </c>
      <c r="D332" s="2">
        <v>11179</v>
      </c>
      <c r="E332" s="2">
        <v>10649</v>
      </c>
    </row>
    <row r="333" spans="1:5">
      <c r="A333" t="s">
        <v>398</v>
      </c>
      <c r="B333" s="2">
        <v>32205</v>
      </c>
      <c r="C333" s="2">
        <v>33555</v>
      </c>
      <c r="D333" s="2">
        <v>29390</v>
      </c>
      <c r="E333" s="2">
        <v>25738</v>
      </c>
    </row>
    <row r="334" spans="1:5">
      <c r="A334" t="s">
        <v>399</v>
      </c>
      <c r="B334" s="2">
        <v>37035</v>
      </c>
      <c r="C334" s="2">
        <v>36675</v>
      </c>
      <c r="D334" s="2">
        <v>37800</v>
      </c>
      <c r="E334" s="2">
        <v>35579</v>
      </c>
    </row>
    <row r="335" spans="1:5">
      <c r="A335" t="s">
        <v>400</v>
      </c>
      <c r="B335" s="2">
        <v>2199</v>
      </c>
      <c r="C335" s="2">
        <v>5522</v>
      </c>
      <c r="D335" s="2">
        <v>5964</v>
      </c>
      <c r="E335" s="2">
        <v>9479</v>
      </c>
    </row>
    <row r="336" spans="1:5">
      <c r="A336" t="s">
        <v>401</v>
      </c>
      <c r="B336" s="2">
        <v>14528</v>
      </c>
      <c r="C336" s="2">
        <v>14341</v>
      </c>
      <c r="D336" s="2">
        <v>13966</v>
      </c>
      <c r="E336" s="2">
        <v>14192</v>
      </c>
    </row>
    <row r="337" spans="1:5">
      <c r="A337" t="s">
        <v>402</v>
      </c>
    </row>
    <row r="338" spans="1:5">
      <c r="A338" t="s">
        <v>403</v>
      </c>
      <c r="B338" s="2">
        <v>6087</v>
      </c>
      <c r="C338" s="2">
        <v>5857</v>
      </c>
      <c r="D338" s="2">
        <v>5598</v>
      </c>
      <c r="E338" s="2">
        <v>4980</v>
      </c>
    </row>
    <row r="339" spans="1:5">
      <c r="A339" t="s">
        <v>404</v>
      </c>
    </row>
    <row r="340" spans="1:5">
      <c r="A340" t="s">
        <v>405</v>
      </c>
      <c r="B340" s="2">
        <v>324204</v>
      </c>
      <c r="C340" s="2">
        <v>326162</v>
      </c>
      <c r="D340" s="2">
        <v>324071</v>
      </c>
      <c r="E340" s="2">
        <v>315610</v>
      </c>
    </row>
    <row r="341" spans="1:5">
      <c r="A341" t="s">
        <v>406</v>
      </c>
      <c r="B341" s="2">
        <v>183346</v>
      </c>
      <c r="C341" s="2">
        <v>189626</v>
      </c>
      <c r="D341" s="2">
        <v>184226</v>
      </c>
      <c r="E341" s="2">
        <v>189460</v>
      </c>
    </row>
    <row r="342" spans="1:5">
      <c r="A342" t="s">
        <v>407</v>
      </c>
      <c r="D342" s="2"/>
    </row>
    <row r="343" spans="1:5">
      <c r="A343" t="s">
        <v>408</v>
      </c>
      <c r="B343" s="2">
        <v>80488</v>
      </c>
      <c r="C343" s="2">
        <v>90972</v>
      </c>
      <c r="D343" s="2">
        <v>90476</v>
      </c>
      <c r="E343" s="2">
        <v>81748</v>
      </c>
    </row>
    <row r="344" spans="1:5">
      <c r="A344" t="s">
        <v>409</v>
      </c>
      <c r="B344" s="2">
        <v>19119</v>
      </c>
      <c r="C344" s="2">
        <v>22226</v>
      </c>
      <c r="D344" s="2">
        <v>21103</v>
      </c>
      <c r="E344" s="2">
        <v>30997</v>
      </c>
    </row>
    <row r="345" spans="1:5">
      <c r="A345" t="s">
        <v>410</v>
      </c>
      <c r="B345" s="2">
        <v>1413</v>
      </c>
      <c r="C345" s="2">
        <v>1290</v>
      </c>
      <c r="D345" s="2">
        <v>1367</v>
      </c>
      <c r="E345" s="2">
        <v>1598</v>
      </c>
    </row>
    <row r="346" spans="1:5">
      <c r="A346" t="s">
        <v>411</v>
      </c>
      <c r="B346" s="2">
        <v>68268</v>
      </c>
      <c r="C346" s="2">
        <v>61735</v>
      </c>
      <c r="D346" s="2">
        <v>58663</v>
      </c>
      <c r="E346" s="2">
        <v>62447</v>
      </c>
    </row>
    <row r="347" spans="1:5">
      <c r="A347" t="s">
        <v>412</v>
      </c>
      <c r="B347" s="2">
        <v>233</v>
      </c>
      <c r="C347">
        <v>366</v>
      </c>
      <c r="D347">
        <v>340</v>
      </c>
      <c r="E347">
        <v>492</v>
      </c>
    </row>
    <row r="348" spans="1:5">
      <c r="A348" t="s">
        <v>413</v>
      </c>
      <c r="B348" s="2">
        <v>757</v>
      </c>
      <c r="C348" s="2">
        <v>825</v>
      </c>
      <c r="D348" s="2">
        <v>719</v>
      </c>
      <c r="E348" s="2">
        <v>618</v>
      </c>
    </row>
    <row r="349" spans="1:5">
      <c r="A349" t="s">
        <v>414</v>
      </c>
      <c r="B349" s="2">
        <v>4804</v>
      </c>
      <c r="C349" s="2">
        <v>4559</v>
      </c>
      <c r="D349" s="2">
        <v>4796</v>
      </c>
      <c r="E349" s="2">
        <v>5155</v>
      </c>
    </row>
    <row r="350" spans="1:5">
      <c r="A350" t="s">
        <v>415</v>
      </c>
      <c r="B350" s="2">
        <v>8264</v>
      </c>
      <c r="C350" s="2">
        <v>7653</v>
      </c>
      <c r="D350" s="2">
        <v>6762</v>
      </c>
      <c r="E350" s="2">
        <v>6406</v>
      </c>
    </row>
    <row r="351" spans="1:5">
      <c r="A351" t="s">
        <v>416</v>
      </c>
      <c r="B351">
        <v>2</v>
      </c>
      <c r="C351" s="2"/>
      <c r="D351" s="2"/>
      <c r="E351" s="2"/>
    </row>
    <row r="352" spans="1:5">
      <c r="A352" t="s">
        <v>417</v>
      </c>
      <c r="B352" s="2">
        <v>140858</v>
      </c>
      <c r="C352" s="2">
        <v>136536</v>
      </c>
      <c r="D352" s="2">
        <v>139845</v>
      </c>
      <c r="E352" s="2">
        <v>126149</v>
      </c>
    </row>
    <row r="353" spans="1:5">
      <c r="A353" t="s">
        <v>418</v>
      </c>
      <c r="B353" s="2">
        <v>58288</v>
      </c>
      <c r="C353" s="2">
        <v>56820</v>
      </c>
      <c r="D353" s="2">
        <v>60443</v>
      </c>
      <c r="E353" s="2">
        <v>49864</v>
      </c>
    </row>
    <row r="354" spans="1:5">
      <c r="A354" t="s">
        <v>419</v>
      </c>
      <c r="B354" s="2">
        <v>56773</v>
      </c>
      <c r="C354" s="2">
        <v>53734</v>
      </c>
      <c r="D354" s="2">
        <v>52676</v>
      </c>
      <c r="E354" s="2">
        <v>48027</v>
      </c>
    </row>
    <row r="355" spans="1:5">
      <c r="A355" t="s">
        <v>420</v>
      </c>
      <c r="B355" s="2">
        <v>1938</v>
      </c>
      <c r="C355" s="2">
        <v>1384</v>
      </c>
      <c r="D355" s="2">
        <v>1286</v>
      </c>
      <c r="E355" s="2">
        <v>1894</v>
      </c>
    </row>
    <row r="356" spans="1:5">
      <c r="A356" t="s">
        <v>421</v>
      </c>
      <c r="B356" s="2">
        <v>1345</v>
      </c>
      <c r="C356" s="2">
        <v>1110</v>
      </c>
      <c r="D356" s="2">
        <v>1363</v>
      </c>
      <c r="E356" s="2">
        <v>850</v>
      </c>
    </row>
    <row r="357" spans="1:5">
      <c r="A357" t="s">
        <v>422</v>
      </c>
      <c r="B357" s="2">
        <v>1398</v>
      </c>
      <c r="C357" s="2">
        <v>1366</v>
      </c>
      <c r="D357" s="2">
        <v>1537</v>
      </c>
      <c r="E357" s="2">
        <v>1372</v>
      </c>
    </row>
    <row r="358" spans="1:5">
      <c r="A358" t="s">
        <v>423</v>
      </c>
      <c r="B358" s="2">
        <v>3530</v>
      </c>
      <c r="C358" s="2">
        <v>3752</v>
      </c>
      <c r="D358" s="2">
        <v>3909</v>
      </c>
      <c r="E358" s="2">
        <v>4772</v>
      </c>
    </row>
    <row r="359" spans="1:5">
      <c r="A359" t="s">
        <v>424</v>
      </c>
      <c r="B359" s="2">
        <v>17050</v>
      </c>
      <c r="C359" s="2">
        <v>17785</v>
      </c>
      <c r="D359" s="2">
        <v>18076</v>
      </c>
      <c r="E359" s="2">
        <v>19042</v>
      </c>
    </row>
    <row r="360" spans="1:5">
      <c r="A360" t="s">
        <v>425</v>
      </c>
    </row>
    <row r="361" spans="1:5">
      <c r="A361" t="s">
        <v>426</v>
      </c>
      <c r="B361" s="2">
        <v>536</v>
      </c>
      <c r="C361" s="2">
        <v>586</v>
      </c>
      <c r="D361" s="2">
        <v>555</v>
      </c>
      <c r="E361" s="2">
        <v>328</v>
      </c>
    </row>
    <row r="362" spans="1:5">
      <c r="A362" t="s">
        <v>427</v>
      </c>
    </row>
    <row r="363" spans="1:5">
      <c r="A363" t="s">
        <v>428</v>
      </c>
      <c r="B363" s="2">
        <v>461128</v>
      </c>
      <c r="C363" s="2">
        <v>468921</v>
      </c>
      <c r="D363" s="2">
        <v>475736</v>
      </c>
      <c r="E363" s="2">
        <v>474640</v>
      </c>
    </row>
    <row r="364" spans="1:5">
      <c r="A364" t="s">
        <v>429</v>
      </c>
      <c r="B364" s="2">
        <v>423744</v>
      </c>
      <c r="C364" s="2">
        <v>431202</v>
      </c>
      <c r="D364" s="2">
        <v>437742</v>
      </c>
      <c r="E364" s="2">
        <v>437329</v>
      </c>
    </row>
    <row r="365" spans="1:5">
      <c r="A365" t="s">
        <v>585</v>
      </c>
      <c r="B365" s="2">
        <v>4824</v>
      </c>
      <c r="C365" s="2">
        <v>4824</v>
      </c>
      <c r="D365" s="2">
        <v>4824</v>
      </c>
      <c r="E365" s="2">
        <v>4824</v>
      </c>
    </row>
    <row r="366" spans="1:5">
      <c r="A366" t="s">
        <v>586</v>
      </c>
      <c r="B366" s="2">
        <v>9969</v>
      </c>
      <c r="C366" s="2">
        <v>9969</v>
      </c>
      <c r="D366" s="2">
        <v>9969</v>
      </c>
      <c r="E366" s="2">
        <v>9969</v>
      </c>
    </row>
    <row r="367" spans="1:5">
      <c r="A367" t="s">
        <v>587</v>
      </c>
      <c r="B367" s="2">
        <v>14035</v>
      </c>
      <c r="C367" s="2">
        <v>14016</v>
      </c>
      <c r="D367" s="2">
        <v>14019</v>
      </c>
      <c r="E367" s="2">
        <v>14126</v>
      </c>
    </row>
    <row r="368" spans="1:5">
      <c r="A368" t="s">
        <v>588</v>
      </c>
      <c r="B368" s="2">
        <v>-15541</v>
      </c>
      <c r="C368" s="2">
        <v>-15535</v>
      </c>
      <c r="D368" s="2">
        <v>-15530</v>
      </c>
      <c r="E368" s="2">
        <v>-15570</v>
      </c>
    </row>
    <row r="369" spans="1:5">
      <c r="A369" t="s">
        <v>589</v>
      </c>
      <c r="B369" s="2">
        <v>-5000</v>
      </c>
      <c r="C369" s="2">
        <v>-1327</v>
      </c>
      <c r="D369" s="2">
        <v>-2211</v>
      </c>
      <c r="E369" s="2">
        <v>-6586</v>
      </c>
    </row>
    <row r="370" spans="1:5">
      <c r="A370" t="s">
        <v>590</v>
      </c>
      <c r="B370" s="2">
        <v>415457</v>
      </c>
      <c r="C370" s="2">
        <v>419255</v>
      </c>
      <c r="D370" s="2">
        <v>426671</v>
      </c>
      <c r="E370" s="2">
        <v>430566</v>
      </c>
    </row>
    <row r="371" spans="1:5">
      <c r="A371" t="s">
        <v>591</v>
      </c>
      <c r="B371" s="2">
        <v>37384</v>
      </c>
      <c r="C371" s="2">
        <v>37720</v>
      </c>
      <c r="D371" s="2">
        <v>37994</v>
      </c>
      <c r="E371" s="2">
        <v>37311</v>
      </c>
    </row>
    <row r="373" spans="1:5">
      <c r="A373" t="s">
        <v>430</v>
      </c>
    </row>
    <row r="375" spans="1:5">
      <c r="A375" t="s">
        <v>329</v>
      </c>
    </row>
    <row r="376" spans="1:5">
      <c r="A376" t="s">
        <v>330</v>
      </c>
    </row>
    <row r="377" spans="1:5">
      <c r="A377" t="s">
        <v>202</v>
      </c>
    </row>
    <row r="379" spans="1:5">
      <c r="A379" t="s">
        <v>431</v>
      </c>
    </row>
    <row r="381" spans="1:5">
      <c r="A381" t="s">
        <v>571</v>
      </c>
    </row>
    <row r="383" spans="1:5">
      <c r="A383" t="s">
        <v>432</v>
      </c>
    </row>
    <row r="385" spans="1:5">
      <c r="A385" t="s">
        <v>572</v>
      </c>
    </row>
    <row r="386" spans="1:5">
      <c r="A386" t="s">
        <v>430</v>
      </c>
    </row>
    <row r="387" spans="1:5">
      <c r="A387" t="s">
        <v>141</v>
      </c>
      <c r="B387" s="5">
        <v>41974</v>
      </c>
      <c r="C387" s="5">
        <v>42339</v>
      </c>
      <c r="D387" s="5">
        <v>42705</v>
      </c>
      <c r="E387" s="5">
        <v>43070</v>
      </c>
    </row>
    <row r="388" spans="1:5">
      <c r="A388" t="s">
        <v>433</v>
      </c>
      <c r="B388" s="2">
        <v>34121</v>
      </c>
      <c r="C388" s="2">
        <v>76018</v>
      </c>
      <c r="D388" s="2">
        <v>52694</v>
      </c>
      <c r="E388" s="2">
        <v>56073</v>
      </c>
    </row>
    <row r="389" spans="1:5">
      <c r="A389" t="s">
        <v>434</v>
      </c>
      <c r="B389" s="2">
        <v>5567</v>
      </c>
      <c r="C389" s="2">
        <v>-962</v>
      </c>
      <c r="D389" s="2">
        <v>10482</v>
      </c>
      <c r="E389" s="2">
        <v>29735</v>
      </c>
    </row>
    <row r="390" spans="1:5">
      <c r="A390" t="s">
        <v>435</v>
      </c>
    </row>
    <row r="391" spans="1:5">
      <c r="A391" t="s">
        <v>436</v>
      </c>
      <c r="B391" s="2">
        <v>72054</v>
      </c>
      <c r="C391" s="2">
        <v>73999</v>
      </c>
      <c r="D391" s="2">
        <v>65341</v>
      </c>
      <c r="E391" s="2">
        <v>71662</v>
      </c>
    </row>
    <row r="392" spans="1:5">
      <c r="A392" t="s">
        <v>437</v>
      </c>
      <c r="B392" s="2">
        <v>2379</v>
      </c>
      <c r="C392" s="2">
        <v>2454</v>
      </c>
      <c r="D392" s="2">
        <v>3331</v>
      </c>
      <c r="E392" s="2">
        <v>1999</v>
      </c>
    </row>
    <row r="393" spans="1:5">
      <c r="A393" t="s">
        <v>438</v>
      </c>
    </row>
    <row r="394" spans="1:5">
      <c r="A394" t="s">
        <v>439</v>
      </c>
    </row>
    <row r="395" spans="1:5">
      <c r="A395" t="s">
        <v>440</v>
      </c>
      <c r="B395" s="2">
        <v>2053</v>
      </c>
      <c r="C395" s="2">
        <v>3372</v>
      </c>
      <c r="D395" s="2">
        <v>2027</v>
      </c>
      <c r="E395" s="2">
        <v>2719</v>
      </c>
    </row>
    <row r="396" spans="1:5">
      <c r="A396" t="s">
        <v>441</v>
      </c>
      <c r="B396" s="2">
        <v>28946</v>
      </c>
      <c r="C396" s="2">
        <v>28367</v>
      </c>
      <c r="D396" s="2">
        <v>28358</v>
      </c>
      <c r="E396" s="2">
        <v>28876</v>
      </c>
    </row>
    <row r="397" spans="1:5">
      <c r="A397" t="s">
        <v>442</v>
      </c>
      <c r="B397" s="2">
        <v>3439</v>
      </c>
      <c r="C397" s="2">
        <v>3816</v>
      </c>
      <c r="D397" s="2">
        <v>3780</v>
      </c>
      <c r="E397" s="2">
        <v>4098</v>
      </c>
    </row>
    <row r="398" spans="1:5">
      <c r="A398" t="s">
        <v>443</v>
      </c>
      <c r="B398" s="2">
        <v>2455</v>
      </c>
      <c r="C398">
        <v>869</v>
      </c>
      <c r="D398" s="2">
        <v>1899</v>
      </c>
      <c r="E398" s="2">
        <v>2154</v>
      </c>
    </row>
    <row r="399" spans="1:5">
      <c r="A399" t="s">
        <v>444</v>
      </c>
      <c r="B399" s="2"/>
      <c r="C399" s="2"/>
      <c r="D399" s="2"/>
      <c r="E399" s="2"/>
    </row>
    <row r="400" spans="1:5">
      <c r="A400" t="s">
        <v>445</v>
      </c>
    </row>
    <row r="401" spans="1:5">
      <c r="A401" t="s">
        <v>446</v>
      </c>
      <c r="B401" s="2">
        <v>18010</v>
      </c>
      <c r="C401" s="2">
        <v>18529</v>
      </c>
      <c r="D401" s="2">
        <v>15020</v>
      </c>
      <c r="E401" s="2">
        <v>14403</v>
      </c>
    </row>
    <row r="402" spans="1:5">
      <c r="A402" t="s">
        <v>447</v>
      </c>
      <c r="B402" s="2"/>
      <c r="C402" s="2"/>
      <c r="D402" s="2"/>
      <c r="E402" s="2"/>
    </row>
    <row r="403" spans="1:5">
      <c r="A403" t="s">
        <v>448</v>
      </c>
    </row>
    <row r="404" spans="1:5">
      <c r="A404" t="s">
        <v>449</v>
      </c>
    </row>
    <row r="405" spans="1:5">
      <c r="A405" t="s">
        <v>450</v>
      </c>
    </row>
    <row r="406" spans="1:5">
      <c r="A406" t="s">
        <v>451</v>
      </c>
    </row>
    <row r="407" spans="1:5">
      <c r="A407" t="s">
        <v>452</v>
      </c>
      <c r="B407" s="2"/>
      <c r="C407" s="2"/>
    </row>
    <row r="408" spans="1:5">
      <c r="A408" t="s">
        <v>453</v>
      </c>
      <c r="B408" s="2"/>
      <c r="C408" s="2"/>
      <c r="E408" s="2"/>
    </row>
    <row r="409" spans="1:5">
      <c r="A409" t="s">
        <v>454</v>
      </c>
    </row>
    <row r="410" spans="1:5">
      <c r="A410" t="s">
        <v>455</v>
      </c>
    </row>
    <row r="411" spans="1:5">
      <c r="A411" t="s">
        <v>456</v>
      </c>
    </row>
    <row r="412" spans="1:5">
      <c r="A412" t="s">
        <v>457</v>
      </c>
      <c r="B412" s="2"/>
    </row>
    <row r="413" spans="1:5">
      <c r="A413" t="s">
        <v>458</v>
      </c>
      <c r="B413" s="2">
        <v>500</v>
      </c>
      <c r="C413" s="2">
        <v>2921</v>
      </c>
      <c r="D413" s="2">
        <v>866</v>
      </c>
      <c r="E413" s="2">
        <v>1513</v>
      </c>
    </row>
    <row r="414" spans="1:5">
      <c r="A414" t="s">
        <v>459</v>
      </c>
    </row>
    <row r="415" spans="1:5">
      <c r="A415" t="s">
        <v>460</v>
      </c>
    </row>
    <row r="416" spans="1:5">
      <c r="A416" t="s">
        <v>461</v>
      </c>
      <c r="B416" s="2">
        <v>1790</v>
      </c>
      <c r="C416" s="2">
        <v>5842</v>
      </c>
      <c r="D416" s="2">
        <v>5019</v>
      </c>
      <c r="E416" s="2">
        <v>3638</v>
      </c>
    </row>
    <row r="417" spans="1:5">
      <c r="A417" t="s">
        <v>462</v>
      </c>
      <c r="B417" s="2">
        <v>2999</v>
      </c>
      <c r="C417" s="2">
        <v>5061</v>
      </c>
      <c r="D417">
        <v>887</v>
      </c>
    </row>
    <row r="418" spans="1:5">
      <c r="A418" t="s">
        <v>463</v>
      </c>
    </row>
    <row r="419" spans="1:5">
      <c r="A419" t="s">
        <v>464</v>
      </c>
      <c r="D419" s="2">
        <v>225</v>
      </c>
      <c r="E419">
        <v>200</v>
      </c>
    </row>
    <row r="420" spans="1:5">
      <c r="A420" t="s">
        <v>465</v>
      </c>
      <c r="B420" s="2">
        <v>8215</v>
      </c>
      <c r="C420" s="2">
        <v>2769</v>
      </c>
      <c r="D420" s="2">
        <v>3847</v>
      </c>
      <c r="E420" s="2">
        <v>12062</v>
      </c>
    </row>
    <row r="421" spans="1:5">
      <c r="A421" t="s">
        <v>466</v>
      </c>
      <c r="B421" s="2">
        <v>1268</v>
      </c>
      <c r="C421" s="2"/>
      <c r="D421" s="2">
        <v>81</v>
      </c>
      <c r="E421" s="2"/>
    </row>
    <row r="422" spans="1:5">
      <c r="A422" t="s">
        <v>467</v>
      </c>
      <c r="B422" s="2">
        <v>11100</v>
      </c>
      <c r="C422" s="2">
        <v>14377</v>
      </c>
      <c r="D422" s="2">
        <v>9531</v>
      </c>
      <c r="E422" s="2">
        <v>15345</v>
      </c>
    </row>
    <row r="423" spans="1:5">
      <c r="A423" t="s">
        <v>468</v>
      </c>
      <c r="B423" s="2"/>
      <c r="C423" s="2"/>
      <c r="D423" s="2"/>
      <c r="E423" s="2"/>
    </row>
    <row r="424" spans="1:5">
      <c r="A424" t="s">
        <v>469</v>
      </c>
    </row>
    <row r="425" spans="1:5">
      <c r="A425" t="s">
        <v>470</v>
      </c>
      <c r="B425" s="2">
        <v>10467</v>
      </c>
      <c r="C425" s="2">
        <v>11653</v>
      </c>
      <c r="D425" s="2">
        <v>8829</v>
      </c>
      <c r="E425" s="2">
        <v>13763</v>
      </c>
    </row>
    <row r="426" spans="1:5">
      <c r="A426" t="s">
        <v>471</v>
      </c>
    </row>
    <row r="427" spans="1:5">
      <c r="A427" t="s">
        <v>472</v>
      </c>
      <c r="B427" s="2"/>
      <c r="C427" s="2"/>
      <c r="D427" s="2"/>
    </row>
    <row r="428" spans="1:5">
      <c r="A428" t="s">
        <v>473</v>
      </c>
    </row>
    <row r="429" spans="1:5">
      <c r="A429" t="s">
        <v>474</v>
      </c>
      <c r="B429" s="2"/>
      <c r="C429" s="2"/>
      <c r="D429" s="2"/>
    </row>
    <row r="430" spans="1:5">
      <c r="A430" t="s">
        <v>475</v>
      </c>
    </row>
    <row r="431" spans="1:5">
      <c r="A431" t="s">
        <v>476</v>
      </c>
    </row>
    <row r="432" spans="1:5">
      <c r="A432" t="s">
        <v>477</v>
      </c>
      <c r="B432" s="2"/>
      <c r="C432" s="2"/>
    </row>
    <row r="433" spans="1:5">
      <c r="A433" t="s">
        <v>478</v>
      </c>
    </row>
    <row r="434" spans="1:5">
      <c r="A434" t="s">
        <v>479</v>
      </c>
    </row>
    <row r="435" spans="1:5">
      <c r="A435" t="s">
        <v>480</v>
      </c>
    </row>
    <row r="436" spans="1:5">
      <c r="A436" t="s">
        <v>481</v>
      </c>
    </row>
    <row r="437" spans="1:5">
      <c r="A437" t="s">
        <v>482</v>
      </c>
    </row>
    <row r="438" spans="1:5">
      <c r="A438" t="s">
        <v>483</v>
      </c>
    </row>
    <row r="439" spans="1:5">
      <c r="A439" t="s">
        <v>484</v>
      </c>
    </row>
    <row r="440" spans="1:5">
      <c r="A440" t="s">
        <v>485</v>
      </c>
      <c r="B440" s="2">
        <v>633</v>
      </c>
      <c r="C440" s="2">
        <v>2507</v>
      </c>
      <c r="D440" s="2">
        <v>469</v>
      </c>
      <c r="E440">
        <v>333</v>
      </c>
    </row>
    <row r="441" spans="1:5">
      <c r="A441" t="s">
        <v>486</v>
      </c>
    </row>
    <row r="442" spans="1:5">
      <c r="A442" t="s">
        <v>487</v>
      </c>
    </row>
    <row r="443" spans="1:5">
      <c r="A443" t="s">
        <v>488</v>
      </c>
      <c r="C443" s="2"/>
    </row>
    <row r="444" spans="1:5">
      <c r="A444" t="s">
        <v>489</v>
      </c>
      <c r="B444" s="2"/>
      <c r="C444" s="2"/>
      <c r="D444" s="2"/>
      <c r="E444" s="2">
        <v>105</v>
      </c>
    </row>
    <row r="445" spans="1:5">
      <c r="A445" t="s">
        <v>490</v>
      </c>
      <c r="D445" s="2"/>
    </row>
    <row r="446" spans="1:5">
      <c r="A446" t="s">
        <v>464</v>
      </c>
      <c r="C446" s="2"/>
      <c r="D446">
        <v>233</v>
      </c>
      <c r="E446" s="2">
        <v>818</v>
      </c>
    </row>
    <row r="447" spans="1:5">
      <c r="A447" t="s">
        <v>491</v>
      </c>
    </row>
    <row r="448" spans="1:5">
      <c r="A448" t="s">
        <v>492</v>
      </c>
      <c r="B448" s="2"/>
      <c r="C448" s="2">
        <v>216</v>
      </c>
      <c r="D448" s="2"/>
      <c r="E448" s="2">
        <v>325</v>
      </c>
    </row>
    <row r="449" spans="1:5">
      <c r="A449" t="s">
        <v>493</v>
      </c>
      <c r="B449" s="2">
        <v>-19140</v>
      </c>
      <c r="C449" s="2">
        <v>27540</v>
      </c>
      <c r="D449" s="2">
        <v>-4258</v>
      </c>
      <c r="E449" s="2">
        <v>-19263</v>
      </c>
    </row>
    <row r="450" spans="1:5">
      <c r="A450" t="s">
        <v>494</v>
      </c>
      <c r="B450" s="2">
        <v>-8585</v>
      </c>
      <c r="C450" s="2">
        <v>41573</v>
      </c>
      <c r="D450" s="2">
        <v>-6485</v>
      </c>
      <c r="E450" s="2">
        <v>-7696</v>
      </c>
    </row>
    <row r="451" spans="1:5">
      <c r="A451" t="s">
        <v>495</v>
      </c>
      <c r="B451" s="2">
        <v>-10555</v>
      </c>
      <c r="C451" s="2">
        <v>-14033</v>
      </c>
      <c r="D451" s="2">
        <v>2227</v>
      </c>
      <c r="E451" s="2">
        <v>-11566</v>
      </c>
    </row>
    <row r="452" spans="1:5">
      <c r="A452" t="s">
        <v>496</v>
      </c>
    </row>
    <row r="453" spans="1:5">
      <c r="A453" t="s">
        <v>497</v>
      </c>
      <c r="B453" s="2"/>
      <c r="C453" s="2"/>
      <c r="D453" s="2"/>
      <c r="E453" s="2"/>
    </row>
    <row r="454" spans="1:5">
      <c r="A454" t="s">
        <v>498</v>
      </c>
      <c r="B454" s="2">
        <v>47381</v>
      </c>
      <c r="C454" s="2">
        <v>86201</v>
      </c>
      <c r="D454" s="2">
        <v>62033</v>
      </c>
      <c r="E454" s="2">
        <v>66789</v>
      </c>
    </row>
    <row r="455" spans="1:5">
      <c r="A455" t="s">
        <v>499</v>
      </c>
      <c r="B455" s="2">
        <v>-13260</v>
      </c>
      <c r="C455" s="2">
        <v>-10183</v>
      </c>
      <c r="D455" s="2">
        <v>-9339</v>
      </c>
      <c r="E455" s="2">
        <v>-10716</v>
      </c>
    </row>
    <row r="456" spans="1:5">
      <c r="A456" t="s">
        <v>500</v>
      </c>
      <c r="B456" s="2">
        <v>2388</v>
      </c>
      <c r="C456" s="2">
        <v>1982</v>
      </c>
      <c r="D456" s="2">
        <v>2068</v>
      </c>
      <c r="E456" s="2">
        <v>2450</v>
      </c>
    </row>
    <row r="457" spans="1:5">
      <c r="A457" t="s">
        <v>501</v>
      </c>
      <c r="B457" s="2">
        <v>-8822</v>
      </c>
      <c r="C457" s="2">
        <v>-8316</v>
      </c>
      <c r="D457" s="2">
        <v>-6913</v>
      </c>
      <c r="E457" s="2">
        <v>-7357</v>
      </c>
    </row>
    <row r="458" spans="1:5">
      <c r="A458" t="s">
        <v>502</v>
      </c>
      <c r="B458" s="2">
        <v>1147</v>
      </c>
      <c r="C458" s="2">
        <v>2377</v>
      </c>
      <c r="D458" s="2">
        <v>1526</v>
      </c>
      <c r="E458" s="2">
        <v>2255</v>
      </c>
    </row>
    <row r="459" spans="1:5">
      <c r="A459" t="s">
        <v>503</v>
      </c>
    </row>
    <row r="460" spans="1:5">
      <c r="A460" t="s">
        <v>504</v>
      </c>
    </row>
    <row r="461" spans="1:5">
      <c r="A461" t="s">
        <v>505</v>
      </c>
      <c r="B461" s="2">
        <v>-7973</v>
      </c>
      <c r="C461" s="2">
        <v>-6226</v>
      </c>
      <c r="D461" s="2">
        <v>-6020</v>
      </c>
      <c r="E461" s="2">
        <v>-8064</v>
      </c>
    </row>
    <row r="462" spans="1:5">
      <c r="A462" t="s">
        <v>506</v>
      </c>
    </row>
    <row r="463" spans="1:5">
      <c r="A463" t="s">
        <v>507</v>
      </c>
      <c r="B463" s="2">
        <v>-37452</v>
      </c>
      <c r="C463" s="2">
        <v>-45347</v>
      </c>
      <c r="D463" s="2">
        <v>-37546</v>
      </c>
      <c r="E463" s="2">
        <v>-38179</v>
      </c>
    </row>
    <row r="464" spans="1:5">
      <c r="A464" t="s">
        <v>508</v>
      </c>
      <c r="B464" s="2">
        <v>51505</v>
      </c>
      <c r="C464" s="2">
        <v>118940</v>
      </c>
      <c r="D464" s="2">
        <v>184375</v>
      </c>
      <c r="E464" s="2">
        <v>211728</v>
      </c>
    </row>
    <row r="465" spans="1:5">
      <c r="A465" t="s">
        <v>509</v>
      </c>
      <c r="B465" s="2">
        <v>46351</v>
      </c>
      <c r="C465" s="2">
        <v>105954</v>
      </c>
      <c r="D465" s="2">
        <v>171774</v>
      </c>
      <c r="E465" s="2">
        <v>191466</v>
      </c>
    </row>
    <row r="466" spans="1:5">
      <c r="A466" t="s">
        <v>510</v>
      </c>
      <c r="C466" s="2"/>
      <c r="D466" s="2"/>
      <c r="E466" s="2"/>
    </row>
    <row r="467" spans="1:5">
      <c r="A467" t="s">
        <v>511</v>
      </c>
      <c r="B467" s="2">
        <v>2521</v>
      </c>
      <c r="C467" s="2">
        <v>3082</v>
      </c>
      <c r="D467" s="2">
        <v>2801</v>
      </c>
      <c r="E467" s="2">
        <v>10069</v>
      </c>
    </row>
    <row r="468" spans="1:5">
      <c r="A468" t="s">
        <v>512</v>
      </c>
    </row>
    <row r="469" spans="1:5">
      <c r="A469" t="s">
        <v>513</v>
      </c>
      <c r="B469">
        <v>767</v>
      </c>
      <c r="C469" s="2">
        <v>3089</v>
      </c>
      <c r="D469" s="2">
        <v>5571</v>
      </c>
      <c r="E469" s="2">
        <v>6670</v>
      </c>
    </row>
    <row r="470" spans="1:5">
      <c r="A470" t="s">
        <v>514</v>
      </c>
    </row>
    <row r="471" spans="1:5">
      <c r="A471" t="s">
        <v>515</v>
      </c>
    </row>
    <row r="472" spans="1:5">
      <c r="A472" t="s">
        <v>516</v>
      </c>
      <c r="B472" s="2">
        <v>214</v>
      </c>
      <c r="C472" s="2">
        <v>118</v>
      </c>
      <c r="D472" s="2">
        <v>79</v>
      </c>
      <c r="E472">
        <v>749</v>
      </c>
    </row>
    <row r="473" spans="1:5">
      <c r="A473" t="s">
        <v>517</v>
      </c>
      <c r="B473" s="2">
        <v>628</v>
      </c>
      <c r="C473" s="2">
        <v>590</v>
      </c>
      <c r="D473" s="2">
        <v>443</v>
      </c>
      <c r="E473">
        <v>392</v>
      </c>
    </row>
    <row r="474" spans="1:5">
      <c r="A474" t="s">
        <v>518</v>
      </c>
      <c r="B474">
        <v>90</v>
      </c>
      <c r="C474">
        <v>128</v>
      </c>
      <c r="D474">
        <v>87</v>
      </c>
      <c r="E474">
        <v>285</v>
      </c>
    </row>
    <row r="475" spans="1:5">
      <c r="A475" t="s">
        <v>519</v>
      </c>
    </row>
    <row r="476" spans="1:5">
      <c r="A476" t="s">
        <v>520</v>
      </c>
      <c r="B476">
        <v>432</v>
      </c>
      <c r="C476">
        <v>11</v>
      </c>
      <c r="D476">
        <v>116</v>
      </c>
      <c r="E476">
        <v>58</v>
      </c>
    </row>
    <row r="477" spans="1:5">
      <c r="A477" t="s">
        <v>521</v>
      </c>
      <c r="B477" s="2">
        <v>502</v>
      </c>
      <c r="C477" s="2">
        <v>5967</v>
      </c>
      <c r="D477" s="2">
        <v>3504</v>
      </c>
      <c r="E477" s="2">
        <v>2040</v>
      </c>
    </row>
    <row r="478" spans="1:5">
      <c r="A478" t="s">
        <v>522</v>
      </c>
      <c r="B478" s="2">
        <v>88957</v>
      </c>
      <c r="C478" s="2">
        <v>164286</v>
      </c>
      <c r="D478" s="2">
        <v>221921</v>
      </c>
      <c r="E478" s="2">
        <v>249907</v>
      </c>
    </row>
    <row r="479" spans="1:5">
      <c r="A479" t="s">
        <v>523</v>
      </c>
      <c r="B479" s="2">
        <v>30966</v>
      </c>
      <c r="C479" s="2">
        <v>130380</v>
      </c>
      <c r="D479" s="2">
        <v>185788</v>
      </c>
      <c r="E479" s="2">
        <v>208435</v>
      </c>
    </row>
    <row r="480" spans="1:5">
      <c r="A480" t="s">
        <v>524</v>
      </c>
      <c r="B480" s="2"/>
      <c r="C480" s="2"/>
      <c r="D480" s="2"/>
    </row>
    <row r="481" spans="1:5">
      <c r="A481" t="s">
        <v>525</v>
      </c>
      <c r="B481" s="2">
        <v>756</v>
      </c>
      <c r="C481" s="2">
        <v>878</v>
      </c>
      <c r="D481" s="2">
        <v>3282</v>
      </c>
      <c r="E481">
        <v>663</v>
      </c>
    </row>
    <row r="482" spans="1:5">
      <c r="A482" t="s">
        <v>526</v>
      </c>
      <c r="E482" s="2"/>
    </row>
    <row r="483" spans="1:5">
      <c r="A483" t="s">
        <v>527</v>
      </c>
      <c r="B483" s="2">
        <v>3617</v>
      </c>
      <c r="C483" s="2">
        <v>2957</v>
      </c>
      <c r="D483" s="2">
        <v>6033</v>
      </c>
      <c r="E483" s="2">
        <v>10559</v>
      </c>
    </row>
    <row r="484" spans="1:5">
      <c r="A484" t="s">
        <v>514</v>
      </c>
    </row>
    <row r="485" spans="1:5">
      <c r="A485" t="s">
        <v>528</v>
      </c>
    </row>
    <row r="486" spans="1:5">
      <c r="A486" t="s">
        <v>529</v>
      </c>
      <c r="B486" s="2">
        <v>7030</v>
      </c>
      <c r="C486" s="2">
        <v>772</v>
      </c>
      <c r="D486" s="2">
        <v>1738</v>
      </c>
      <c r="E486" s="2">
        <v>603</v>
      </c>
    </row>
    <row r="487" spans="1:5">
      <c r="A487" t="s">
        <v>530</v>
      </c>
      <c r="B487" s="2">
        <v>35055</v>
      </c>
      <c r="C487" s="2">
        <v>25602</v>
      </c>
      <c r="D487" s="2">
        <v>23241</v>
      </c>
      <c r="E487" s="2">
        <v>22876</v>
      </c>
    </row>
    <row r="488" spans="1:5">
      <c r="A488" t="s">
        <v>531</v>
      </c>
      <c r="B488" s="2">
        <v>3438</v>
      </c>
      <c r="C488" s="2">
        <v>2891</v>
      </c>
      <c r="D488" s="2">
        <v>1382</v>
      </c>
      <c r="E488" s="2">
        <v>3434</v>
      </c>
    </row>
    <row r="489" spans="1:5">
      <c r="A489" t="s">
        <v>532</v>
      </c>
    </row>
    <row r="490" spans="1:5">
      <c r="A490" t="s">
        <v>533</v>
      </c>
      <c r="B490" s="2">
        <v>4066</v>
      </c>
      <c r="C490">
        <v>615</v>
      </c>
      <c r="D490">
        <v>457</v>
      </c>
      <c r="E490">
        <v>692</v>
      </c>
    </row>
    <row r="491" spans="1:5">
      <c r="A491" t="s">
        <v>534</v>
      </c>
      <c r="B491" s="2">
        <v>4029</v>
      </c>
      <c r="C491" s="2">
        <v>191</v>
      </c>
      <c r="D491" s="2"/>
      <c r="E491" s="2">
        <v>2646</v>
      </c>
    </row>
    <row r="492" spans="1:5">
      <c r="A492" t="s">
        <v>535</v>
      </c>
    </row>
    <row r="493" spans="1:5">
      <c r="A493" t="s">
        <v>500</v>
      </c>
    </row>
    <row r="494" spans="1:5">
      <c r="A494" t="s">
        <v>501</v>
      </c>
    </row>
    <row r="495" spans="1:5">
      <c r="A495" t="s">
        <v>502</v>
      </c>
    </row>
    <row r="496" spans="1:5">
      <c r="A496" t="s">
        <v>503</v>
      </c>
    </row>
    <row r="497" spans="1:5">
      <c r="A497" t="s">
        <v>504</v>
      </c>
    </row>
    <row r="498" spans="1:5">
      <c r="A498" t="s">
        <v>505</v>
      </c>
    </row>
    <row r="499" spans="1:5">
      <c r="A499" t="s">
        <v>506</v>
      </c>
    </row>
    <row r="500" spans="1:5">
      <c r="A500" t="s">
        <v>536</v>
      </c>
      <c r="B500" s="2">
        <v>1351</v>
      </c>
      <c r="C500" s="2">
        <v>-22416</v>
      </c>
      <c r="D500" s="2">
        <v>-39510</v>
      </c>
      <c r="E500" s="2">
        <v>-15655</v>
      </c>
    </row>
    <row r="501" spans="1:5">
      <c r="A501" t="s">
        <v>537</v>
      </c>
      <c r="B501" s="2">
        <v>36840</v>
      </c>
      <c r="C501" s="2">
        <v>30391</v>
      </c>
      <c r="D501" s="2">
        <v>20134</v>
      </c>
      <c r="E501" s="2">
        <v>25503</v>
      </c>
    </row>
    <row r="502" spans="1:5">
      <c r="A502" t="s">
        <v>538</v>
      </c>
      <c r="B502" s="2">
        <v>25225</v>
      </c>
      <c r="C502" s="2">
        <v>17791</v>
      </c>
      <c r="D502" s="2">
        <v>19887</v>
      </c>
      <c r="E502" s="2">
        <v>17260</v>
      </c>
    </row>
    <row r="503" spans="1:5">
      <c r="A503" t="s">
        <v>539</v>
      </c>
      <c r="B503" s="2">
        <v>10379</v>
      </c>
      <c r="C503" s="2"/>
      <c r="D503" s="2"/>
      <c r="E503" s="2">
        <v>5581</v>
      </c>
    </row>
    <row r="504" spans="1:5">
      <c r="A504" t="s">
        <v>540</v>
      </c>
    </row>
    <row r="505" spans="1:5">
      <c r="A505" t="s">
        <v>541</v>
      </c>
    </row>
    <row r="506" spans="1:5">
      <c r="A506" t="s">
        <v>542</v>
      </c>
    </row>
    <row r="507" spans="1:5">
      <c r="A507" t="s">
        <v>543</v>
      </c>
    </row>
    <row r="508" spans="1:5">
      <c r="A508" t="s">
        <v>544</v>
      </c>
      <c r="E508" s="2"/>
    </row>
    <row r="509" spans="1:5">
      <c r="A509" t="s">
        <v>545</v>
      </c>
      <c r="B509" s="2"/>
    </row>
    <row r="510" spans="1:5">
      <c r="A510" t="s">
        <v>546</v>
      </c>
    </row>
    <row r="511" spans="1:5">
      <c r="A511" t="s">
        <v>547</v>
      </c>
      <c r="B511">
        <v>541</v>
      </c>
      <c r="C511" s="2">
        <v>12601</v>
      </c>
      <c r="D511">
        <v>247</v>
      </c>
      <c r="E511" s="2">
        <v>2662</v>
      </c>
    </row>
    <row r="512" spans="1:5">
      <c r="A512" t="s">
        <v>548</v>
      </c>
      <c r="B512">
        <v>695</v>
      </c>
    </row>
    <row r="513" spans="1:5">
      <c r="A513" t="s">
        <v>549</v>
      </c>
      <c r="B513" s="2">
        <v>28021</v>
      </c>
      <c r="C513" s="2">
        <v>43905</v>
      </c>
      <c r="D513" s="2">
        <v>51873</v>
      </c>
      <c r="E513" s="2">
        <v>31846</v>
      </c>
    </row>
    <row r="514" spans="1:5">
      <c r="A514" t="s">
        <v>550</v>
      </c>
      <c r="B514" s="2">
        <v>28021</v>
      </c>
      <c r="C514" s="2">
        <v>35100</v>
      </c>
      <c r="D514" s="2">
        <v>42749</v>
      </c>
      <c r="E514" s="2">
        <v>31360</v>
      </c>
    </row>
    <row r="515" spans="1:5">
      <c r="A515" t="s">
        <v>551</v>
      </c>
      <c r="B515" s="2"/>
      <c r="C515" s="2">
        <v>8462</v>
      </c>
      <c r="D515" s="2">
        <v>8859</v>
      </c>
      <c r="E515" s="2"/>
    </row>
    <row r="516" spans="1:5">
      <c r="A516" t="s">
        <v>552</v>
      </c>
    </row>
    <row r="517" spans="1:5">
      <c r="A517" t="s">
        <v>553</v>
      </c>
      <c r="B517" s="2"/>
      <c r="C517" s="2"/>
      <c r="D517" s="2"/>
      <c r="E517" s="2"/>
    </row>
    <row r="518" spans="1:5">
      <c r="A518" t="s">
        <v>554</v>
      </c>
    </row>
    <row r="519" spans="1:5">
      <c r="A519" t="s">
        <v>555</v>
      </c>
    </row>
    <row r="520" spans="1:5">
      <c r="A520" t="s">
        <v>556</v>
      </c>
    </row>
    <row r="521" spans="1:5">
      <c r="A521" t="s">
        <v>557</v>
      </c>
      <c r="B521" s="2"/>
      <c r="C521" s="2"/>
      <c r="D521" s="2"/>
      <c r="E521" s="2"/>
    </row>
    <row r="522" spans="1:5">
      <c r="A522" t="s">
        <v>558</v>
      </c>
    </row>
    <row r="523" spans="1:5">
      <c r="A523" t="s">
        <v>559</v>
      </c>
      <c r="C523">
        <v>343</v>
      </c>
      <c r="D523">
        <v>265</v>
      </c>
      <c r="E523">
        <v>486</v>
      </c>
    </row>
    <row r="524" spans="1:5">
      <c r="A524" t="s">
        <v>560</v>
      </c>
      <c r="B524" s="2">
        <v>-7467</v>
      </c>
      <c r="C524" s="2">
        <v>-8903</v>
      </c>
      <c r="D524" s="2">
        <v>-7771</v>
      </c>
      <c r="E524" s="2">
        <v>-9312</v>
      </c>
    </row>
    <row r="525" spans="1:5">
      <c r="A525" t="s">
        <v>500</v>
      </c>
    </row>
    <row r="526" spans="1:5">
      <c r="A526" t="s">
        <v>501</v>
      </c>
      <c r="B526">
        <v>-697</v>
      </c>
      <c r="C526">
        <v>-677</v>
      </c>
      <c r="D526">
        <v>-681</v>
      </c>
      <c r="E526">
        <v>-678</v>
      </c>
    </row>
    <row r="527" spans="1:5">
      <c r="A527" t="s">
        <v>502</v>
      </c>
    </row>
    <row r="528" spans="1:5">
      <c r="A528" t="s">
        <v>503</v>
      </c>
      <c r="B528" s="2">
        <v>-6770</v>
      </c>
      <c r="C528" s="2">
        <v>-8226</v>
      </c>
      <c r="D528" s="2">
        <v>-7090</v>
      </c>
      <c r="E528" s="2">
        <v>-8634</v>
      </c>
    </row>
    <row r="529" spans="1:5">
      <c r="A529" t="s">
        <v>504</v>
      </c>
    </row>
    <row r="530" spans="1:5">
      <c r="A530" t="s">
        <v>505</v>
      </c>
    </row>
    <row r="531" spans="1:5">
      <c r="A531" t="s">
        <v>506</v>
      </c>
    </row>
    <row r="532" spans="1:5">
      <c r="A532" t="s">
        <v>561</v>
      </c>
    </row>
    <row r="533" spans="1:5">
      <c r="A533" t="s">
        <v>562</v>
      </c>
    </row>
    <row r="534" spans="1:5">
      <c r="A534" t="s">
        <v>563</v>
      </c>
      <c r="B534" s="2">
        <v>115</v>
      </c>
      <c r="C534" s="2">
        <v>235</v>
      </c>
      <c r="D534" s="2">
        <v>126</v>
      </c>
      <c r="E534" s="2">
        <v>-590</v>
      </c>
    </row>
    <row r="535" spans="1:5">
      <c r="A535" t="s">
        <v>564</v>
      </c>
      <c r="B535" s="2">
        <v>-1864</v>
      </c>
      <c r="C535" s="2">
        <v>8490</v>
      </c>
      <c r="D535" s="2">
        <v>-24236</v>
      </c>
      <c r="E535" s="2">
        <v>1649</v>
      </c>
    </row>
    <row r="536" spans="1:5">
      <c r="A536" t="s">
        <v>565</v>
      </c>
      <c r="B536" s="2">
        <v>42086</v>
      </c>
      <c r="C536" s="2">
        <v>40221</v>
      </c>
      <c r="D536" s="2">
        <v>48712</v>
      </c>
      <c r="E536" s="2">
        <v>24476</v>
      </c>
    </row>
    <row r="537" spans="1:5">
      <c r="A537" t="s">
        <v>566</v>
      </c>
      <c r="B537" s="2">
        <v>40221</v>
      </c>
      <c r="C537" s="2">
        <v>48712</v>
      </c>
      <c r="D537" s="2">
        <v>24476</v>
      </c>
      <c r="E537" s="2">
        <v>26125</v>
      </c>
    </row>
    <row r="538" spans="1:5">
      <c r="A538" t="s">
        <v>430</v>
      </c>
    </row>
    <row r="539" spans="1:5">
      <c r="A539" t="s">
        <v>141</v>
      </c>
      <c r="B539" s="5">
        <v>42795</v>
      </c>
      <c r="C539" s="5">
        <v>42887</v>
      </c>
      <c r="D539" s="5">
        <v>42979</v>
      </c>
      <c r="E539" s="5">
        <v>43070</v>
      </c>
    </row>
    <row r="540" spans="1:5">
      <c r="A540" t="s">
        <v>433</v>
      </c>
      <c r="B540" s="2">
        <v>8303</v>
      </c>
      <c r="C540" s="2">
        <v>8316</v>
      </c>
      <c r="D540" s="2">
        <v>13929</v>
      </c>
      <c r="E540" s="2">
        <v>25525</v>
      </c>
    </row>
    <row r="541" spans="1:5">
      <c r="A541" t="s">
        <v>434</v>
      </c>
      <c r="B541" s="2">
        <v>9769</v>
      </c>
      <c r="C541" s="2">
        <v>5301</v>
      </c>
      <c r="D541" s="2">
        <v>9066</v>
      </c>
      <c r="E541" s="2">
        <v>5599</v>
      </c>
    </row>
    <row r="542" spans="1:5">
      <c r="A542" t="s">
        <v>435</v>
      </c>
    </row>
    <row r="543" spans="1:5">
      <c r="A543" t="s">
        <v>436</v>
      </c>
      <c r="B543" s="2">
        <v>13932</v>
      </c>
      <c r="C543" s="2">
        <v>20752</v>
      </c>
      <c r="D543" s="2">
        <v>15210</v>
      </c>
      <c r="E543" s="2">
        <v>21768</v>
      </c>
    </row>
    <row r="544" spans="1:5">
      <c r="A544" t="s">
        <v>437</v>
      </c>
      <c r="B544" s="2"/>
      <c r="C544" s="2">
        <v>961</v>
      </c>
      <c r="D544" s="2">
        <v>526</v>
      </c>
      <c r="E544" s="2">
        <v>512</v>
      </c>
    </row>
    <row r="545" spans="1:5">
      <c r="A545" t="s">
        <v>438</v>
      </c>
    </row>
    <row r="546" spans="1:5">
      <c r="A546" t="s">
        <v>439</v>
      </c>
    </row>
    <row r="547" spans="1:5">
      <c r="A547" t="s">
        <v>440</v>
      </c>
      <c r="B547" s="2"/>
      <c r="C547" s="2">
        <v>909</v>
      </c>
      <c r="D547" s="2">
        <v>48</v>
      </c>
      <c r="E547" s="2">
        <v>1762</v>
      </c>
    </row>
    <row r="548" spans="1:5">
      <c r="A548" t="s">
        <v>441</v>
      </c>
      <c r="B548" s="2"/>
      <c r="C548" s="2">
        <v>14405</v>
      </c>
      <c r="D548" s="2">
        <v>7281</v>
      </c>
      <c r="E548" s="2">
        <v>7191</v>
      </c>
    </row>
    <row r="549" spans="1:5">
      <c r="A549" t="s">
        <v>442</v>
      </c>
      <c r="B549" s="2"/>
      <c r="C549" s="2">
        <v>2021</v>
      </c>
      <c r="D549" s="2">
        <v>914</v>
      </c>
      <c r="E549" s="2">
        <v>1162</v>
      </c>
    </row>
    <row r="550" spans="1:5">
      <c r="A550" t="s">
        <v>443</v>
      </c>
      <c r="C550">
        <v>758</v>
      </c>
      <c r="D550">
        <v>368</v>
      </c>
      <c r="E550" s="2">
        <v>1028</v>
      </c>
    </row>
    <row r="551" spans="1:5">
      <c r="A551" t="s">
        <v>444</v>
      </c>
      <c r="B551" s="2"/>
      <c r="C551" s="2"/>
    </row>
    <row r="552" spans="1:5">
      <c r="A552" t="s">
        <v>445</v>
      </c>
    </row>
    <row r="553" spans="1:5">
      <c r="A553" t="s">
        <v>446</v>
      </c>
      <c r="B553" s="2"/>
      <c r="C553" s="2">
        <v>7301</v>
      </c>
      <c r="D553" s="2">
        <v>2637</v>
      </c>
      <c r="E553" s="2">
        <v>4465</v>
      </c>
    </row>
    <row r="554" spans="1:5">
      <c r="A554" t="s">
        <v>447</v>
      </c>
    </row>
    <row r="555" spans="1:5">
      <c r="A555" t="s">
        <v>448</v>
      </c>
    </row>
    <row r="556" spans="1:5">
      <c r="A556" t="s">
        <v>449</v>
      </c>
    </row>
    <row r="557" spans="1:5">
      <c r="A557" t="s">
        <v>450</v>
      </c>
    </row>
    <row r="558" spans="1:5">
      <c r="A558" t="s">
        <v>451</v>
      </c>
    </row>
    <row r="559" spans="1:5">
      <c r="A559" t="s">
        <v>452</v>
      </c>
    </row>
    <row r="560" spans="1:5">
      <c r="A560" t="s">
        <v>453</v>
      </c>
    </row>
    <row r="561" spans="1:5">
      <c r="A561" t="s">
        <v>454</v>
      </c>
    </row>
    <row r="562" spans="1:5">
      <c r="A562" t="s">
        <v>455</v>
      </c>
    </row>
    <row r="563" spans="1:5">
      <c r="A563" t="s">
        <v>456</v>
      </c>
    </row>
    <row r="564" spans="1:5">
      <c r="A564" t="s">
        <v>457</v>
      </c>
    </row>
    <row r="565" spans="1:5">
      <c r="A565" t="s">
        <v>458</v>
      </c>
      <c r="C565">
        <v>781</v>
      </c>
      <c r="D565">
        <v>374</v>
      </c>
      <c r="E565">
        <v>358</v>
      </c>
    </row>
    <row r="566" spans="1:5">
      <c r="A566" t="s">
        <v>459</v>
      </c>
    </row>
    <row r="567" spans="1:5">
      <c r="A567" t="s">
        <v>460</v>
      </c>
    </row>
    <row r="568" spans="1:5">
      <c r="A568" t="s">
        <v>461</v>
      </c>
      <c r="B568" s="2"/>
      <c r="C568" s="2">
        <v>1428</v>
      </c>
      <c r="D568" s="2">
        <v>-191</v>
      </c>
      <c r="E568" s="2">
        <v>2401</v>
      </c>
    </row>
    <row r="569" spans="1:5">
      <c r="A569" t="s">
        <v>462</v>
      </c>
    </row>
    <row r="570" spans="1:5">
      <c r="A570" t="s">
        <v>463</v>
      </c>
      <c r="C570">
        <v>203</v>
      </c>
      <c r="D570">
        <v>-203</v>
      </c>
    </row>
    <row r="571" spans="1:5">
      <c r="A571" t="s">
        <v>464</v>
      </c>
      <c r="D571">
        <v>210</v>
      </c>
      <c r="E571">
        <v>-10</v>
      </c>
    </row>
    <row r="572" spans="1:5">
      <c r="A572" t="s">
        <v>465</v>
      </c>
      <c r="B572" s="2"/>
      <c r="C572" s="2">
        <v>5917</v>
      </c>
      <c r="D572" s="2">
        <v>3247</v>
      </c>
      <c r="E572" s="2">
        <v>2899</v>
      </c>
    </row>
    <row r="573" spans="1:5">
      <c r="A573" t="s">
        <v>466</v>
      </c>
      <c r="B573" s="2">
        <v>13932</v>
      </c>
      <c r="C573" s="2">
        <v>-13932</v>
      </c>
      <c r="E573" s="2"/>
    </row>
    <row r="574" spans="1:5">
      <c r="A574" t="s">
        <v>467</v>
      </c>
      <c r="B574" s="2"/>
      <c r="C574" s="2">
        <v>6908</v>
      </c>
      <c r="D574" s="2">
        <v>4601</v>
      </c>
      <c r="E574" s="2">
        <v>3835</v>
      </c>
    </row>
    <row r="575" spans="1:5">
      <c r="A575" t="s">
        <v>468</v>
      </c>
      <c r="B575" s="2"/>
      <c r="C575" s="2"/>
    </row>
    <row r="576" spans="1:5">
      <c r="A576" t="s">
        <v>469</v>
      </c>
    </row>
    <row r="577" spans="1:5">
      <c r="A577" t="s">
        <v>470</v>
      </c>
      <c r="B577" s="2"/>
      <c r="C577" s="2">
        <v>6059</v>
      </c>
      <c r="D577" s="2">
        <v>3839</v>
      </c>
      <c r="E577" s="2">
        <v>3866</v>
      </c>
    </row>
    <row r="578" spans="1:5">
      <c r="A578" t="s">
        <v>471</v>
      </c>
    </row>
    <row r="579" spans="1:5">
      <c r="A579" t="s">
        <v>472</v>
      </c>
    </row>
    <row r="580" spans="1:5">
      <c r="A580" t="s">
        <v>473</v>
      </c>
    </row>
    <row r="581" spans="1:5">
      <c r="A581" t="s">
        <v>474</v>
      </c>
    </row>
    <row r="582" spans="1:5">
      <c r="A582" t="s">
        <v>475</v>
      </c>
    </row>
    <row r="583" spans="1:5">
      <c r="A583" t="s">
        <v>476</v>
      </c>
    </row>
    <row r="584" spans="1:5">
      <c r="A584" t="s">
        <v>477</v>
      </c>
    </row>
    <row r="585" spans="1:5">
      <c r="A585" t="s">
        <v>478</v>
      </c>
    </row>
    <row r="586" spans="1:5">
      <c r="A586" t="s">
        <v>479</v>
      </c>
    </row>
    <row r="587" spans="1:5">
      <c r="A587" t="s">
        <v>480</v>
      </c>
    </row>
    <row r="588" spans="1:5">
      <c r="A588" t="s">
        <v>481</v>
      </c>
    </row>
    <row r="589" spans="1:5">
      <c r="A589" t="s">
        <v>482</v>
      </c>
    </row>
    <row r="590" spans="1:5">
      <c r="A590" t="s">
        <v>483</v>
      </c>
    </row>
    <row r="591" spans="1:5">
      <c r="A591" t="s">
        <v>484</v>
      </c>
    </row>
    <row r="592" spans="1:5">
      <c r="A592" t="s">
        <v>485</v>
      </c>
      <c r="C592" s="2">
        <v>198</v>
      </c>
      <c r="D592" s="2">
        <v>76</v>
      </c>
      <c r="E592">
        <v>59</v>
      </c>
    </row>
    <row r="593" spans="1:5">
      <c r="A593" t="s">
        <v>486</v>
      </c>
    </row>
    <row r="594" spans="1:5">
      <c r="A594" t="s">
        <v>487</v>
      </c>
    </row>
    <row r="595" spans="1:5">
      <c r="A595" t="s">
        <v>488</v>
      </c>
    </row>
    <row r="596" spans="1:5">
      <c r="A596" t="s">
        <v>489</v>
      </c>
      <c r="B596" s="2"/>
      <c r="C596" s="2">
        <v>74</v>
      </c>
      <c r="D596" s="2">
        <v>542</v>
      </c>
      <c r="E596" s="2">
        <v>-510</v>
      </c>
    </row>
    <row r="597" spans="1:5">
      <c r="A597" t="s">
        <v>490</v>
      </c>
    </row>
    <row r="598" spans="1:5">
      <c r="A598" t="s">
        <v>464</v>
      </c>
      <c r="C598">
        <v>550</v>
      </c>
      <c r="D598" s="2">
        <v>6</v>
      </c>
      <c r="E598">
        <v>262</v>
      </c>
    </row>
    <row r="599" spans="1:5">
      <c r="A599" t="s">
        <v>491</v>
      </c>
    </row>
    <row r="600" spans="1:5">
      <c r="A600" t="s">
        <v>492</v>
      </c>
      <c r="B600" s="2"/>
      <c r="C600">
        <v>28</v>
      </c>
      <c r="D600">
        <v>138</v>
      </c>
      <c r="E600" s="2">
        <v>159</v>
      </c>
    </row>
    <row r="601" spans="1:5">
      <c r="A601" t="s">
        <v>493</v>
      </c>
      <c r="B601" s="2">
        <v>-13061</v>
      </c>
      <c r="C601" s="2">
        <v>-7178</v>
      </c>
      <c r="D601" s="2">
        <v>-3278</v>
      </c>
      <c r="E601" s="2">
        <v>4255</v>
      </c>
    </row>
    <row r="602" spans="1:5">
      <c r="A602" t="s">
        <v>494</v>
      </c>
      <c r="B602" s="2">
        <v>-9147</v>
      </c>
      <c r="C602" s="2">
        <v>8</v>
      </c>
      <c r="D602" s="2">
        <v>-739</v>
      </c>
      <c r="E602" s="2">
        <v>2182</v>
      </c>
    </row>
    <row r="603" spans="1:5">
      <c r="A603" t="s">
        <v>495</v>
      </c>
      <c r="B603" s="2">
        <v>-3915</v>
      </c>
      <c r="C603" s="2">
        <v>-7186</v>
      </c>
      <c r="D603" s="2">
        <v>-2539</v>
      </c>
      <c r="E603" s="2">
        <v>2073</v>
      </c>
    </row>
    <row r="604" spans="1:5">
      <c r="A604" t="s">
        <v>496</v>
      </c>
    </row>
    <row r="605" spans="1:5">
      <c r="A605" t="s">
        <v>497</v>
      </c>
      <c r="B605" s="2"/>
      <c r="C605" s="2"/>
      <c r="D605" s="2"/>
      <c r="E605" s="2"/>
    </row>
    <row r="606" spans="1:5">
      <c r="A606" t="s">
        <v>498</v>
      </c>
      <c r="B606" s="2">
        <v>10640</v>
      </c>
      <c r="C606" s="2">
        <v>11966</v>
      </c>
      <c r="D606" s="2">
        <v>16397</v>
      </c>
      <c r="E606" s="2">
        <v>27787</v>
      </c>
    </row>
    <row r="607" spans="1:5">
      <c r="A607" t="s">
        <v>499</v>
      </c>
      <c r="B607" s="2">
        <v>-2337</v>
      </c>
      <c r="C607" s="2">
        <v>-3650</v>
      </c>
      <c r="D607" s="2">
        <v>-2468</v>
      </c>
      <c r="E607" s="2">
        <v>-2261</v>
      </c>
    </row>
    <row r="608" spans="1:5">
      <c r="A608" t="s">
        <v>500</v>
      </c>
      <c r="B608" s="2">
        <v>376</v>
      </c>
      <c r="C608" s="2">
        <v>416</v>
      </c>
      <c r="D608" s="2">
        <v>368</v>
      </c>
      <c r="E608" s="2">
        <v>1289</v>
      </c>
    </row>
    <row r="609" spans="1:5">
      <c r="A609" t="s">
        <v>501</v>
      </c>
      <c r="B609" s="2">
        <v>-1337</v>
      </c>
      <c r="C609" s="2">
        <v>-2201</v>
      </c>
      <c r="D609" s="2">
        <v>-1179</v>
      </c>
      <c r="E609" s="2">
        <v>-2640</v>
      </c>
    </row>
    <row r="610" spans="1:5">
      <c r="A610" t="s">
        <v>502</v>
      </c>
      <c r="B610" s="2">
        <v>530</v>
      </c>
      <c r="C610">
        <v>879</v>
      </c>
      <c r="D610">
        <v>54</v>
      </c>
      <c r="E610">
        <v>793</v>
      </c>
    </row>
    <row r="611" spans="1:5">
      <c r="A611" t="s">
        <v>503</v>
      </c>
    </row>
    <row r="612" spans="1:5">
      <c r="A612" t="s">
        <v>504</v>
      </c>
    </row>
    <row r="613" spans="1:5">
      <c r="A613" t="s">
        <v>505</v>
      </c>
      <c r="B613" s="2">
        <v>-1906</v>
      </c>
      <c r="C613" s="2">
        <v>-2744</v>
      </c>
      <c r="D613" s="2">
        <v>-1711</v>
      </c>
      <c r="E613" s="2">
        <v>-1703</v>
      </c>
    </row>
    <row r="614" spans="1:5">
      <c r="A614" t="s">
        <v>506</v>
      </c>
    </row>
    <row r="615" spans="1:5">
      <c r="A615" t="s">
        <v>507</v>
      </c>
      <c r="B615" s="2">
        <v>-1641</v>
      </c>
      <c r="C615" s="2">
        <v>-6325</v>
      </c>
      <c r="D615" s="2">
        <v>-11460</v>
      </c>
      <c r="E615" s="2">
        <v>-18752</v>
      </c>
    </row>
    <row r="616" spans="1:5">
      <c r="A616" t="s">
        <v>508</v>
      </c>
      <c r="B616" s="2">
        <v>48853</v>
      </c>
      <c r="C616" s="2">
        <v>56391</v>
      </c>
      <c r="D616" s="2">
        <v>57106</v>
      </c>
      <c r="E616" s="2">
        <v>49378</v>
      </c>
    </row>
    <row r="617" spans="1:5">
      <c r="A617" t="s">
        <v>509</v>
      </c>
      <c r="B617" s="2">
        <v>44154</v>
      </c>
      <c r="C617" s="2">
        <v>51941</v>
      </c>
      <c r="D617" s="2">
        <v>52468</v>
      </c>
      <c r="E617" s="2">
        <v>42903</v>
      </c>
    </row>
    <row r="618" spans="1:5">
      <c r="A618" t="s">
        <v>510</v>
      </c>
      <c r="C618" s="2"/>
      <c r="D618" s="2"/>
      <c r="E618" s="2"/>
    </row>
    <row r="619" spans="1:5">
      <c r="A619" t="s">
        <v>511</v>
      </c>
      <c r="B619">
        <v>138</v>
      </c>
      <c r="C619" s="2">
        <v>2129</v>
      </c>
      <c r="D619" s="2">
        <v>5476</v>
      </c>
      <c r="E619" s="2">
        <v>2325</v>
      </c>
    </row>
    <row r="620" spans="1:5">
      <c r="A620" t="s">
        <v>512</v>
      </c>
    </row>
    <row r="621" spans="1:5">
      <c r="A621" t="s">
        <v>513</v>
      </c>
      <c r="B621" s="2">
        <v>2035</v>
      </c>
      <c r="C621" s="2">
        <v>1991</v>
      </c>
      <c r="D621" s="2">
        <v>-904</v>
      </c>
      <c r="E621" s="2">
        <v>3548</v>
      </c>
    </row>
    <row r="622" spans="1:5">
      <c r="A622" t="s">
        <v>514</v>
      </c>
    </row>
    <row r="623" spans="1:5">
      <c r="A623" t="s">
        <v>515</v>
      </c>
    </row>
    <row r="624" spans="1:5">
      <c r="A624" t="s">
        <v>516</v>
      </c>
      <c r="B624">
        <v>329</v>
      </c>
      <c r="C624">
        <v>4</v>
      </c>
      <c r="D624" s="2">
        <v>0</v>
      </c>
      <c r="E624">
        <v>415</v>
      </c>
    </row>
    <row r="625" spans="1:5">
      <c r="A625" t="s">
        <v>517</v>
      </c>
      <c r="B625">
        <v>90</v>
      </c>
      <c r="C625">
        <v>94</v>
      </c>
      <c r="D625" s="2">
        <v>93</v>
      </c>
      <c r="E625">
        <v>115</v>
      </c>
    </row>
    <row r="626" spans="1:5">
      <c r="A626" t="s">
        <v>518</v>
      </c>
      <c r="B626">
        <v>74</v>
      </c>
      <c r="C626">
        <v>226</v>
      </c>
      <c r="D626">
        <v>-38</v>
      </c>
      <c r="E626">
        <v>24</v>
      </c>
    </row>
    <row r="627" spans="1:5">
      <c r="A627" t="s">
        <v>519</v>
      </c>
    </row>
    <row r="628" spans="1:5">
      <c r="A628" t="s">
        <v>520</v>
      </c>
      <c r="D628">
        <v>10</v>
      </c>
      <c r="E628">
        <v>48</v>
      </c>
    </row>
    <row r="629" spans="1:5">
      <c r="A629" t="s">
        <v>521</v>
      </c>
      <c r="B629" s="2">
        <v>2032</v>
      </c>
      <c r="C629" s="2">
        <v>7</v>
      </c>
      <c r="D629" s="2">
        <v>0</v>
      </c>
      <c r="E629" s="2">
        <v>0</v>
      </c>
    </row>
    <row r="630" spans="1:5">
      <c r="A630" t="s">
        <v>522</v>
      </c>
      <c r="B630" s="2">
        <v>50494</v>
      </c>
      <c r="C630" s="2">
        <v>62716</v>
      </c>
      <c r="D630" s="2">
        <v>68566</v>
      </c>
      <c r="E630" s="2">
        <v>68131</v>
      </c>
    </row>
    <row r="631" spans="1:5">
      <c r="A631" t="s">
        <v>523</v>
      </c>
      <c r="B631" s="2">
        <v>44038</v>
      </c>
      <c r="C631" s="2">
        <v>55370</v>
      </c>
      <c r="D631" s="2">
        <v>53297</v>
      </c>
      <c r="E631" s="2">
        <v>55731</v>
      </c>
    </row>
    <row r="632" spans="1:5">
      <c r="A632" t="s">
        <v>524</v>
      </c>
      <c r="C632" s="2"/>
      <c r="D632" s="2"/>
    </row>
    <row r="633" spans="1:5">
      <c r="A633" t="s">
        <v>525</v>
      </c>
      <c r="B633">
        <v>126</v>
      </c>
      <c r="C633" s="2">
        <v>174</v>
      </c>
      <c r="D633" s="2">
        <v>179</v>
      </c>
      <c r="E633">
        <v>183</v>
      </c>
    </row>
    <row r="634" spans="1:5">
      <c r="A634" t="s">
        <v>526</v>
      </c>
      <c r="E634" s="2"/>
    </row>
    <row r="635" spans="1:5">
      <c r="A635" t="s">
        <v>527</v>
      </c>
      <c r="D635" s="2">
        <v>9196</v>
      </c>
      <c r="E635" s="2">
        <v>1363</v>
      </c>
    </row>
    <row r="636" spans="1:5">
      <c r="A636" t="s">
        <v>514</v>
      </c>
    </row>
    <row r="637" spans="1:5">
      <c r="A637" t="s">
        <v>528</v>
      </c>
    </row>
    <row r="638" spans="1:5">
      <c r="A638" t="s">
        <v>529</v>
      </c>
      <c r="B638">
        <v>71</v>
      </c>
      <c r="C638">
        <v>70</v>
      </c>
      <c r="D638" s="2">
        <v>105</v>
      </c>
      <c r="E638">
        <v>356</v>
      </c>
    </row>
    <row r="639" spans="1:5">
      <c r="A639" t="s">
        <v>530</v>
      </c>
      <c r="B639" s="2">
        <v>5433</v>
      </c>
      <c r="C639" s="2">
        <v>5350</v>
      </c>
      <c r="D639" s="2">
        <v>4835</v>
      </c>
      <c r="E639" s="2">
        <v>7258</v>
      </c>
    </row>
    <row r="640" spans="1:5">
      <c r="A640" t="s">
        <v>531</v>
      </c>
      <c r="B640" s="2">
        <v>698</v>
      </c>
      <c r="C640" s="2">
        <v>1472</v>
      </c>
      <c r="D640" s="2">
        <v>372</v>
      </c>
      <c r="E640" s="2">
        <v>892</v>
      </c>
    </row>
    <row r="641" spans="1:5">
      <c r="A641" t="s">
        <v>532</v>
      </c>
    </row>
    <row r="642" spans="1:5">
      <c r="A642" t="s">
        <v>533</v>
      </c>
      <c r="B642">
        <v>10</v>
      </c>
      <c r="C642">
        <v>44</v>
      </c>
      <c r="D642">
        <v>117</v>
      </c>
      <c r="E642">
        <v>521</v>
      </c>
    </row>
    <row r="643" spans="1:5">
      <c r="A643" t="s">
        <v>534</v>
      </c>
      <c r="B643" s="2">
        <v>117</v>
      </c>
      <c r="C643" s="2">
        <v>236</v>
      </c>
      <c r="D643" s="2">
        <v>464</v>
      </c>
      <c r="E643" s="2">
        <v>1828</v>
      </c>
    </row>
    <row r="644" spans="1:5">
      <c r="A644" t="s">
        <v>535</v>
      </c>
    </row>
    <row r="645" spans="1:5">
      <c r="A645" t="s">
        <v>500</v>
      </c>
    </row>
    <row r="646" spans="1:5">
      <c r="A646" t="s">
        <v>501</v>
      </c>
    </row>
    <row r="647" spans="1:5">
      <c r="A647" t="s">
        <v>502</v>
      </c>
    </row>
    <row r="648" spans="1:5">
      <c r="A648" t="s">
        <v>503</v>
      </c>
    </row>
    <row r="649" spans="1:5">
      <c r="A649" t="s">
        <v>504</v>
      </c>
    </row>
    <row r="650" spans="1:5">
      <c r="A650" t="s">
        <v>505</v>
      </c>
    </row>
    <row r="651" spans="1:5">
      <c r="A651" t="s">
        <v>506</v>
      </c>
    </row>
    <row r="652" spans="1:5">
      <c r="A652" t="s">
        <v>536</v>
      </c>
      <c r="B652" s="2">
        <v>-3338</v>
      </c>
      <c r="C652" s="2">
        <v>-646</v>
      </c>
      <c r="D652" s="2">
        <v>-2119</v>
      </c>
      <c r="E652" s="2">
        <v>-9552</v>
      </c>
    </row>
    <row r="653" spans="1:5">
      <c r="A653" t="s">
        <v>537</v>
      </c>
      <c r="B653" s="2">
        <v>7083</v>
      </c>
      <c r="C653" s="2">
        <v>10199</v>
      </c>
      <c r="D653" s="2">
        <v>5909</v>
      </c>
      <c r="E653" s="2">
        <v>2312</v>
      </c>
    </row>
    <row r="654" spans="1:5">
      <c r="A654" t="s">
        <v>538</v>
      </c>
      <c r="D654" s="2"/>
      <c r="E654" s="2">
        <v>17260</v>
      </c>
    </row>
    <row r="655" spans="1:5">
      <c r="A655" t="s">
        <v>539</v>
      </c>
      <c r="B655" s="2">
        <v>4584</v>
      </c>
      <c r="C655" s="2">
        <v>10199</v>
      </c>
      <c r="D655" s="2">
        <v>5865</v>
      </c>
      <c r="E655" s="2">
        <v>-15066</v>
      </c>
    </row>
    <row r="656" spans="1:5">
      <c r="A656" t="s">
        <v>540</v>
      </c>
    </row>
    <row r="657" spans="1:5">
      <c r="A657" t="s">
        <v>541</v>
      </c>
    </row>
    <row r="658" spans="1:5">
      <c r="A658" t="s">
        <v>542</v>
      </c>
    </row>
    <row r="659" spans="1:5">
      <c r="A659" t="s">
        <v>543</v>
      </c>
    </row>
    <row r="660" spans="1:5">
      <c r="A660" t="s">
        <v>544</v>
      </c>
      <c r="E660" s="2"/>
    </row>
    <row r="661" spans="1:5">
      <c r="A661" t="s">
        <v>545</v>
      </c>
    </row>
    <row r="662" spans="1:5">
      <c r="A662" t="s">
        <v>546</v>
      </c>
    </row>
    <row r="663" spans="1:5">
      <c r="A663" t="s">
        <v>547</v>
      </c>
      <c r="B663" s="2">
        <v>2499</v>
      </c>
      <c r="D663">
        <v>45</v>
      </c>
      <c r="E663" s="2">
        <v>118</v>
      </c>
    </row>
    <row r="664" spans="1:5">
      <c r="A664" t="s">
        <v>548</v>
      </c>
    </row>
    <row r="665" spans="1:5">
      <c r="A665" t="s">
        <v>549</v>
      </c>
      <c r="B665" s="2">
        <v>10203</v>
      </c>
      <c r="C665" s="2">
        <v>4516</v>
      </c>
      <c r="D665" s="2">
        <v>6640</v>
      </c>
      <c r="E665" s="2">
        <v>10487</v>
      </c>
    </row>
    <row r="666" spans="1:5">
      <c r="A666" t="s">
        <v>550</v>
      </c>
      <c r="D666" s="2"/>
      <c r="E666" s="2">
        <v>31360</v>
      </c>
    </row>
    <row r="667" spans="1:5">
      <c r="A667" t="s">
        <v>551</v>
      </c>
      <c r="B667" s="2">
        <v>10067</v>
      </c>
      <c r="C667" s="2">
        <v>4458</v>
      </c>
      <c r="D667" s="2">
        <v>6655</v>
      </c>
      <c r="E667" s="2">
        <v>-21181</v>
      </c>
    </row>
    <row r="668" spans="1:5">
      <c r="A668" t="s">
        <v>552</v>
      </c>
    </row>
    <row r="669" spans="1:5">
      <c r="A669" t="s">
        <v>553</v>
      </c>
      <c r="C669" s="2"/>
      <c r="D669" s="2"/>
    </row>
    <row r="670" spans="1:5">
      <c r="A670" t="s">
        <v>554</v>
      </c>
    </row>
    <row r="671" spans="1:5">
      <c r="A671" t="s">
        <v>555</v>
      </c>
    </row>
    <row r="672" spans="1:5">
      <c r="A672" t="s">
        <v>556</v>
      </c>
    </row>
    <row r="673" spans="1:5">
      <c r="A673" t="s">
        <v>557</v>
      </c>
      <c r="B673" s="2"/>
      <c r="C673" s="2"/>
      <c r="E673" s="2"/>
    </row>
    <row r="674" spans="1:5">
      <c r="A674" t="s">
        <v>558</v>
      </c>
    </row>
    <row r="675" spans="1:5">
      <c r="A675" t="s">
        <v>559</v>
      </c>
      <c r="B675">
        <v>136</v>
      </c>
      <c r="C675">
        <v>58</v>
      </c>
      <c r="D675">
        <v>-15</v>
      </c>
      <c r="E675">
        <v>308</v>
      </c>
    </row>
    <row r="676" spans="1:5">
      <c r="A676" t="s">
        <v>560</v>
      </c>
      <c r="B676" s="2">
        <v>-218</v>
      </c>
      <c r="C676" s="2">
        <v>-6329</v>
      </c>
      <c r="D676" s="2">
        <v>-1388</v>
      </c>
      <c r="E676" s="2">
        <v>-1377</v>
      </c>
    </row>
    <row r="677" spans="1:5">
      <c r="A677" t="s">
        <v>500</v>
      </c>
    </row>
    <row r="678" spans="1:5">
      <c r="A678" t="s">
        <v>501</v>
      </c>
      <c r="B678">
        <v>-168</v>
      </c>
      <c r="C678">
        <v>-170</v>
      </c>
      <c r="D678">
        <v>-171</v>
      </c>
      <c r="E678">
        <v>-170</v>
      </c>
    </row>
    <row r="679" spans="1:5">
      <c r="A679" t="s">
        <v>502</v>
      </c>
    </row>
    <row r="680" spans="1:5">
      <c r="A680" t="s">
        <v>503</v>
      </c>
      <c r="B680" s="2">
        <v>-51</v>
      </c>
      <c r="C680" s="2">
        <v>-6160</v>
      </c>
      <c r="D680" s="2">
        <v>-1217</v>
      </c>
      <c r="E680" s="2">
        <v>-1207</v>
      </c>
    </row>
    <row r="681" spans="1:5">
      <c r="A681" t="s">
        <v>504</v>
      </c>
    </row>
    <row r="682" spans="1:5">
      <c r="A682" t="s">
        <v>505</v>
      </c>
    </row>
    <row r="683" spans="1:5">
      <c r="A683" t="s">
        <v>506</v>
      </c>
    </row>
    <row r="684" spans="1:5">
      <c r="A684" t="s">
        <v>561</v>
      </c>
    </row>
    <row r="685" spans="1:5">
      <c r="A685" t="s">
        <v>562</v>
      </c>
    </row>
    <row r="686" spans="1:5">
      <c r="A686" t="s">
        <v>563</v>
      </c>
      <c r="B686">
        <v>-523</v>
      </c>
      <c r="C686" s="2">
        <v>348</v>
      </c>
      <c r="D686" s="2">
        <v>234</v>
      </c>
      <c r="E686" s="2">
        <v>-650</v>
      </c>
    </row>
    <row r="687" spans="1:5">
      <c r="A687" t="s">
        <v>564</v>
      </c>
      <c r="B687" s="2">
        <v>2801</v>
      </c>
      <c r="C687" s="2">
        <v>1693</v>
      </c>
      <c r="D687" s="2">
        <v>585</v>
      </c>
      <c r="E687" s="2">
        <v>-3429</v>
      </c>
    </row>
    <row r="688" spans="1:5">
      <c r="A688" t="s">
        <v>565</v>
      </c>
      <c r="B688" s="2">
        <v>24476</v>
      </c>
      <c r="C688" s="2">
        <v>27277</v>
      </c>
      <c r="D688" s="2">
        <v>28970</v>
      </c>
      <c r="E688" s="2">
        <v>29555</v>
      </c>
    </row>
    <row r="689" spans="1:5">
      <c r="A689" t="s">
        <v>566</v>
      </c>
      <c r="B689" s="2">
        <v>27277</v>
      </c>
      <c r="C689" s="2">
        <v>28970</v>
      </c>
      <c r="D689" s="2">
        <v>29555</v>
      </c>
      <c r="E689" s="2">
        <v>26125</v>
      </c>
    </row>
    <row r="691" spans="1:5">
      <c r="A691" t="s">
        <v>567</v>
      </c>
    </row>
    <row r="692" spans="1:5">
      <c r="A692" t="s">
        <v>568</v>
      </c>
    </row>
    <row r="694" spans="1:5">
      <c r="A694" t="s">
        <v>194</v>
      </c>
    </row>
    <row r="696" spans="1:5">
      <c r="A696" t="s">
        <v>195</v>
      </c>
    </row>
    <row r="698" spans="1:5">
      <c r="A698" t="s">
        <v>196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O190"/>
  <sheetViews>
    <sheetView topLeftCell="A7" workbookViewId="0">
      <selection activeCell="C12" sqref="C12"/>
    </sheetView>
  </sheetViews>
  <sheetFormatPr defaultRowHeight="16.5"/>
  <cols>
    <col min="1" max="1" width="30.625" customWidth="1"/>
    <col min="2" max="7" width="12.625" customWidth="1"/>
    <col min="8" max="8" width="3.625" style="138" customWidth="1"/>
  </cols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t="s">
        <v>648</v>
      </c>
    </row>
    <row r="27" spans="1:1">
      <c r="A27">
        <v>5490</v>
      </c>
    </row>
    <row r="29" spans="1:1">
      <c r="A29" t="s">
        <v>20</v>
      </c>
    </row>
    <row r="31" spans="1:1">
      <c r="A31" t="s">
        <v>21</v>
      </c>
    </row>
    <row r="32" spans="1:1">
      <c r="A32" t="s">
        <v>649</v>
      </c>
    </row>
    <row r="34" spans="1:1">
      <c r="A34" t="s">
        <v>22</v>
      </c>
    </row>
    <row r="36" spans="1:1">
      <c r="A36" t="s">
        <v>22</v>
      </c>
    </row>
    <row r="37" spans="1:1">
      <c r="A37" t="s">
        <v>650</v>
      </c>
    </row>
    <row r="39" spans="1:1">
      <c r="A39" t="s">
        <v>23</v>
      </c>
    </row>
    <row r="41" spans="1:1">
      <c r="A41" t="s">
        <v>23</v>
      </c>
    </row>
    <row r="42" spans="1:1">
      <c r="A42" t="s">
        <v>651</v>
      </c>
    </row>
    <row r="44" spans="1:1">
      <c r="A44" t="s">
        <v>652</v>
      </c>
    </row>
    <row r="46" spans="1:1">
      <c r="A46" t="s">
        <v>24</v>
      </c>
    </row>
    <row r="47" spans="1:1">
      <c r="A47" t="s">
        <v>25</v>
      </c>
    </row>
    <row r="48" spans="1:1">
      <c r="A48" t="s">
        <v>26</v>
      </c>
    </row>
    <row r="49" spans="1:1">
      <c r="A49" t="s">
        <v>611</v>
      </c>
    </row>
    <row r="50" spans="1:1">
      <c r="A50" t="s">
        <v>27</v>
      </c>
    </row>
    <row r="51" spans="1:1">
      <c r="A51">
        <v>10.050000000000001</v>
      </c>
    </row>
    <row r="53" spans="1:1">
      <c r="A53" t="s">
        <v>29</v>
      </c>
    </row>
    <row r="54" spans="1:1">
      <c r="A54" t="s">
        <v>30</v>
      </c>
    </row>
    <row r="55" spans="1:1">
      <c r="A55" t="s">
        <v>29</v>
      </c>
    </row>
    <row r="56" spans="1:1">
      <c r="A56">
        <v>8.5</v>
      </c>
    </row>
    <row r="58" spans="1:1">
      <c r="A58" t="s">
        <v>31</v>
      </c>
    </row>
    <row r="59" spans="1:1">
      <c r="A59" t="s">
        <v>599</v>
      </c>
    </row>
    <row r="60" spans="1:1">
      <c r="A60" t="s">
        <v>600</v>
      </c>
    </row>
    <row r="61" spans="1:1">
      <c r="A61" t="s">
        <v>612</v>
      </c>
    </row>
    <row r="62" spans="1:1">
      <c r="A62" t="s">
        <v>31</v>
      </c>
    </row>
    <row r="63" spans="1:1">
      <c r="A63">
        <v>14.39</v>
      </c>
    </row>
    <row r="65" spans="1:1">
      <c r="A65" t="s">
        <v>32</v>
      </c>
    </row>
    <row r="66" spans="1:1">
      <c r="A66" t="s">
        <v>33</v>
      </c>
    </row>
    <row r="67" spans="1:1">
      <c r="A67" t="s">
        <v>34</v>
      </c>
    </row>
    <row r="68" spans="1:1">
      <c r="A68" t="s">
        <v>611</v>
      </c>
    </row>
    <row r="69" spans="1:1">
      <c r="A69" t="s">
        <v>35</v>
      </c>
    </row>
    <row r="70" spans="1:1">
      <c r="A70">
        <v>0.62</v>
      </c>
    </row>
    <row r="72" spans="1:1">
      <c r="A72" t="s">
        <v>36</v>
      </c>
    </row>
    <row r="73" spans="1:1">
      <c r="A73" t="s">
        <v>37</v>
      </c>
    </row>
    <row r="74" spans="1:1">
      <c r="A74" t="s">
        <v>611</v>
      </c>
    </row>
    <row r="75" spans="1:1">
      <c r="A75" t="s">
        <v>36</v>
      </c>
    </row>
    <row r="76" spans="1:1">
      <c r="A76" s="1">
        <v>2.4899999999999999E-2</v>
      </c>
    </row>
    <row r="78" spans="1:1">
      <c r="A78" t="s">
        <v>200</v>
      </c>
    </row>
    <row r="80" spans="1:1">
      <c r="A80" t="s">
        <v>592</v>
      </c>
    </row>
    <row r="81" spans="1:15">
      <c r="A81" t="s">
        <v>201</v>
      </c>
    </row>
    <row r="82" spans="1:15">
      <c r="A82" t="s">
        <v>118</v>
      </c>
    </row>
    <row r="83" spans="1:15">
      <c r="A83" t="s">
        <v>202</v>
      </c>
    </row>
    <row r="84" spans="1:15">
      <c r="A84" t="s">
        <v>121</v>
      </c>
    </row>
    <row r="85" spans="1:15">
      <c r="A85" t="s">
        <v>203</v>
      </c>
    </row>
    <row r="86" spans="1:15">
      <c r="A86" t="s">
        <v>225</v>
      </c>
      <c r="J86" s="5"/>
      <c r="K86" s="5"/>
      <c r="L86" s="5"/>
    </row>
    <row r="87" spans="1:15" ht="28.5" customHeight="1">
      <c r="A87" t="s">
        <v>200</v>
      </c>
    </row>
    <row r="88" spans="1:15">
      <c r="A88" t="s">
        <v>204</v>
      </c>
      <c r="B88" s="5">
        <v>42339</v>
      </c>
      <c r="C88" s="5">
        <v>42705</v>
      </c>
      <c r="D88" s="5">
        <v>43070</v>
      </c>
      <c r="E88" t="s">
        <v>182</v>
      </c>
      <c r="F88" t="s">
        <v>182</v>
      </c>
      <c r="G88" t="s">
        <v>182</v>
      </c>
    </row>
    <row r="89" spans="1:15">
      <c r="E89" t="s">
        <v>183</v>
      </c>
      <c r="F89" t="s">
        <v>183</v>
      </c>
      <c r="G89" t="s">
        <v>183</v>
      </c>
    </row>
    <row r="90" spans="1:15">
      <c r="J90" s="2"/>
      <c r="K90" s="2"/>
      <c r="L90" s="2"/>
      <c r="M90" s="2"/>
      <c r="N90" s="2"/>
      <c r="O90" s="2"/>
    </row>
    <row r="91" spans="1:15">
      <c r="E91" t="s">
        <v>205</v>
      </c>
      <c r="F91" t="s">
        <v>597</v>
      </c>
      <c r="G91" t="s">
        <v>630</v>
      </c>
    </row>
    <row r="92" spans="1:15">
      <c r="A92" t="s">
        <v>206</v>
      </c>
      <c r="B92" s="2">
        <v>581923</v>
      </c>
      <c r="C92" s="2">
        <v>530835</v>
      </c>
      <c r="D92" s="2">
        <v>606551</v>
      </c>
      <c r="E92" s="2">
        <v>629947</v>
      </c>
      <c r="F92" s="2">
        <v>645347</v>
      </c>
      <c r="G92" s="2">
        <v>665808</v>
      </c>
    </row>
    <row r="93" spans="1:15">
      <c r="A93" t="s">
        <v>207</v>
      </c>
      <c r="B93">
        <v>-10.61</v>
      </c>
      <c r="C93">
        <v>-8.7799999999999994</v>
      </c>
      <c r="D93">
        <v>14.26</v>
      </c>
      <c r="E93">
        <v>3.86</v>
      </c>
      <c r="F93">
        <v>2.44</v>
      </c>
      <c r="G93">
        <v>3.17</v>
      </c>
      <c r="K93" s="2"/>
      <c r="L93" s="2"/>
      <c r="M93" s="2"/>
      <c r="N93" s="2"/>
      <c r="O93" s="2"/>
    </row>
    <row r="94" spans="1:15">
      <c r="A94" t="s">
        <v>208</v>
      </c>
      <c r="B94">
        <v>-0.77</v>
      </c>
      <c r="C94">
        <v>2.56</v>
      </c>
      <c r="D94">
        <v>0.09</v>
      </c>
      <c r="E94" t="s">
        <v>28</v>
      </c>
      <c r="F94" t="s">
        <v>28</v>
      </c>
      <c r="G94" t="s">
        <v>28</v>
      </c>
    </row>
    <row r="95" spans="1:15">
      <c r="A95" t="s">
        <v>210</v>
      </c>
      <c r="B95" s="2">
        <v>24100</v>
      </c>
      <c r="C95" s="2">
        <v>28443</v>
      </c>
      <c r="D95" s="2">
        <v>46218</v>
      </c>
      <c r="E95" s="2">
        <v>51167</v>
      </c>
      <c r="F95" s="2">
        <v>53418</v>
      </c>
      <c r="G95" s="2">
        <v>58748</v>
      </c>
    </row>
    <row r="96" spans="1:15">
      <c r="A96" t="s">
        <v>207</v>
      </c>
      <c r="B96">
        <v>-25</v>
      </c>
      <c r="C96">
        <v>18.02</v>
      </c>
      <c r="D96">
        <v>62.49</v>
      </c>
      <c r="E96">
        <v>10.71</v>
      </c>
      <c r="F96">
        <v>4.4000000000000004</v>
      </c>
      <c r="G96">
        <v>9.98</v>
      </c>
      <c r="J96" s="2"/>
      <c r="K96" s="2"/>
      <c r="L96" s="2"/>
      <c r="M96" s="2"/>
      <c r="N96" s="2"/>
      <c r="O96" s="2"/>
    </row>
    <row r="97" spans="1:15">
      <c r="A97" t="s">
        <v>208</v>
      </c>
      <c r="B97">
        <v>-6.84</v>
      </c>
      <c r="C97">
        <v>-7.5</v>
      </c>
      <c r="D97">
        <v>-1.8</v>
      </c>
      <c r="E97" t="s">
        <v>28</v>
      </c>
      <c r="F97" t="s">
        <v>28</v>
      </c>
      <c r="G97" t="s">
        <v>28</v>
      </c>
    </row>
    <row r="98" spans="1:15">
      <c r="A98" t="s">
        <v>211</v>
      </c>
      <c r="B98" s="2">
        <v>-962</v>
      </c>
      <c r="C98" s="2">
        <v>10482</v>
      </c>
      <c r="D98" s="2">
        <v>29735</v>
      </c>
      <c r="E98" s="2">
        <v>33163</v>
      </c>
      <c r="F98" s="2">
        <v>35618</v>
      </c>
      <c r="G98" s="2">
        <v>39838</v>
      </c>
    </row>
    <row r="99" spans="1:15">
      <c r="A99" t="s">
        <v>207</v>
      </c>
      <c r="B99" t="s">
        <v>689</v>
      </c>
      <c r="C99" s="4" t="s">
        <v>634</v>
      </c>
      <c r="D99">
        <v>183.68</v>
      </c>
      <c r="E99">
        <v>11.53</v>
      </c>
      <c r="F99">
        <v>7.41</v>
      </c>
      <c r="G99">
        <v>11.85</v>
      </c>
      <c r="J99" s="2"/>
      <c r="K99" s="2"/>
      <c r="L99" s="2"/>
      <c r="M99" s="2"/>
      <c r="N99" s="2"/>
      <c r="O99" s="2"/>
    </row>
    <row r="100" spans="1:15">
      <c r="A100" t="s">
        <v>208</v>
      </c>
      <c r="B100" t="s">
        <v>690</v>
      </c>
      <c r="C100">
        <v>-25.39</v>
      </c>
      <c r="D100">
        <v>-5.93</v>
      </c>
      <c r="E100" t="s">
        <v>28</v>
      </c>
      <c r="F100" t="s">
        <v>28</v>
      </c>
      <c r="G100" t="s">
        <v>28</v>
      </c>
    </row>
    <row r="101" spans="1:15">
      <c r="A101" t="s">
        <v>212</v>
      </c>
      <c r="B101" s="2">
        <v>1806</v>
      </c>
      <c r="C101" s="2">
        <v>13633</v>
      </c>
      <c r="D101" s="2">
        <v>27901</v>
      </c>
      <c r="E101" s="2">
        <v>32386</v>
      </c>
      <c r="F101" s="2">
        <v>34695</v>
      </c>
      <c r="G101" s="2">
        <v>38277</v>
      </c>
      <c r="J101" s="2"/>
      <c r="K101" s="2"/>
      <c r="L101" s="2"/>
      <c r="M101" s="2"/>
      <c r="N101" s="2"/>
      <c r="O101" s="2"/>
    </row>
    <row r="102" spans="1:15">
      <c r="A102" t="s">
        <v>593</v>
      </c>
      <c r="B102" s="2">
        <v>-2768</v>
      </c>
      <c r="C102" s="2">
        <v>-3151</v>
      </c>
      <c r="D102" s="2">
        <v>1834</v>
      </c>
      <c r="E102" t="s">
        <v>209</v>
      </c>
      <c r="F102" t="s">
        <v>209</v>
      </c>
      <c r="G102" t="s">
        <v>209</v>
      </c>
      <c r="J102" s="2"/>
      <c r="K102" s="2"/>
      <c r="L102" s="2"/>
      <c r="M102" s="2"/>
      <c r="N102" s="2"/>
      <c r="O102" s="2"/>
    </row>
    <row r="103" spans="1:15">
      <c r="A103" t="s">
        <v>147</v>
      </c>
      <c r="B103" s="2">
        <v>804088</v>
      </c>
      <c r="C103" s="2">
        <v>797630</v>
      </c>
      <c r="D103" s="2">
        <v>790250</v>
      </c>
      <c r="E103" s="2">
        <v>827731</v>
      </c>
      <c r="F103" s="2">
        <v>846915</v>
      </c>
      <c r="G103" s="2">
        <v>864307</v>
      </c>
      <c r="J103" s="2"/>
      <c r="K103" s="2"/>
      <c r="L103" s="2"/>
      <c r="M103" s="2"/>
      <c r="N103" s="2"/>
      <c r="O103" s="2"/>
    </row>
    <row r="104" spans="1:15">
      <c r="A104" t="s">
        <v>148</v>
      </c>
      <c r="B104" s="2">
        <v>353385</v>
      </c>
      <c r="C104" s="2">
        <v>339246</v>
      </c>
      <c r="D104" s="2">
        <v>315610</v>
      </c>
      <c r="E104" s="2">
        <v>321949</v>
      </c>
      <c r="F104" s="2">
        <v>315363</v>
      </c>
      <c r="G104" s="2">
        <v>308973</v>
      </c>
      <c r="J104" s="2"/>
      <c r="K104" s="2"/>
      <c r="L104" s="2"/>
      <c r="M104" s="2"/>
      <c r="N104" s="2"/>
      <c r="O104" s="2"/>
    </row>
    <row r="105" spans="1:15">
      <c r="A105" t="s">
        <v>149</v>
      </c>
      <c r="B105" s="2">
        <v>450702</v>
      </c>
      <c r="C105" s="2">
        <v>458384</v>
      </c>
      <c r="D105" s="2">
        <v>474640</v>
      </c>
      <c r="E105" s="2">
        <v>505782</v>
      </c>
      <c r="F105" s="2">
        <v>531551</v>
      </c>
      <c r="G105" s="2">
        <v>555333</v>
      </c>
      <c r="K105" s="2"/>
      <c r="L105" s="2"/>
      <c r="O105" s="2"/>
    </row>
    <row r="106" spans="1:15">
      <c r="A106" t="s">
        <v>213</v>
      </c>
      <c r="B106" s="2">
        <v>412353</v>
      </c>
      <c r="C106" s="2">
        <v>423734</v>
      </c>
      <c r="D106" s="2">
        <v>437329</v>
      </c>
      <c r="E106" s="2">
        <v>465550</v>
      </c>
      <c r="F106" s="2">
        <v>491282</v>
      </c>
      <c r="G106" s="2">
        <v>515697</v>
      </c>
      <c r="J106" s="2"/>
      <c r="K106" s="2"/>
      <c r="L106" s="2"/>
      <c r="M106" s="2"/>
      <c r="N106" s="2"/>
      <c r="O106" s="2"/>
    </row>
    <row r="107" spans="1:15">
      <c r="A107" t="s">
        <v>594</v>
      </c>
      <c r="B107" s="2">
        <v>38349</v>
      </c>
      <c r="C107" s="2">
        <v>34650</v>
      </c>
      <c r="D107" s="2">
        <v>37311</v>
      </c>
      <c r="E107" s="2">
        <v>40233</v>
      </c>
      <c r="F107" s="2">
        <v>40269</v>
      </c>
      <c r="G107" s="2">
        <v>39637</v>
      </c>
      <c r="K107" s="2"/>
      <c r="L107" s="2"/>
      <c r="M107" s="2"/>
      <c r="N107" s="2"/>
      <c r="O107" s="2"/>
    </row>
    <row r="108" spans="1:15">
      <c r="A108" t="s">
        <v>152</v>
      </c>
      <c r="B108" s="2">
        <v>4824</v>
      </c>
      <c r="C108" s="2">
        <v>4824</v>
      </c>
      <c r="D108" s="2">
        <v>4824</v>
      </c>
      <c r="E108" s="2">
        <v>4821</v>
      </c>
      <c r="F108" s="2">
        <v>4822</v>
      </c>
      <c r="G108" s="2">
        <v>4820</v>
      </c>
    </row>
    <row r="109" spans="1:15">
      <c r="A109" t="s">
        <v>107</v>
      </c>
      <c r="B109" s="2">
        <v>2072</v>
      </c>
      <c r="C109" s="2">
        <v>15637</v>
      </c>
      <c r="D109" s="2">
        <v>32001</v>
      </c>
      <c r="E109" s="2">
        <v>37146</v>
      </c>
      <c r="F109" s="2">
        <v>39793</v>
      </c>
      <c r="G109" s="2">
        <v>43902</v>
      </c>
    </row>
    <row r="110" spans="1:15">
      <c r="A110" t="s">
        <v>170</v>
      </c>
    </row>
    <row r="111" spans="1:15">
      <c r="J111" s="2"/>
      <c r="K111" s="2"/>
      <c r="L111" s="2"/>
      <c r="M111" s="2"/>
      <c r="N111" s="2"/>
      <c r="O111" s="2"/>
    </row>
    <row r="112" spans="1:15">
      <c r="A112" t="s">
        <v>123</v>
      </c>
    </row>
    <row r="113" spans="1:7">
      <c r="A113" t="s">
        <v>214</v>
      </c>
      <c r="B113" s="2">
        <v>490547</v>
      </c>
      <c r="C113" s="2">
        <v>503596</v>
      </c>
      <c r="D113" s="2">
        <v>519183</v>
      </c>
      <c r="E113" s="2">
        <v>551551</v>
      </c>
      <c r="F113" s="2">
        <v>581065</v>
      </c>
      <c r="G113" s="2">
        <v>609068</v>
      </c>
    </row>
    <row r="114" spans="1:7">
      <c r="A114" t="s">
        <v>172</v>
      </c>
    </row>
    <row r="116" spans="1:7">
      <c r="A116" t="s">
        <v>171</v>
      </c>
    </row>
    <row r="117" spans="1:7">
      <c r="A117" t="s">
        <v>215</v>
      </c>
      <c r="B117" s="2">
        <v>8000</v>
      </c>
      <c r="C117" s="2">
        <v>8000</v>
      </c>
      <c r="D117" s="2">
        <v>8000</v>
      </c>
      <c r="E117" s="2">
        <v>8450</v>
      </c>
      <c r="F117" s="2">
        <v>8575</v>
      </c>
      <c r="G117" s="2">
        <v>9333</v>
      </c>
    </row>
    <row r="118" spans="1:7">
      <c r="A118" t="s">
        <v>174</v>
      </c>
    </row>
    <row r="120" spans="1:7">
      <c r="A120" t="s">
        <v>173</v>
      </c>
    </row>
    <row r="121" spans="1:7">
      <c r="A121" t="s">
        <v>27</v>
      </c>
      <c r="B121">
        <v>80.36</v>
      </c>
      <c r="C121">
        <v>16.47</v>
      </c>
      <c r="D121">
        <v>10.39</v>
      </c>
      <c r="E121">
        <v>8.66</v>
      </c>
      <c r="F121">
        <v>8.08</v>
      </c>
      <c r="G121">
        <v>7.32</v>
      </c>
    </row>
    <row r="122" spans="1:7">
      <c r="A122" t="s">
        <v>176</v>
      </c>
    </row>
    <row r="124" spans="1:7">
      <c r="A124" t="s">
        <v>27</v>
      </c>
    </row>
    <row r="125" spans="1:7">
      <c r="A125" t="s">
        <v>35</v>
      </c>
      <c r="B125">
        <v>0.34</v>
      </c>
      <c r="C125">
        <v>0.51</v>
      </c>
      <c r="D125">
        <v>0.64</v>
      </c>
      <c r="E125">
        <v>0.57999999999999996</v>
      </c>
      <c r="F125">
        <v>0.55000000000000004</v>
      </c>
      <c r="G125">
        <v>0.53</v>
      </c>
    </row>
    <row r="126" spans="1:7">
      <c r="A126" t="s">
        <v>178</v>
      </c>
    </row>
    <row r="128" spans="1:7">
      <c r="A128" t="s">
        <v>35</v>
      </c>
    </row>
    <row r="130" spans="1:14">
      <c r="A130" t="s">
        <v>216</v>
      </c>
    </row>
    <row r="131" spans="1:14" ht="16.5" customHeight="1"/>
    <row r="132" spans="1:14">
      <c r="A132" t="s">
        <v>595</v>
      </c>
    </row>
    <row r="133" spans="1:14">
      <c r="A133" t="s">
        <v>201</v>
      </c>
    </row>
    <row r="134" spans="1:14">
      <c r="A134" t="s">
        <v>118</v>
      </c>
    </row>
    <row r="135" spans="1:14">
      <c r="A135" t="s">
        <v>202</v>
      </c>
    </row>
    <row r="136" spans="1:14">
      <c r="A136">
        <v>201812</v>
      </c>
    </row>
    <row r="137" spans="1:14">
      <c r="A137" t="s">
        <v>203</v>
      </c>
      <c r="J137" s="3"/>
    </row>
    <row r="138" spans="1:14">
      <c r="A138" t="s">
        <v>216</v>
      </c>
      <c r="J138" s="2"/>
      <c r="K138" s="2"/>
      <c r="L138" s="2"/>
      <c r="M138" s="2"/>
      <c r="N138" s="2"/>
    </row>
    <row r="139" spans="1:14">
      <c r="A139" t="s">
        <v>608</v>
      </c>
      <c r="B139" s="3">
        <v>43184</v>
      </c>
      <c r="C139" t="s">
        <v>576</v>
      </c>
      <c r="D139" t="s">
        <v>577</v>
      </c>
      <c r="E139" t="s">
        <v>578</v>
      </c>
      <c r="F139" t="s">
        <v>579</v>
      </c>
      <c r="J139" s="2"/>
      <c r="K139" s="2"/>
      <c r="L139" s="2"/>
      <c r="M139" s="2"/>
      <c r="N139" s="2"/>
    </row>
    <row r="140" spans="1:14">
      <c r="A140" t="s">
        <v>121</v>
      </c>
      <c r="B140" s="2">
        <v>629947</v>
      </c>
      <c r="C140" s="2">
        <v>629619</v>
      </c>
      <c r="D140" s="2">
        <v>624180</v>
      </c>
      <c r="E140" s="2">
        <v>624575</v>
      </c>
      <c r="F140" s="2">
        <v>586735</v>
      </c>
      <c r="J140" s="2"/>
      <c r="K140" s="2"/>
      <c r="L140" s="2"/>
      <c r="M140" s="2"/>
      <c r="N140" s="2"/>
    </row>
    <row r="141" spans="1:14">
      <c r="A141" t="s">
        <v>122</v>
      </c>
      <c r="B141" s="2">
        <v>51167</v>
      </c>
      <c r="C141" s="2">
        <v>51175</v>
      </c>
      <c r="D141" s="2">
        <v>49771</v>
      </c>
      <c r="E141" s="2">
        <v>48297</v>
      </c>
      <c r="F141" s="2">
        <v>38190</v>
      </c>
      <c r="J141" s="2"/>
      <c r="K141" s="2"/>
      <c r="L141" s="2"/>
      <c r="M141" s="2"/>
      <c r="N141" s="2"/>
    </row>
    <row r="142" spans="1:14">
      <c r="A142" t="s">
        <v>212</v>
      </c>
      <c r="B142" s="2">
        <v>32386</v>
      </c>
      <c r="C142" s="2">
        <v>32574</v>
      </c>
      <c r="D142" s="2">
        <v>31205</v>
      </c>
      <c r="E142" s="2">
        <v>30271</v>
      </c>
      <c r="F142" s="2">
        <v>23934</v>
      </c>
    </row>
    <row r="143" spans="1:14">
      <c r="A143" t="s">
        <v>123</v>
      </c>
      <c r="B143" s="2">
        <v>37146</v>
      </c>
      <c r="C143" s="2">
        <v>37361</v>
      </c>
      <c r="D143" s="2">
        <v>35791</v>
      </c>
      <c r="E143" s="2">
        <v>34719</v>
      </c>
      <c r="F143" s="2">
        <v>27452</v>
      </c>
    </row>
    <row r="144" spans="1:14" ht="17.25" customHeight="1">
      <c r="A144" t="s">
        <v>27</v>
      </c>
      <c r="B144">
        <v>8.6999999999999993</v>
      </c>
      <c r="C144">
        <v>9.6999999999999993</v>
      </c>
      <c r="D144">
        <v>9.4</v>
      </c>
      <c r="E144">
        <v>8.9</v>
      </c>
      <c r="F144">
        <v>10.199999999999999</v>
      </c>
      <c r="J144" s="2"/>
      <c r="K144" s="2"/>
      <c r="L144" s="2"/>
      <c r="M144" s="2"/>
      <c r="N144" s="2"/>
    </row>
    <row r="145" spans="1:12">
      <c r="A145" t="s">
        <v>29</v>
      </c>
      <c r="B145">
        <v>8.5</v>
      </c>
      <c r="C145">
        <v>9.59</v>
      </c>
      <c r="D145">
        <v>9.42</v>
      </c>
      <c r="E145">
        <v>8.98</v>
      </c>
      <c r="F145">
        <v>10.91</v>
      </c>
    </row>
    <row r="146" spans="1:12">
      <c r="A146" t="s">
        <v>580</v>
      </c>
      <c r="B146" s="2">
        <v>459500</v>
      </c>
      <c r="C146" s="2">
        <v>459500</v>
      </c>
      <c r="D146" s="2">
        <v>411053</v>
      </c>
      <c r="E146" s="2">
        <v>394091</v>
      </c>
      <c r="F146" s="2">
        <v>349286</v>
      </c>
    </row>
    <row r="147" spans="1:12">
      <c r="A147" t="s">
        <v>105</v>
      </c>
      <c r="B147">
        <v>3.9</v>
      </c>
      <c r="C147">
        <v>3.9</v>
      </c>
      <c r="D147">
        <v>3.89</v>
      </c>
      <c r="E147">
        <v>3.91</v>
      </c>
      <c r="F147">
        <v>3.86</v>
      </c>
    </row>
    <row r="148" spans="1:12">
      <c r="A148" t="s">
        <v>226</v>
      </c>
    </row>
    <row r="149" spans="1:12">
      <c r="A149" t="s">
        <v>227</v>
      </c>
    </row>
    <row r="151" spans="1:12">
      <c r="A151" t="s">
        <v>131</v>
      </c>
    </row>
    <row r="152" spans="1:12">
      <c r="A152" t="s">
        <v>132</v>
      </c>
    </row>
    <row r="154" spans="1:12">
      <c r="A154" t="s">
        <v>217</v>
      </c>
    </row>
    <row r="156" spans="1:12">
      <c r="A156" t="s">
        <v>218</v>
      </c>
    </row>
    <row r="157" spans="1:12">
      <c r="A157" t="s">
        <v>217</v>
      </c>
    </row>
    <row r="158" spans="1:12">
      <c r="A158" t="s">
        <v>219</v>
      </c>
      <c r="B158" t="s">
        <v>220</v>
      </c>
      <c r="C158" t="s">
        <v>221</v>
      </c>
      <c r="F158" t="s">
        <v>105</v>
      </c>
      <c r="K158" s="2"/>
      <c r="L158" s="2"/>
    </row>
    <row r="159" spans="1:12">
      <c r="C159" t="s">
        <v>221</v>
      </c>
      <c r="D159" t="s">
        <v>222</v>
      </c>
      <c r="E159" t="s">
        <v>223</v>
      </c>
      <c r="F159" t="s">
        <v>105</v>
      </c>
      <c r="G159" t="s">
        <v>224</v>
      </c>
      <c r="J159" s="3"/>
      <c r="K159" s="2"/>
      <c r="L159" s="2"/>
    </row>
    <row r="160" spans="1:12">
      <c r="A160" t="s">
        <v>601</v>
      </c>
      <c r="C160" s="2">
        <v>459500</v>
      </c>
      <c r="D160" s="2">
        <v>443684</v>
      </c>
      <c r="E160">
        <v>3.56</v>
      </c>
      <c r="F160">
        <v>3.9</v>
      </c>
      <c r="G160">
        <v>3.89</v>
      </c>
      <c r="J160" s="3"/>
      <c r="K160" s="2"/>
      <c r="L160" s="2"/>
    </row>
    <row r="161" spans="1:12">
      <c r="A161" t="s">
        <v>691</v>
      </c>
      <c r="B161" s="3">
        <v>43179</v>
      </c>
      <c r="C161" s="2">
        <v>450000</v>
      </c>
      <c r="D161" s="2">
        <v>450000</v>
      </c>
      <c r="E161">
        <v>0</v>
      </c>
      <c r="F161">
        <v>4</v>
      </c>
      <c r="G161">
        <v>4</v>
      </c>
      <c r="J161" s="3"/>
      <c r="K161" s="2"/>
      <c r="L161" s="2"/>
    </row>
    <row r="162" spans="1:12">
      <c r="A162" t="s">
        <v>692</v>
      </c>
      <c r="B162" s="3">
        <v>43174</v>
      </c>
      <c r="C162" s="2">
        <v>480000</v>
      </c>
      <c r="D162" s="2">
        <v>480000</v>
      </c>
      <c r="E162">
        <v>0</v>
      </c>
      <c r="F162">
        <v>4</v>
      </c>
      <c r="G162">
        <v>4</v>
      </c>
      <c r="J162" s="3"/>
      <c r="K162" s="2"/>
      <c r="L162" s="2"/>
    </row>
    <row r="163" spans="1:12">
      <c r="A163" t="s">
        <v>637</v>
      </c>
      <c r="B163" s="3">
        <v>43171</v>
      </c>
      <c r="C163" s="2">
        <v>500000</v>
      </c>
      <c r="D163" s="2">
        <v>500000</v>
      </c>
      <c r="E163">
        <v>0</v>
      </c>
      <c r="F163">
        <v>4</v>
      </c>
      <c r="G163">
        <v>4</v>
      </c>
      <c r="J163" s="3"/>
      <c r="K163" s="2"/>
      <c r="L163" s="2"/>
    </row>
    <row r="164" spans="1:12">
      <c r="A164" t="s">
        <v>638</v>
      </c>
      <c r="B164" s="3">
        <v>43159</v>
      </c>
      <c r="C164" s="2">
        <v>470000</v>
      </c>
      <c r="D164" s="2">
        <v>470000</v>
      </c>
      <c r="E164">
        <v>0</v>
      </c>
      <c r="F164">
        <v>4</v>
      </c>
      <c r="G164">
        <v>4</v>
      </c>
      <c r="J164" s="3"/>
      <c r="K164" s="2"/>
    </row>
    <row r="165" spans="1:12">
      <c r="A165" t="s">
        <v>636</v>
      </c>
      <c r="B165" s="3">
        <v>43158</v>
      </c>
      <c r="C165" s="2">
        <v>460000</v>
      </c>
      <c r="D165" s="2">
        <v>460000</v>
      </c>
      <c r="E165">
        <v>0</v>
      </c>
      <c r="F165">
        <v>4</v>
      </c>
      <c r="G165">
        <v>4</v>
      </c>
      <c r="J165" s="3"/>
      <c r="K165" s="2"/>
      <c r="L165" s="2"/>
    </row>
    <row r="166" spans="1:12">
      <c r="A166" t="s">
        <v>602</v>
      </c>
      <c r="B166" s="3">
        <v>43158</v>
      </c>
      <c r="C166" s="2">
        <v>450000</v>
      </c>
      <c r="D166" s="2">
        <v>450000</v>
      </c>
      <c r="E166">
        <v>0</v>
      </c>
      <c r="F166">
        <v>4</v>
      </c>
      <c r="G166">
        <v>4</v>
      </c>
      <c r="J166" s="3"/>
      <c r="K166" s="2"/>
      <c r="L166" s="2"/>
    </row>
    <row r="167" spans="1:12">
      <c r="A167" t="s">
        <v>644</v>
      </c>
      <c r="B167" s="3">
        <v>43150</v>
      </c>
      <c r="C167" s="2">
        <v>500000</v>
      </c>
      <c r="D167" s="2">
        <v>500000</v>
      </c>
      <c r="E167">
        <v>0</v>
      </c>
      <c r="F167">
        <v>4</v>
      </c>
      <c r="G167">
        <v>4</v>
      </c>
      <c r="J167" s="3"/>
      <c r="K167" s="2"/>
      <c r="L167" s="2"/>
    </row>
    <row r="168" spans="1:12">
      <c r="A168" t="s">
        <v>610</v>
      </c>
      <c r="B168" s="3">
        <v>43137</v>
      </c>
      <c r="C168" s="2">
        <v>460000</v>
      </c>
      <c r="D168" s="2"/>
      <c r="E168" t="s">
        <v>209</v>
      </c>
      <c r="F168">
        <v>4</v>
      </c>
    </row>
    <row r="169" spans="1:12">
      <c r="A169" t="s">
        <v>643</v>
      </c>
      <c r="B169" s="3">
        <v>43129</v>
      </c>
      <c r="C169" s="2">
        <v>490000</v>
      </c>
      <c r="D169" s="2">
        <v>450000</v>
      </c>
      <c r="E169">
        <v>8.89</v>
      </c>
      <c r="F169">
        <v>4</v>
      </c>
      <c r="G169">
        <v>4</v>
      </c>
    </row>
    <row r="170" spans="1:12">
      <c r="A170" t="s">
        <v>635</v>
      </c>
      <c r="B170" s="3">
        <v>43126</v>
      </c>
      <c r="C170" s="2">
        <v>470000</v>
      </c>
      <c r="D170" s="2">
        <v>410000</v>
      </c>
      <c r="E170">
        <v>14.63</v>
      </c>
      <c r="F170">
        <v>4</v>
      </c>
      <c r="G170">
        <v>4</v>
      </c>
    </row>
    <row r="171" spans="1:12">
      <c r="A171" t="s">
        <v>641</v>
      </c>
      <c r="B171" s="3">
        <v>43126</v>
      </c>
      <c r="C171" s="2">
        <v>510000</v>
      </c>
      <c r="D171" s="2">
        <v>530000</v>
      </c>
      <c r="E171">
        <v>-3.77</v>
      </c>
      <c r="F171">
        <v>4</v>
      </c>
      <c r="G171">
        <v>4</v>
      </c>
    </row>
    <row r="172" spans="1:12">
      <c r="A172" t="s">
        <v>645</v>
      </c>
      <c r="B172" s="3">
        <v>43126</v>
      </c>
      <c r="C172" s="2">
        <v>450000</v>
      </c>
      <c r="D172" s="2">
        <v>390000</v>
      </c>
      <c r="E172">
        <v>15.38</v>
      </c>
      <c r="F172">
        <v>4</v>
      </c>
      <c r="G172">
        <v>4</v>
      </c>
    </row>
    <row r="173" spans="1:12">
      <c r="A173" t="s">
        <v>646</v>
      </c>
      <c r="B173" s="3">
        <v>43125</v>
      </c>
      <c r="C173" s="2">
        <v>460000</v>
      </c>
      <c r="D173" s="2">
        <v>400000</v>
      </c>
      <c r="E173">
        <v>15</v>
      </c>
      <c r="F173">
        <v>4</v>
      </c>
      <c r="G173">
        <v>4</v>
      </c>
    </row>
    <row r="174" spans="1:12">
      <c r="A174" t="s">
        <v>609</v>
      </c>
      <c r="B174" s="3">
        <v>43125</v>
      </c>
      <c r="C174" s="2">
        <v>450000</v>
      </c>
      <c r="D174" s="2">
        <v>450000</v>
      </c>
      <c r="E174">
        <v>0</v>
      </c>
      <c r="F174">
        <v>4</v>
      </c>
      <c r="G174">
        <v>4</v>
      </c>
    </row>
    <row r="175" spans="1:12">
      <c r="A175" t="s">
        <v>693</v>
      </c>
      <c r="B175" s="3">
        <v>43125</v>
      </c>
      <c r="C175" s="2">
        <v>400000</v>
      </c>
      <c r="D175" s="2">
        <v>400000</v>
      </c>
      <c r="E175">
        <v>0</v>
      </c>
      <c r="F175">
        <v>3</v>
      </c>
      <c r="G175">
        <v>3</v>
      </c>
    </row>
    <row r="176" spans="1:12">
      <c r="A176" t="s">
        <v>694</v>
      </c>
      <c r="B176" s="3">
        <v>43125</v>
      </c>
      <c r="C176" s="2">
        <v>470000</v>
      </c>
      <c r="D176" s="2">
        <v>430000</v>
      </c>
      <c r="E176">
        <v>9.3000000000000007</v>
      </c>
      <c r="F176">
        <v>4</v>
      </c>
      <c r="G176">
        <v>4</v>
      </c>
    </row>
    <row r="177" spans="1:7">
      <c r="A177" t="s">
        <v>639</v>
      </c>
      <c r="B177" s="3">
        <v>43125</v>
      </c>
      <c r="C177" s="2">
        <v>350000</v>
      </c>
      <c r="D177" s="2">
        <v>350000</v>
      </c>
      <c r="E177">
        <v>0</v>
      </c>
      <c r="F177">
        <v>3</v>
      </c>
      <c r="G177">
        <v>3</v>
      </c>
    </row>
    <row r="178" spans="1:7">
      <c r="A178" t="s">
        <v>640</v>
      </c>
      <c r="B178" s="3">
        <v>43125</v>
      </c>
      <c r="C178" s="2">
        <v>460000</v>
      </c>
      <c r="D178" s="2">
        <v>460000</v>
      </c>
      <c r="E178">
        <v>0</v>
      </c>
      <c r="F178">
        <v>4</v>
      </c>
      <c r="G178">
        <v>4</v>
      </c>
    </row>
    <row r="179" spans="1:7">
      <c r="A179" t="s">
        <v>642</v>
      </c>
      <c r="B179" s="3">
        <v>43125</v>
      </c>
      <c r="C179" s="2">
        <v>460000</v>
      </c>
      <c r="D179" s="2">
        <v>460000</v>
      </c>
      <c r="E179">
        <v>0</v>
      </c>
      <c r="F179">
        <v>4</v>
      </c>
      <c r="G179">
        <v>4</v>
      </c>
    </row>
    <row r="180" spans="1:7">
      <c r="A180" t="s">
        <v>603</v>
      </c>
      <c r="B180" s="3">
        <v>43124</v>
      </c>
      <c r="C180" s="2">
        <v>450000</v>
      </c>
      <c r="D180" s="2">
        <v>390000</v>
      </c>
      <c r="E180">
        <v>15.38</v>
      </c>
      <c r="F180">
        <v>4</v>
      </c>
      <c r="G180">
        <v>4</v>
      </c>
    </row>
    <row r="181" spans="1:7">
      <c r="A181" t="s">
        <v>194</v>
      </c>
      <c r="B181" s="3"/>
      <c r="C181" s="2"/>
      <c r="D181" s="2"/>
    </row>
    <row r="182" spans="1:7">
      <c r="B182" s="3"/>
      <c r="C182" s="2"/>
      <c r="D182" s="2"/>
    </row>
    <row r="183" spans="1:7">
      <c r="A183" t="s">
        <v>195</v>
      </c>
    </row>
    <row r="185" spans="1:7">
      <c r="A185" t="s">
        <v>196</v>
      </c>
    </row>
    <row r="187" spans="1:7">
      <c r="A187" t="s">
        <v>228</v>
      </c>
    </row>
    <row r="188" spans="1:7">
      <c r="A188" t="s">
        <v>229</v>
      </c>
    </row>
    <row r="189" spans="1:7">
      <c r="A189" t="s">
        <v>228</v>
      </c>
    </row>
    <row r="190" spans="1:7">
      <c r="A190" t="s">
        <v>229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G34"/>
  <sheetViews>
    <sheetView tabSelected="1" topLeftCell="A13" workbookViewId="0">
      <selection activeCell="B27" sqref="B27:C29"/>
    </sheetView>
  </sheetViews>
  <sheetFormatPr defaultRowHeight="16.5"/>
  <cols>
    <col min="1" max="1" width="2.125" customWidth="1"/>
    <col min="2" max="2" width="30.625" customWidth="1"/>
    <col min="3" max="14" width="15.625" customWidth="1"/>
  </cols>
  <sheetData>
    <row r="1" spans="2:33" ht="17.25" thickBot="1">
      <c r="B1" s="52" t="s">
        <v>283</v>
      </c>
      <c r="C1" s="151" t="s">
        <v>284</v>
      </c>
      <c r="D1" s="152"/>
      <c r="E1" s="153" t="s">
        <v>285</v>
      </c>
      <c r="F1" s="154"/>
      <c r="G1" s="155"/>
    </row>
    <row r="2" spans="2:33" ht="17.25" thickBot="1"/>
    <row r="3" spans="2:33" ht="17.25" thickBot="1">
      <c r="B3" s="55" t="s">
        <v>289</v>
      </c>
      <c r="C3" s="19"/>
      <c r="D3" s="19"/>
      <c r="E3" s="19"/>
      <c r="F3" s="19"/>
      <c r="G3" s="19"/>
    </row>
    <row r="4" spans="2:33" ht="17.25" thickBot="1">
      <c r="B4" s="110" t="s">
        <v>291</v>
      </c>
      <c r="C4" s="112" t="str">
        <f ca="1">IF(Data!H39="일치",Data!B35,"자료 불일치")</f>
        <v>POSCO</v>
      </c>
      <c r="D4" s="111" t="s">
        <v>247</v>
      </c>
      <c r="E4" s="48">
        <f ca="1">Data!A9</f>
        <v>87186835</v>
      </c>
      <c r="F4" s="49"/>
      <c r="G4" s="54"/>
    </row>
    <row r="5" spans="2:33">
      <c r="B5" s="25" t="s">
        <v>243</v>
      </c>
      <c r="C5" s="70">
        <f ca="1">Data!A3</f>
        <v>321500</v>
      </c>
      <c r="D5" s="24" t="s">
        <v>250</v>
      </c>
      <c r="E5" s="21">
        <f ca="1">Data!A10</f>
        <v>0</v>
      </c>
      <c r="F5" s="19"/>
      <c r="G5" s="20"/>
    </row>
    <row r="6" spans="2:33">
      <c r="B6" s="25" t="s">
        <v>246</v>
      </c>
      <c r="C6" s="22">
        <f ca="1">Data!A6</f>
        <v>0.77937999999999996</v>
      </c>
      <c r="D6" s="24" t="s">
        <v>248</v>
      </c>
      <c r="E6" s="21">
        <f ca="1">Data!A13</f>
        <v>7187161</v>
      </c>
      <c r="F6" s="19"/>
      <c r="G6" s="20"/>
      <c r="AC6" t="s">
        <v>251</v>
      </c>
      <c r="AD6" t="s">
        <v>318</v>
      </c>
      <c r="AE6" s="1">
        <f ca="1">F25</f>
        <v>7.602343246482797E-2</v>
      </c>
      <c r="AG6" t="s">
        <v>320</v>
      </c>
    </row>
    <row r="7" spans="2:33">
      <c r="B7" s="56"/>
      <c r="C7" s="19"/>
      <c r="D7" s="19"/>
      <c r="E7" s="19"/>
      <c r="F7" s="19"/>
      <c r="G7" s="20"/>
      <c r="AC7" t="s">
        <v>252</v>
      </c>
      <c r="AD7" t="s">
        <v>295</v>
      </c>
      <c r="AE7" s="1">
        <f ca="1">E25</f>
        <v>7.602343246482797E-2</v>
      </c>
      <c r="AG7" t="s">
        <v>321</v>
      </c>
    </row>
    <row r="8" spans="2:33">
      <c r="B8" s="57" t="s">
        <v>292</v>
      </c>
      <c r="C8" s="19"/>
      <c r="D8" s="19"/>
      <c r="E8" s="19"/>
      <c r="F8" s="19"/>
      <c r="G8" s="20"/>
      <c r="AD8" t="s">
        <v>305</v>
      </c>
      <c r="AE8" s="1">
        <f ca="1">G22</f>
        <v>4.4000000000000004E-2</v>
      </c>
    </row>
    <row r="9" spans="2:33">
      <c r="B9" s="156" t="str">
        <f ca="1">Data!A19</f>
        <v>실적회복세, 수익성 크게 상승</v>
      </c>
      <c r="C9" s="157"/>
      <c r="D9" s="157"/>
      <c r="E9" s="157"/>
      <c r="F9" s="157"/>
      <c r="G9" s="158"/>
      <c r="AD9" t="s">
        <v>316</v>
      </c>
      <c r="AE9" s="1">
        <f ca="1">F22</f>
        <v>6.4508036626229684E-2</v>
      </c>
    </row>
    <row r="10" spans="2:33" ht="69.95" customHeight="1">
      <c r="B10" s="159" t="str">
        <f ca="1">Data!A20</f>
        <v>동사는 열연, 냉연, 스테인리스 등 철강재를 단일 사업장 규모로 세계 최대 규모인 포항제철소와 광양제철소에서 생산하고 있음. 현재 영위하는 사업 부문은 크게 철강, 무역, 건설 및 기타 부문이 있으며, 철강 부문이 매출의 51%, 무역 31%, 건설 13%, 기타부문이 5%를 차지하고 있음. 동사의 2016년 3분기 누적 연결 기준 조강 생산량은 3,132만톤, 국내 시장점유율은 54.8%를 차지하고 있으며, 평균가동률은 87.8% 수준임.</v>
      </c>
      <c r="C10" s="160"/>
      <c r="D10" s="160"/>
      <c r="E10" s="160"/>
      <c r="F10" s="160"/>
      <c r="G10" s="161"/>
      <c r="AD10" t="s">
        <v>317</v>
      </c>
      <c r="AE10" s="1">
        <f>G25</f>
        <v>0.1</v>
      </c>
    </row>
    <row r="11" spans="2:33" ht="69.95" customHeight="1" thickBot="1">
      <c r="B11" s="162" t="str">
        <f ca="1">Data!A21</f>
        <v>동사의 2017년 연결 기준 3분기 매출과 영업이익은 45조 577억원, 3조 4,698억원으로 전년동기 대비 각각 18.4%, 46.2% 증가함. 철강부문 판매단가 상승 및 건설경기 개선으로 매출이 상승하였으며, 원가율 하락 및 판관비 축소 영향으로 수익성 또한 크게 향상된 모습. 외환손실 및 순이자비용 감소 등으로 영업외손익 또한 개선되어 당기순이익 또한 지난해 같은 기간 대비 133.3% 증가한 2조 4,136억원을 시현함.</v>
      </c>
      <c r="C11" s="163"/>
      <c r="D11" s="163"/>
      <c r="E11" s="163"/>
      <c r="F11" s="163"/>
      <c r="G11" s="164"/>
    </row>
    <row r="12" spans="2:33" ht="17.25" thickBot="1"/>
    <row r="13" spans="2:33" ht="17.25" thickBot="1">
      <c r="B13" s="55" t="s">
        <v>290</v>
      </c>
      <c r="C13" s="49"/>
      <c r="D13" s="54"/>
      <c r="E13" s="49"/>
      <c r="F13" s="49"/>
      <c r="G13" s="54"/>
    </row>
    <row r="14" spans="2:33">
      <c r="B14" s="144" t="s">
        <v>244</v>
      </c>
      <c r="C14" s="145" t="s">
        <v>245</v>
      </c>
      <c r="D14" s="146">
        <v>8.5900000000000004E-2</v>
      </c>
      <c r="E14" s="49"/>
      <c r="F14" s="49"/>
      <c r="G14" s="54"/>
    </row>
    <row r="15" spans="2:33">
      <c r="B15" s="25" t="s">
        <v>286</v>
      </c>
      <c r="C15" s="23">
        <v>1.8499999999999999E-2</v>
      </c>
      <c r="D15" s="20"/>
      <c r="E15" s="19"/>
      <c r="F15" s="19"/>
      <c r="G15" s="20"/>
    </row>
    <row r="16" spans="2:33" ht="17.25" thickBot="1">
      <c r="B16" s="58" t="s">
        <v>287</v>
      </c>
      <c r="C16" s="59">
        <v>6.7400000000000002E-2</v>
      </c>
      <c r="D16" s="20"/>
      <c r="E16" s="19"/>
      <c r="F16" s="19"/>
      <c r="G16" s="20"/>
    </row>
    <row r="17" spans="2:13" ht="17.25" thickBot="1">
      <c r="B17" s="62" t="s">
        <v>249</v>
      </c>
      <c r="C17" s="63">
        <f>IF(C14="적용",D14,C15+C16*C6)</f>
        <v>8.5900000000000004E-2</v>
      </c>
      <c r="D17" s="20"/>
      <c r="E17" s="19"/>
      <c r="F17" s="19"/>
      <c r="G17" s="20"/>
    </row>
    <row r="18" spans="2:13" ht="17.25" thickBot="1">
      <c r="B18" s="60" t="s">
        <v>288</v>
      </c>
      <c r="C18" s="61" t="s">
        <v>605</v>
      </c>
      <c r="D18" s="51"/>
      <c r="E18" s="19"/>
      <c r="F18" s="19"/>
      <c r="G18" s="20"/>
    </row>
    <row r="19" spans="2:13" ht="17.25" thickBot="1">
      <c r="B19" s="56"/>
      <c r="C19" s="19"/>
      <c r="D19" s="19"/>
      <c r="E19" s="19"/>
      <c r="F19" s="19"/>
      <c r="G19" s="20"/>
    </row>
    <row r="20" spans="2:13" ht="17.25" thickBot="1">
      <c r="B20" s="55" t="s">
        <v>293</v>
      </c>
      <c r="C20" s="102" t="s">
        <v>647</v>
      </c>
      <c r="D20" s="103">
        <f ca="1">VLOOKUP(C20,AD6:AE10,2,FALSE)</f>
        <v>7.602343246482797E-2</v>
      </c>
      <c r="E20" s="19"/>
      <c r="F20" s="19"/>
      <c r="G20" s="20"/>
    </row>
    <row r="21" spans="2:13">
      <c r="B21" s="69" t="s">
        <v>294</v>
      </c>
      <c r="C21" s="104">
        <f ca="1">Data!B105</f>
        <v>41974</v>
      </c>
      <c r="D21" s="104">
        <f ca="1">Data!C105</f>
        <v>42339</v>
      </c>
      <c r="E21" s="104">
        <f ca="1">Data!D105</f>
        <v>42705</v>
      </c>
      <c r="F21" s="104" t="str">
        <f ca="1">"최근 4분기("&amp;TEXT(Data!E60,"yy/mm")&amp;")"</f>
        <v>최근 4분기(17/12)</v>
      </c>
      <c r="G21" s="139" t="s">
        <v>305</v>
      </c>
      <c r="H21" s="147" t="str">
        <f ca="1">IF(D22&gt;C22,IF(F22&gt;D22,"상승추세",""),"")</f>
        <v>상승추세</v>
      </c>
      <c r="I21" s="148">
        <f ca="1">MONTH(Data!E58)</f>
        <v>12</v>
      </c>
      <c r="J21" s="135">
        <f ca="1">MONTH(E21)</f>
        <v>12</v>
      </c>
      <c r="K21" s="149">
        <f ca="1">MOD(I21+12-J21,12)/6</f>
        <v>0</v>
      </c>
      <c r="L21" s="149">
        <f ca="1">K21+4</f>
        <v>4</v>
      </c>
      <c r="M21" s="150">
        <f ca="1">MOD(I21+12-J21,12)</f>
        <v>0</v>
      </c>
    </row>
    <row r="22" spans="2:13">
      <c r="B22" s="137" t="s">
        <v>256</v>
      </c>
      <c r="C22" s="73">
        <f ca="1">Data!B106</f>
        <v>4.4000000000000003E-3</v>
      </c>
      <c r="D22" s="73">
        <f ca="1">Data!C106</f>
        <v>3.2599999999999997E-2</v>
      </c>
      <c r="E22" s="101">
        <f ca="1">Data!D106</f>
        <v>6.480000000000001E-2</v>
      </c>
      <c r="F22" s="73">
        <f ca="1">Data!G64</f>
        <v>6.4508036626229684E-2</v>
      </c>
      <c r="G22" s="140">
        <f ca="1">IF(M21=0,(E22*3+D22*2+C22)/6,(F22*3+E22*K21+D22)/L21)</f>
        <v>4.4000000000000004E-2</v>
      </c>
      <c r="H22" s="147" t="str">
        <f ca="1">IF(D22&lt;C22,IF(F22&lt;D22,"하락추세",""),"")</f>
        <v/>
      </c>
    </row>
    <row r="23" spans="2:13" hidden="1">
      <c r="B23" s="137"/>
      <c r="C23" s="74">
        <v>1</v>
      </c>
      <c r="D23" s="74">
        <v>2</v>
      </c>
      <c r="E23" s="74">
        <v>3</v>
      </c>
      <c r="F23" s="73"/>
      <c r="G23" s="105"/>
    </row>
    <row r="24" spans="2:13">
      <c r="B24" s="137" t="s">
        <v>295</v>
      </c>
      <c r="C24" s="72">
        <f ca="1">Data!E105</f>
        <v>43073</v>
      </c>
      <c r="D24" s="72">
        <f ca="1">Data!F105</f>
        <v>43438</v>
      </c>
      <c r="E24" s="72">
        <f ca="1">Data!G105</f>
        <v>43803</v>
      </c>
      <c r="F24" s="142" t="s">
        <v>325</v>
      </c>
      <c r="G24" s="136" t="s">
        <v>326</v>
      </c>
    </row>
    <row r="25" spans="2:13" ht="17.25" thickBot="1">
      <c r="B25" s="106" t="s">
        <v>256</v>
      </c>
      <c r="C25" s="107">
        <f ca="1">Data!E106</f>
        <v>7.1739402511299968E-2</v>
      </c>
      <c r="D25" s="107">
        <f ca="1">Data!F106</f>
        <v>7.2520567873984143E-2</v>
      </c>
      <c r="E25" s="107">
        <f ca="1">Data!G106</f>
        <v>7.602343246482797E-2</v>
      </c>
      <c r="F25" s="107">
        <f ca="1">IF(E25="컨센서스 없음",IF(D25="컨센서스 없음",IF(C25="컨센서스 없음",IF(H21="상승추세",F22,IF(H22="하락추세",F22,G22)),C25),D25),E25)</f>
        <v>7.602343246482797E-2</v>
      </c>
      <c r="G25" s="143">
        <v>0.1</v>
      </c>
    </row>
    <row r="26" spans="2:13" ht="17.25" thickBot="1">
      <c r="B26" s="56"/>
      <c r="C26" s="19"/>
      <c r="D26" s="19"/>
      <c r="E26" s="19"/>
      <c r="F26" s="19"/>
      <c r="G26" s="20"/>
    </row>
    <row r="27" spans="2:13" ht="17.25" thickBot="1">
      <c r="B27" s="117" t="s">
        <v>319</v>
      </c>
      <c r="C27" s="102" t="s">
        <v>296</v>
      </c>
      <c r="D27" s="64">
        <v>0.2</v>
      </c>
      <c r="E27" s="49"/>
      <c r="F27" s="49"/>
      <c r="G27" s="54"/>
    </row>
    <row r="28" spans="2:13" ht="17.25">
      <c r="B28" s="118" t="s">
        <v>297</v>
      </c>
      <c r="C28" s="126">
        <f ca="1">C5</f>
        <v>321500</v>
      </c>
      <c r="D28" s="115" t="s">
        <v>327</v>
      </c>
      <c r="E28" s="113" t="s">
        <v>298</v>
      </c>
      <c r="F28" s="65" t="s">
        <v>299</v>
      </c>
      <c r="G28" s="66" t="s">
        <v>27</v>
      </c>
    </row>
    <row r="29" spans="2:13" ht="18" thickBot="1">
      <c r="B29" s="119" t="s">
        <v>221</v>
      </c>
      <c r="C29" s="125">
        <f ca="1">IF(F32="정배열",F30,F29)</f>
        <v>512061.27027047437</v>
      </c>
      <c r="D29" s="116">
        <f ca="1">C28/C29-1</f>
        <v>-0.37214544691071549</v>
      </c>
      <c r="E29" s="114" t="s">
        <v>279</v>
      </c>
      <c r="F29" s="131">
        <f ca="1">'RIM 계산'!E12</f>
        <v>512061.27027047437</v>
      </c>
      <c r="G29" s="132">
        <f ca="1">'RIM 계산'!E13</f>
        <v>14.682174362805579</v>
      </c>
    </row>
    <row r="30" spans="2:13">
      <c r="B30" s="123" t="s">
        <v>300</v>
      </c>
      <c r="C30" s="127">
        <f ca="1">IF(C27="초과이익 가정",IF(F32="정배열",F29,F31),C29*(1+D27))</f>
        <v>550910.77231273765</v>
      </c>
      <c r="D30" s="19"/>
      <c r="E30" s="67" t="s">
        <v>301</v>
      </c>
      <c r="F30" s="133">
        <f ca="1">'RIM 계산'!F12</f>
        <v>538488.4754241542</v>
      </c>
      <c r="G30" s="134">
        <f ca="1">'RIM 계산'!F13</f>
        <v>15.43991343919191</v>
      </c>
    </row>
    <row r="31" spans="2:13">
      <c r="B31" s="124" t="s">
        <v>302</v>
      </c>
      <c r="C31" s="128">
        <f ca="1">IF(C27="초과이익 가정",IF(F32="정배열",F31,F29),C29*(1-D27))</f>
        <v>512061.27027047437</v>
      </c>
      <c r="D31" s="19"/>
      <c r="E31" s="67" t="s">
        <v>303</v>
      </c>
      <c r="F31" s="129">
        <f ca="1">'RIM 계산'!G12</f>
        <v>550910.77231273765</v>
      </c>
      <c r="G31" s="130">
        <f ca="1">'RIM 계산'!G13</f>
        <v>15.796094114227888</v>
      </c>
    </row>
    <row r="32" spans="2:13" ht="17.25" thickBot="1">
      <c r="B32" s="53"/>
      <c r="C32" s="50"/>
      <c r="D32" s="50"/>
      <c r="E32" s="50"/>
      <c r="F32" s="68" t="str">
        <f ca="1">IF(F29&gt;F31,"정배열","역배열")</f>
        <v>역배열</v>
      </c>
      <c r="G32" s="108" t="str">
        <f ca="1">IF(F32="정배열","ROE&gt;요구수익","ROE&lt;요구수익")</f>
        <v>ROE&lt;요구수익</v>
      </c>
    </row>
    <row r="33" spans="2:2" ht="17.25" thickBot="1"/>
    <row r="34" spans="2:2" ht="17.25" thickBot="1">
      <c r="B34" s="109" t="s">
        <v>322</v>
      </c>
    </row>
  </sheetData>
  <mergeCells count="5">
    <mergeCell ref="C1:D1"/>
    <mergeCell ref="E1:G1"/>
    <mergeCell ref="B9:G9"/>
    <mergeCell ref="B10:G10"/>
    <mergeCell ref="B11:G11"/>
  </mergeCells>
  <phoneticPr fontId="2" type="noConversion"/>
  <conditionalFormatting sqref="D14">
    <cfRule type="expression" dxfId="4" priority="6">
      <formula>$C$14="적용"</formula>
    </cfRule>
  </conditionalFormatting>
  <conditionalFormatting sqref="F32:G32">
    <cfRule type="expression" dxfId="3" priority="5">
      <formula>$F$32="역배열"</formula>
    </cfRule>
  </conditionalFormatting>
  <conditionalFormatting sqref="D27">
    <cfRule type="expression" dxfId="2" priority="4">
      <formula>$C$27="할인(할증)률"</formula>
    </cfRule>
  </conditionalFormatting>
  <conditionalFormatting sqref="G32">
    <cfRule type="expression" dxfId="1" priority="2">
      <formula>$F$35="역배열"</formula>
    </cfRule>
  </conditionalFormatting>
  <conditionalFormatting sqref="G25">
    <cfRule type="expression" dxfId="0" priority="1">
      <formula>$C$20="별도값"</formula>
    </cfRule>
  </conditionalFormatting>
  <dataValidations count="3">
    <dataValidation type="list" allowBlank="1" showInputMessage="1" showErrorMessage="1" sqref="C27">
      <formula1>$AG$6:$AG$7</formula1>
    </dataValidation>
    <dataValidation type="list" allowBlank="1" showInputMessage="1" showErrorMessage="1" sqref="C14">
      <formula1>$AC$6:$AC$7</formula1>
    </dataValidation>
    <dataValidation type="list" allowBlank="1" showInputMessage="1" showErrorMessage="1" sqref="C20">
      <formula1>$AD$6:$AD$10</formula1>
    </dataValidation>
  </dataValidations>
  <hyperlinks>
    <hyperlink ref="C18" r:id="rId1"/>
    <hyperlink ref="E1" r:id="rId2"/>
  </hyperlinks>
  <pageMargins left="0.7" right="0.7" top="0.75" bottom="0.75" header="0.3" footer="0.3"/>
  <pageSetup paperSize="9" orientation="portrait" horizontalDpi="400" verticalDpi="400" copies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7"/>
  <sheetViews>
    <sheetView topLeftCell="A13" workbookViewId="0">
      <selection activeCell="B32" sqref="B32"/>
    </sheetView>
  </sheetViews>
  <sheetFormatPr defaultRowHeight="16.5"/>
  <cols>
    <col min="1" max="1" width="30.625" customWidth="1"/>
    <col min="2" max="13" width="12.625" customWidth="1"/>
  </cols>
  <sheetData>
    <row r="2" spans="1:4">
      <c r="A2" s="7" t="s">
        <v>54</v>
      </c>
      <c r="B2">
        <f>MATCH(A2,FN_Snapshot!A:A,0)</f>
        <v>113</v>
      </c>
      <c r="C2">
        <f>B2</f>
        <v>113</v>
      </c>
      <c r="D2" t="str">
        <f>"FN_Snapshot!A"&amp;C2</f>
        <v>FN_Snapshot!A113</v>
      </c>
    </row>
    <row r="3" spans="1:4">
      <c r="A3" s="15">
        <f ca="1">LEFT(B3,SEARCHB("/",B3)-1)*1</f>
        <v>321500</v>
      </c>
      <c r="B3" t="str">
        <f ca="1">OFFSET(INDIRECT(D2),0,1,1,1)</f>
        <v>321,500/ -19,000</v>
      </c>
    </row>
    <row r="5" spans="1:4">
      <c r="A5" s="7" t="s">
        <v>61</v>
      </c>
      <c r="B5">
        <f>MATCH(A5,FN_Snapshot!C:C,0)</f>
        <v>116</v>
      </c>
      <c r="C5">
        <f>B5</f>
        <v>116</v>
      </c>
      <c r="D5" t="str">
        <f>"FN_Snapshot!C"&amp;C5</f>
        <v>FN_Snapshot!C116</v>
      </c>
    </row>
    <row r="6" spans="1:4">
      <c r="A6" s="7">
        <f ca="1">B6</f>
        <v>0.77937999999999996</v>
      </c>
      <c r="B6">
        <f ca="1">OFFSET(INDIRECT(D5),0,1,1,1)</f>
        <v>0.77937999999999996</v>
      </c>
    </row>
    <row r="8" spans="1:4">
      <c r="A8" s="7" t="s">
        <v>62</v>
      </c>
      <c r="B8">
        <f>MATCH(A8,FN_Snapshot!A:A,0)</f>
        <v>117</v>
      </c>
      <c r="C8">
        <f>B8</f>
        <v>117</v>
      </c>
      <c r="D8" t="str">
        <f>"FN_Snapshot!A"&amp;C8</f>
        <v>FN_Snapshot!A117</v>
      </c>
    </row>
    <row r="9" spans="1:4">
      <c r="A9" s="15">
        <f ca="1">LEFT(B9,SEARCHB("/",B9)-1)*1</f>
        <v>87186835</v>
      </c>
      <c r="B9" t="str">
        <f ca="1">OFFSET(INDIRECT(D8),0,1,1,1)</f>
        <v>87,186,835/ 0</v>
      </c>
    </row>
    <row r="10" spans="1:4">
      <c r="A10" s="15">
        <f ca="1">RIGHT(B9,LEN(B9)-SEARCHB("/",B9))*1</f>
        <v>0</v>
      </c>
    </row>
    <row r="12" spans="1:4">
      <c r="A12" s="7" t="s">
        <v>90</v>
      </c>
      <c r="B12">
        <f>MATCH(A12,FN_Snapshot!A:A,0)</f>
        <v>169</v>
      </c>
      <c r="C12">
        <f>B12</f>
        <v>169</v>
      </c>
      <c r="D12" t="str">
        <f>"FN_Snapshot!A"&amp;C12</f>
        <v>FN_Snapshot!A169</v>
      </c>
    </row>
    <row r="13" spans="1:4">
      <c r="A13" s="15">
        <f ca="1">B13</f>
        <v>7187161</v>
      </c>
      <c r="B13">
        <f ca="1">OFFSET(INDIRECT(D12),0,2,1,1)</f>
        <v>7187161</v>
      </c>
    </row>
    <row r="15" spans="1:4">
      <c r="A15" s="3">
        <f ca="1">TODAY()</f>
        <v>43188</v>
      </c>
    </row>
    <row r="17" spans="1:7">
      <c r="A17" t="s">
        <v>115</v>
      </c>
      <c r="B17">
        <f>MATCH(A17,FN_Snapshot!A:A,0)</f>
        <v>215</v>
      </c>
      <c r="C17">
        <f>B17</f>
        <v>215</v>
      </c>
      <c r="D17" t="str">
        <f>"FN_Snapshot!A"&amp;C17</f>
        <v>FN_Snapshot!A215</v>
      </c>
    </row>
    <row r="19" spans="1:7">
      <c r="A19" t="str">
        <f ca="1">OFFSET(INDIRECT(D$17),4,0,1,1)</f>
        <v>실적회복세, 수익성 크게 상승</v>
      </c>
    </row>
    <row r="20" spans="1:7">
      <c r="A20" t="str">
        <f ca="1">OFFSET(INDIRECT(D$17),6,0,1,1)</f>
        <v>동사는 열연, 냉연, 스테인리스 등 철강재를 단일 사업장 규모로 세계 최대 규모인 포항제철소와 광양제철소에서 생산하고 있음. 현재 영위하는 사업 부문은 크게 철강, 무역, 건설 및 기타 부문이 있으며, 철강 부문이 매출의 51%, 무역 31%, 건설 13%, 기타부문이 5%를 차지하고 있음. 동사의 2016년 3분기 누적 연결 기준 조강 생산량은 3,132만톤, 국내 시장점유율은 54.8%를 차지하고 있으며, 평균가동률은 87.8% 수준임.</v>
      </c>
    </row>
    <row r="21" spans="1:7">
      <c r="A21" t="str">
        <f ca="1">OFFSET(INDIRECT(D$17),7,0,1,1)</f>
        <v>동사의 2017년 연결 기준 3분기 매출과 영업이익은 45조 577억원, 3조 4,698억원으로 전년동기 대비 각각 18.4%, 46.2% 증가함. 철강부문 판매단가 상승 및 건설경기 개선으로 매출이 상승하였으며, 원가율 하락 및 판관비 축소 영향으로 수익성 또한 크게 향상된 모습. 외환손실 및 순이자비용 감소 등으로 영업외손익 또한 개선되어 당기순이익 또한 지난해 같은 기간 대비 133.3% 증가한 2조 4,136억원을 시현함.</v>
      </c>
    </row>
    <row r="24" spans="1:7">
      <c r="A24" t="s">
        <v>315</v>
      </c>
    </row>
    <row r="32" spans="1:7">
      <c r="A32" t="s">
        <v>596</v>
      </c>
      <c r="B32" s="10">
        <f ca="1">OFFSET(INDIRECT($D33),0,1,1,1)</f>
        <v>41974</v>
      </c>
      <c r="C32" s="10">
        <f ca="1">OFFSET(INDIRECT($D33),0,2,1,1)</f>
        <v>42339</v>
      </c>
      <c r="D32" s="10">
        <f ca="1">OFFSET(INDIRECT($D33),0,3,1,1)</f>
        <v>42705</v>
      </c>
      <c r="E32" s="10">
        <f ca="1">D32+368</f>
        <v>43073</v>
      </c>
      <c r="F32" s="10">
        <f ca="1">E32+365</f>
        <v>43438</v>
      </c>
      <c r="G32" s="10">
        <f ca="1">F32+365</f>
        <v>43803</v>
      </c>
    </row>
    <row r="33" spans="1:10">
      <c r="A33" t="s">
        <v>141</v>
      </c>
      <c r="B33">
        <f>IF(ISNA(MATCH(A33,FN_재무제표!A:A,0)),MATCH(J33,FN_재무제표!A:A,0),MATCH(A33,FN_재무제표!A:A,0))</f>
        <v>95</v>
      </c>
      <c r="C33">
        <f>B33</f>
        <v>95</v>
      </c>
      <c r="D33" t="str">
        <f>"FN_재무제표!A"&amp;C33</f>
        <v>FN_재무제표!A95</v>
      </c>
      <c r="J33" s="5" t="s">
        <v>598</v>
      </c>
    </row>
    <row r="35" spans="1:10">
      <c r="A35" s="7" t="s">
        <v>231</v>
      </c>
      <c r="B35" s="7" t="str">
        <f ca="1">OFFSET(INDIRECT(D36),0,0,1,1)</f>
        <v>POSCO</v>
      </c>
    </row>
    <row r="36" spans="1:10">
      <c r="A36" t="s">
        <v>19</v>
      </c>
      <c r="B36">
        <f>MATCH(A36,FN_Snapshot!A:A,0)</f>
        <v>23</v>
      </c>
      <c r="C36">
        <f>B36+2</f>
        <v>25</v>
      </c>
      <c r="D36" t="str">
        <f>"FN_Snapshot!A"&amp;C36</f>
        <v>FN_Snapshot!A25</v>
      </c>
    </row>
    <row r="37" spans="1:10">
      <c r="A37" s="7" t="s">
        <v>231</v>
      </c>
      <c r="B37" s="7" t="str">
        <f ca="1">OFFSET(INDIRECT(D38),0,0,1,1)</f>
        <v>POSCO</v>
      </c>
    </row>
    <row r="38" spans="1:10">
      <c r="A38" t="s">
        <v>19</v>
      </c>
      <c r="B38">
        <f>MATCH(A38,FN_컨센서스!A:A,0)</f>
        <v>23</v>
      </c>
      <c r="C38">
        <f>B38+2</f>
        <v>25</v>
      </c>
      <c r="D38" t="str">
        <f>"FN_컨센서스!A"&amp;C38</f>
        <v>FN_컨센서스!A25</v>
      </c>
    </row>
    <row r="39" spans="1:10">
      <c r="A39" s="7" t="s">
        <v>231</v>
      </c>
      <c r="B39" s="7" t="str">
        <f ca="1">OFFSET(INDIRECT(D40),0,0,1,1)</f>
        <v>POSCO</v>
      </c>
      <c r="F39" t="str">
        <f ca="1">IF(B35=B37,"일치","불일치")</f>
        <v>일치</v>
      </c>
      <c r="G39" t="str">
        <f ca="1">IF(B37=B39,"일치","불일치")</f>
        <v>일치</v>
      </c>
      <c r="H39" s="138" t="str">
        <f ca="1">IF(F39="일치",IF(G39="일치","일치","불일치"),"불일치")</f>
        <v>일치</v>
      </c>
    </row>
    <row r="40" spans="1:10">
      <c r="A40" t="s">
        <v>19</v>
      </c>
      <c r="B40">
        <f>MATCH(A40,FN_재무제표!A:A,0)</f>
        <v>23</v>
      </c>
      <c r="C40">
        <f>B40+2</f>
        <v>25</v>
      </c>
      <c r="D40" t="str">
        <f>"FN_재무제표!A"&amp;C40</f>
        <v>FN_재무제표!A25</v>
      </c>
    </row>
    <row r="42" spans="1:10">
      <c r="A42" s="7" t="s">
        <v>230</v>
      </c>
      <c r="B42">
        <f ca="1">OFFSET(INDIRECT($D46),-1,4,1,1)</f>
        <v>505782</v>
      </c>
      <c r="C42">
        <f ca="1">OFFSET(INDIRECT($D46),-1,5,1,1)</f>
        <v>531551</v>
      </c>
      <c r="D42">
        <f ca="1">OFFSET(INDIRECT($D46),-1,6,1,1)</f>
        <v>555333</v>
      </c>
    </row>
    <row r="43" spans="1:10">
      <c r="B43">
        <f ca="1">OFFSET(INDIRECT($D46),0,4,1,1)</f>
        <v>465550</v>
      </c>
      <c r="C43">
        <f ca="1">OFFSET(INDIRECT($D46),0,5,1,1)</f>
        <v>491282</v>
      </c>
      <c r="D43">
        <f ca="1">OFFSET(INDIRECT($D46),0,6,1,1)</f>
        <v>515697</v>
      </c>
    </row>
    <row r="45" spans="1:10">
      <c r="A45" s="7">
        <f ca="1">COUNT(B43:D43)</f>
        <v>3</v>
      </c>
    </row>
    <row r="46" spans="1:10">
      <c r="A46" t="s">
        <v>213</v>
      </c>
      <c r="B46">
        <f>IF(ISNA(MATCH(A46,FN_컨센서스!A:A,0)),MATCH(J46,FN_컨센서스!A:A,0),MATCH(A46,FN_컨센서스!A:A,0))</f>
        <v>106</v>
      </c>
      <c r="C46">
        <f>B46</f>
        <v>106</v>
      </c>
      <c r="D46" t="str">
        <f>"FN_컨센서스!A"&amp;C46</f>
        <v>FN_컨센서스!A106</v>
      </c>
      <c r="J46" t="s">
        <v>149</v>
      </c>
    </row>
    <row r="48" spans="1:10">
      <c r="A48" s="7" t="s">
        <v>232</v>
      </c>
      <c r="B48" s="8">
        <f ca="1">OFFSET(INDIRECT(D49),0,A45+3,1,1)</f>
        <v>515697</v>
      </c>
    </row>
    <row r="49" spans="1:10">
      <c r="A49" t="s">
        <v>213</v>
      </c>
      <c r="B49">
        <f>MATCH(A49,FN_컨센서스!A:A,0)</f>
        <v>106</v>
      </c>
      <c r="C49">
        <f>B49</f>
        <v>106</v>
      </c>
      <c r="D49" t="str">
        <f>"FN_컨센서스!A"&amp;C49</f>
        <v>FN_컨센서스!A106</v>
      </c>
    </row>
    <row r="50" spans="1:10">
      <c r="A50" s="75" t="s">
        <v>263</v>
      </c>
      <c r="B50" s="76">
        <f ca="1">OFFSET(INDIRECT(D51),0,A47+3,1,1)</f>
        <v>474640</v>
      </c>
      <c r="C50" s="77"/>
      <c r="D50" s="77"/>
    </row>
    <row r="51" spans="1:10">
      <c r="A51" s="77" t="s">
        <v>149</v>
      </c>
      <c r="B51" s="77">
        <f>MATCH(A51,FN_컨센서스!A:A,0)</f>
        <v>105</v>
      </c>
      <c r="C51" s="77">
        <f>B51</f>
        <v>105</v>
      </c>
      <c r="D51" s="77" t="str">
        <f>"FN_컨센서스!A"&amp;C51</f>
        <v>FN_컨센서스!A105</v>
      </c>
    </row>
    <row r="53" spans="1:10">
      <c r="B53" s="10">
        <f ca="1">B$32</f>
        <v>41974</v>
      </c>
      <c r="C53" s="10">
        <f t="shared" ref="C53:D53" ca="1" si="0">C$32</f>
        <v>42339</v>
      </c>
      <c r="D53" s="10">
        <f t="shared" ca="1" si="0"/>
        <v>42705</v>
      </c>
    </row>
    <row r="54" spans="1:10">
      <c r="A54" s="7" t="s">
        <v>234</v>
      </c>
      <c r="B54" s="11">
        <f ca="1">OFFSET(INDIRECT($D55),0,1,1,1)/100</f>
        <v>4.4000000000000003E-3</v>
      </c>
      <c r="C54" s="11">
        <f ca="1">OFFSET(INDIRECT($D55),0,2,1,1)/100</f>
        <v>3.2599999999999997E-2</v>
      </c>
      <c r="D54" s="11">
        <f ca="1">OFFSET(INDIRECT($D55),0,3,1,1)/100</f>
        <v>6.480000000000001E-2</v>
      </c>
    </row>
    <row r="55" spans="1:10">
      <c r="A55" t="s">
        <v>168</v>
      </c>
      <c r="B55">
        <f>MATCH(A55,FN_Snapshot!A:A,0)</f>
        <v>322</v>
      </c>
      <c r="C55">
        <f>B55</f>
        <v>322</v>
      </c>
      <c r="D55" t="str">
        <f>"FN_Snapshot!A"&amp;C55</f>
        <v>FN_Snapshot!A322</v>
      </c>
    </row>
    <row r="58" spans="1:10">
      <c r="A58" t="s">
        <v>233</v>
      </c>
      <c r="B58" s="10">
        <f ca="1">OFFSET(INDIRECT($D59),0,1,1,1)</f>
        <v>42795</v>
      </c>
      <c r="C58" s="10">
        <f ca="1">OFFSET(INDIRECT($D59),0,2,1,1)</f>
        <v>42887</v>
      </c>
      <c r="D58" s="10">
        <f ca="1">OFFSET(INDIRECT($D59),0,3,1,1)</f>
        <v>42979</v>
      </c>
      <c r="E58" s="10">
        <f ca="1">OFFSET(INDIRECT($D59),0,4,1,1)</f>
        <v>43070</v>
      </c>
    </row>
    <row r="59" spans="1:10">
      <c r="A59" t="s">
        <v>328</v>
      </c>
      <c r="B59">
        <f>MATCH(A59,FN_재무제표!A151:A200,0)</f>
        <v>20</v>
      </c>
      <c r="C59">
        <f>B59+151</f>
        <v>171</v>
      </c>
      <c r="D59" t="str">
        <f>"FN_재무제표!A"&amp;C59</f>
        <v>FN_재무제표!A171</v>
      </c>
    </row>
    <row r="60" spans="1:10">
      <c r="B60" s="10">
        <f ca="1">B$58</f>
        <v>42795</v>
      </c>
      <c r="C60" s="10">
        <f t="shared" ref="C60:E60" ca="1" si="1">C$58</f>
        <v>42887</v>
      </c>
      <c r="D60" s="10">
        <f t="shared" ca="1" si="1"/>
        <v>42979</v>
      </c>
      <c r="E60" s="10">
        <f t="shared" ca="1" si="1"/>
        <v>43070</v>
      </c>
      <c r="F60" s="141" t="s">
        <v>573</v>
      </c>
    </row>
    <row r="61" spans="1:10">
      <c r="A61" s="81" t="s">
        <v>236</v>
      </c>
      <c r="B61" s="9">
        <f ca="1">OFFSET(INDIRECT($D62),0,1,1,1)</f>
        <v>8509</v>
      </c>
      <c r="C61" s="9">
        <f ca="1">OFFSET(INDIRECT($D62),0,2,1,1)</f>
        <v>5128</v>
      </c>
      <c r="D61" s="9">
        <f ca="1">OFFSET(INDIRECT($D62),0,3,1,1)</f>
        <v>8694</v>
      </c>
      <c r="E61" s="9">
        <f ca="1">OFFSET(INDIRECT($D62),0,4,1,1)</f>
        <v>5569</v>
      </c>
      <c r="F61" s="9">
        <f ca="1">SUM(B61:E61)</f>
        <v>27900</v>
      </c>
    </row>
    <row r="62" spans="1:10">
      <c r="A62" t="s">
        <v>380</v>
      </c>
      <c r="B62">
        <f>IF(ISNA(MATCH(A62,FN_재무제표!A201:A300,0)),MATCH(J62,FN_재무제표!A201:A300,0),MATCH(A62,FN_재무제표!A201:A300,0))</f>
        <v>44</v>
      </c>
      <c r="C62">
        <f>B62+200</f>
        <v>244</v>
      </c>
      <c r="D62" t="str">
        <f>"FN_재무제표!A"&amp;C62</f>
        <v>FN_재무제표!A244</v>
      </c>
      <c r="J62" t="s">
        <v>144</v>
      </c>
    </row>
    <row r="63" spans="1:10">
      <c r="B63" s="10">
        <f ca="1">B$58</f>
        <v>42795</v>
      </c>
      <c r="C63" s="10">
        <f t="shared" ref="C63:E63" ca="1" si="2">C$58</f>
        <v>42887</v>
      </c>
      <c r="D63" s="10">
        <f t="shared" ca="1" si="2"/>
        <v>42979</v>
      </c>
      <c r="E63" s="10">
        <f t="shared" ca="1" si="2"/>
        <v>43070</v>
      </c>
      <c r="F63" s="141" t="s">
        <v>574</v>
      </c>
      <c r="G63" s="141" t="s">
        <v>575</v>
      </c>
    </row>
    <row r="64" spans="1:10">
      <c r="A64" s="81" t="s">
        <v>236</v>
      </c>
      <c r="B64" s="9">
        <f ca="1">OFFSET(INDIRECT($D65),0,1,1,1)</f>
        <v>423744</v>
      </c>
      <c r="C64" s="9">
        <f ca="1">OFFSET(INDIRECT($D65),0,2,1,1)</f>
        <v>431202</v>
      </c>
      <c r="D64" s="9">
        <f ca="1">OFFSET(INDIRECT($D65),0,3,1,1)</f>
        <v>437742</v>
      </c>
      <c r="E64" s="9">
        <f ca="1">OFFSET(INDIRECT($D65),0,4,1,1)</f>
        <v>437329</v>
      </c>
      <c r="F64" s="9">
        <f ca="1">AVERAGE(B64:E64)</f>
        <v>432504.25</v>
      </c>
      <c r="G64" s="11">
        <f ca="1">F61/F64</f>
        <v>6.4508036626229684E-2</v>
      </c>
    </row>
    <row r="65" spans="1:10">
      <c r="A65" t="s">
        <v>429</v>
      </c>
      <c r="B65">
        <f>IF(ISNA(MATCH(A65,FN_재무제표!A351:A400,0)),MATCH(J65,FN_재무제표!A351:A400,0),MATCH(A65,FN_재무제표!A351:A400,0))</f>
        <v>14</v>
      </c>
      <c r="C65">
        <f>B65+350</f>
        <v>364</v>
      </c>
      <c r="D65" t="str">
        <f>"FN_재무제표!A"&amp;C65</f>
        <v>FN_재무제표!A364</v>
      </c>
      <c r="J65" t="s">
        <v>428</v>
      </c>
    </row>
    <row r="68" spans="1:10" ht="17.25" thickBot="1">
      <c r="E68">
        <f ca="1">B43</f>
        <v>465550</v>
      </c>
      <c r="F68">
        <f t="shared" ref="F68:G68" ca="1" si="3">C43</f>
        <v>491282</v>
      </c>
      <c r="G68">
        <f t="shared" ca="1" si="3"/>
        <v>515697</v>
      </c>
    </row>
    <row r="69" spans="1:10">
      <c r="A69" s="79" t="s">
        <v>308</v>
      </c>
      <c r="B69" s="49"/>
      <c r="C69" s="49"/>
      <c r="D69" s="49"/>
      <c r="E69" s="49"/>
      <c r="F69" s="49"/>
      <c r="G69" s="54"/>
    </row>
    <row r="70" spans="1:10">
      <c r="A70" s="56"/>
      <c r="B70" s="10">
        <f ca="1">B$32</f>
        <v>41974</v>
      </c>
      <c r="C70" s="10">
        <f t="shared" ref="C70:D70" ca="1" si="4">C$32</f>
        <v>42339</v>
      </c>
      <c r="D70" s="10">
        <f t="shared" ca="1" si="4"/>
        <v>42705</v>
      </c>
      <c r="E70" s="10">
        <f ca="1">E$32</f>
        <v>43073</v>
      </c>
      <c r="F70" s="10">
        <f t="shared" ref="F70:G70" ca="1" si="5">F$32</f>
        <v>43438</v>
      </c>
      <c r="G70" s="80">
        <f t="shared" ca="1" si="5"/>
        <v>43803</v>
      </c>
    </row>
    <row r="71" spans="1:10">
      <c r="A71" s="81" t="s">
        <v>236</v>
      </c>
      <c r="B71" s="9">
        <f ca="1">OFFSET(INDIRECT($G72),0,1,1,1)</f>
        <v>1806</v>
      </c>
      <c r="C71" s="9">
        <f ca="1">OFFSET(INDIRECT($G72),0,2,1,1)</f>
        <v>13633</v>
      </c>
      <c r="D71" s="9">
        <f ca="1">OFFSET(INDIRECT($G72),0,3,1,1)</f>
        <v>27901</v>
      </c>
      <c r="E71" s="9">
        <f ca="1">IF(OFFSET(INDIRECT($G72),0,4,1,1)=" -",0,OFFSET(INDIRECT($G72),0,4,1,1))</f>
        <v>32386</v>
      </c>
      <c r="F71" s="9">
        <f ca="1">IF(OFFSET(INDIRECT($G72),0,5,1,1)=" -",0,OFFSET(INDIRECT($G72),0,5,1,1))</f>
        <v>34695</v>
      </c>
      <c r="G71" s="82">
        <f ca="1">IF(OFFSET(INDIRECT($G72),0,6,1,1)=" -",0,OFFSET(INDIRECT($G72),0,6,1,1))</f>
        <v>38277</v>
      </c>
    </row>
    <row r="72" spans="1:10">
      <c r="A72" s="56" t="s">
        <v>212</v>
      </c>
      <c r="B72" s="19"/>
      <c r="C72" s="19"/>
      <c r="D72" s="19"/>
      <c r="E72" s="19">
        <f>MATCH(A72,FN_컨센서스!A:A,0)</f>
        <v>101</v>
      </c>
      <c r="F72" s="19">
        <f>E72</f>
        <v>101</v>
      </c>
      <c r="G72" s="20" t="str">
        <f>"FN_컨센서스!A"&amp;F72</f>
        <v>FN_컨센서스!A101</v>
      </c>
    </row>
    <row r="73" spans="1:10">
      <c r="A73" s="56"/>
      <c r="B73" s="19"/>
      <c r="C73" s="19"/>
      <c r="D73" s="19"/>
      <c r="E73" s="19"/>
      <c r="F73" s="19"/>
      <c r="G73" s="20"/>
    </row>
    <row r="74" spans="1:10">
      <c r="A74" s="56"/>
      <c r="B74" s="10">
        <f ca="1">B$32</f>
        <v>41974</v>
      </c>
      <c r="C74" s="10">
        <f t="shared" ref="C74:D74" ca="1" si="6">C$32</f>
        <v>42339</v>
      </c>
      <c r="D74" s="10">
        <f t="shared" ca="1" si="6"/>
        <v>42705</v>
      </c>
      <c r="E74" s="10">
        <f ca="1">E$32</f>
        <v>43073</v>
      </c>
      <c r="F74" s="10">
        <f t="shared" ref="F74" ca="1" si="7">F$32</f>
        <v>43438</v>
      </c>
      <c r="G74" s="80">
        <f t="shared" ref="G74" ca="1" si="8">G$32</f>
        <v>43803</v>
      </c>
    </row>
    <row r="75" spans="1:10">
      <c r="A75" s="81" t="s">
        <v>237</v>
      </c>
      <c r="B75" s="9">
        <f ca="1">OFFSET(INDIRECT($G76),0,1,1,1)</f>
        <v>412353</v>
      </c>
      <c r="C75" s="9">
        <f ca="1">OFFSET(INDIRECT($G76),0,2,1,1)</f>
        <v>423734</v>
      </c>
      <c r="D75" s="9">
        <f ca="1">OFFSET(INDIRECT($G76),0,3,1,1)</f>
        <v>437329</v>
      </c>
      <c r="E75" s="9">
        <f ca="1">OFFSET(INDIRECT($G76),0,4,1,1)</f>
        <v>465550</v>
      </c>
      <c r="F75" s="9">
        <f ca="1">OFFSET(INDIRECT($G76),0,5,1,1)</f>
        <v>491282</v>
      </c>
      <c r="G75" s="82">
        <f ca="1">OFFSET(INDIRECT($G76),0,6,1,1)</f>
        <v>515697</v>
      </c>
    </row>
    <row r="76" spans="1:10">
      <c r="A76" s="56" t="s">
        <v>213</v>
      </c>
      <c r="B76" s="19"/>
      <c r="C76" s="19"/>
      <c r="D76" s="19"/>
      <c r="E76" s="19">
        <f>MATCH(A76,FN_컨센서스!A:A,0)</f>
        <v>106</v>
      </c>
      <c r="F76" s="19">
        <f>E76</f>
        <v>106</v>
      </c>
      <c r="G76" s="20" t="str">
        <f>"FN_컨센서스!A"&amp;F76</f>
        <v>FN_컨센서스!A106</v>
      </c>
    </row>
    <row r="77" spans="1:10">
      <c r="A77" s="56"/>
      <c r="B77" s="19"/>
      <c r="C77" s="19"/>
      <c r="D77" s="19"/>
      <c r="E77" s="19"/>
      <c r="F77" s="19"/>
      <c r="G77" s="20"/>
    </row>
    <row r="78" spans="1:10">
      <c r="A78" s="56"/>
      <c r="B78" s="10">
        <f t="shared" ref="B78:G78" ca="1" si="9">B$32</f>
        <v>41974</v>
      </c>
      <c r="C78" s="10">
        <f t="shared" ca="1" si="9"/>
        <v>42339</v>
      </c>
      <c r="D78" s="10">
        <f t="shared" ca="1" si="9"/>
        <v>42705</v>
      </c>
      <c r="E78" s="10">
        <f t="shared" ca="1" si="9"/>
        <v>43073</v>
      </c>
      <c r="F78" s="10">
        <f t="shared" ca="1" si="9"/>
        <v>43438</v>
      </c>
      <c r="G78" s="80">
        <f t="shared" ca="1" si="9"/>
        <v>43803</v>
      </c>
    </row>
    <row r="79" spans="1:10">
      <c r="A79" s="81" t="s">
        <v>235</v>
      </c>
      <c r="B79" s="11">
        <f ca="1">B54</f>
        <v>4.4000000000000003E-3</v>
      </c>
      <c r="C79" s="11">
        <f t="shared" ref="C79:D79" ca="1" si="10">C54</f>
        <v>3.2599999999999997E-2</v>
      </c>
      <c r="D79" s="11">
        <f t="shared" ca="1" si="10"/>
        <v>6.480000000000001E-2</v>
      </c>
      <c r="E79" s="11">
        <f ca="1">IF(E68=" -","컨센서스 없음",E71/E80)</f>
        <v>7.1739402511299968E-2</v>
      </c>
      <c r="F79" s="11">
        <f ca="1">IF(F68=" -","컨센서스 없음",F71/F80)</f>
        <v>7.2520567873984143E-2</v>
      </c>
      <c r="G79" s="83">
        <f ca="1">IF(G68=" -","컨센서스 없음",G71/G80)</f>
        <v>7.602343246482797E-2</v>
      </c>
    </row>
    <row r="80" spans="1:10" ht="17.25" thickBot="1">
      <c r="A80" s="53" t="s">
        <v>238</v>
      </c>
      <c r="B80" s="84"/>
      <c r="C80" s="84"/>
      <c r="D80" s="84"/>
      <c r="E80" s="84">
        <f ca="1">AVERAGE(D75:E75)</f>
        <v>451439.5</v>
      </c>
      <c r="F80" s="84">
        <f t="shared" ref="F80:G80" ca="1" si="11">AVERAGE(E75:F75)</f>
        <v>478416</v>
      </c>
      <c r="G80" s="85">
        <f t="shared" ca="1" si="11"/>
        <v>503489.5</v>
      </c>
    </row>
    <row r="82" spans="1:7" ht="17.25" thickBot="1"/>
    <row r="83" spans="1:7" s="77" customFormat="1" ht="12">
      <c r="A83" s="93" t="s">
        <v>311</v>
      </c>
      <c r="B83" s="94"/>
      <c r="C83" s="94"/>
      <c r="D83" s="94"/>
      <c r="E83" s="94"/>
      <c r="F83" s="94"/>
      <c r="G83" s="95"/>
    </row>
    <row r="84" spans="1:7" s="77" customFormat="1" ht="12">
      <c r="A84" s="87"/>
      <c r="B84" s="96">
        <f t="shared" ref="B84:G84" ca="1" si="12">B$32</f>
        <v>41974</v>
      </c>
      <c r="C84" s="96">
        <f t="shared" ca="1" si="12"/>
        <v>42339</v>
      </c>
      <c r="D84" s="96">
        <f t="shared" ca="1" si="12"/>
        <v>42705</v>
      </c>
      <c r="E84" s="96">
        <f t="shared" ca="1" si="12"/>
        <v>43073</v>
      </c>
      <c r="F84" s="96">
        <f t="shared" ca="1" si="12"/>
        <v>43438</v>
      </c>
      <c r="G84" s="97">
        <f t="shared" ca="1" si="12"/>
        <v>43803</v>
      </c>
    </row>
    <row r="85" spans="1:7" s="77" customFormat="1" ht="12">
      <c r="A85" s="98" t="s">
        <v>255</v>
      </c>
      <c r="B85" s="78">
        <f ca="1">OFFSET(INDIRECT($G86),0,1,1,1)</f>
        <v>-962</v>
      </c>
      <c r="C85" s="78">
        <f ca="1">OFFSET(INDIRECT($G86),0,2,1,1)</f>
        <v>10482</v>
      </c>
      <c r="D85" s="78">
        <f ca="1">OFFSET(INDIRECT($G86),0,3,1,1)</f>
        <v>29735</v>
      </c>
      <c r="E85" s="120">
        <f ca="1">IF(OFFSET(INDIRECT($G86),0,4,1,1)=" -",0,OFFSET(INDIRECT($G86),0,4,1,1))</f>
        <v>33163</v>
      </c>
      <c r="F85" s="120">
        <f ca="1">IF(OFFSET(INDIRECT($G86),0,5,1,1)=" -",0,OFFSET(INDIRECT($G86),0,5,1,1))</f>
        <v>35618</v>
      </c>
      <c r="G85" s="121">
        <f ca="1">IF(OFFSET(INDIRECT($G86),0,6,1,1)=" -",0,OFFSET(INDIRECT($G86),0,6,1,1))</f>
        <v>39838</v>
      </c>
    </row>
    <row r="86" spans="1:7" s="77" customFormat="1" ht="12">
      <c r="A86" s="87" t="s">
        <v>211</v>
      </c>
      <c r="B86" s="99"/>
      <c r="C86" s="99"/>
      <c r="D86" s="99"/>
      <c r="E86" s="99">
        <f>MATCH(A86,FN_컨센서스!A:A,0)</f>
        <v>98</v>
      </c>
      <c r="F86" s="99">
        <f>E86</f>
        <v>98</v>
      </c>
      <c r="G86" s="100" t="str">
        <f>"FN_컨센서스!A"&amp;F86</f>
        <v>FN_컨센서스!A98</v>
      </c>
    </row>
    <row r="87" spans="1:7" s="77" customFormat="1" ht="12">
      <c r="A87" s="87"/>
      <c r="B87" s="99"/>
      <c r="C87" s="99"/>
      <c r="D87" s="99"/>
      <c r="E87" s="99"/>
      <c r="F87" s="99"/>
      <c r="G87" s="100"/>
    </row>
    <row r="88" spans="1:7" s="77" customFormat="1" ht="12">
      <c r="A88" s="87"/>
      <c r="B88" s="96">
        <f t="shared" ref="B88:G88" ca="1" si="13">B$32</f>
        <v>41974</v>
      </c>
      <c r="C88" s="96">
        <f t="shared" ca="1" si="13"/>
        <v>42339</v>
      </c>
      <c r="D88" s="96">
        <f t="shared" ca="1" si="13"/>
        <v>42705</v>
      </c>
      <c r="E88" s="96">
        <f t="shared" ca="1" si="13"/>
        <v>43073</v>
      </c>
      <c r="F88" s="96">
        <f t="shared" ca="1" si="13"/>
        <v>43438</v>
      </c>
      <c r="G88" s="97">
        <f t="shared" ca="1" si="13"/>
        <v>43803</v>
      </c>
    </row>
    <row r="89" spans="1:7" s="77" customFormat="1" ht="12">
      <c r="A89" s="98" t="s">
        <v>312</v>
      </c>
      <c r="B89" s="78">
        <f ca="1">OFFSET(INDIRECT($G90),0,1,1,1)</f>
        <v>450702</v>
      </c>
      <c r="C89" s="78">
        <f ca="1">OFFSET(INDIRECT($G90),0,2,1,1)</f>
        <v>458384</v>
      </c>
      <c r="D89" s="78">
        <f ca="1">OFFSET(INDIRECT($G90),0,3,1,1)</f>
        <v>474640</v>
      </c>
      <c r="E89" s="78">
        <f ca="1">OFFSET(INDIRECT($G90),0,4,1,1)</f>
        <v>505782</v>
      </c>
      <c r="F89" s="78">
        <f ca="1">OFFSET(INDIRECT($G90),0,5,1,1)</f>
        <v>531551</v>
      </c>
      <c r="G89" s="86">
        <f ca="1">OFFSET(INDIRECT($G90),0,6,1,1)</f>
        <v>555333</v>
      </c>
    </row>
    <row r="90" spans="1:7" s="77" customFormat="1" ht="12">
      <c r="A90" s="87" t="s">
        <v>149</v>
      </c>
      <c r="B90" s="99"/>
      <c r="C90" s="99"/>
      <c r="D90" s="99"/>
      <c r="E90" s="99">
        <f>MATCH(A90,FN_컨센서스!A:A,0)</f>
        <v>105</v>
      </c>
      <c r="F90" s="99">
        <f>E90</f>
        <v>105</v>
      </c>
      <c r="G90" s="100" t="str">
        <f>"FN_컨센서스!A"&amp;F90</f>
        <v>FN_컨센서스!A105</v>
      </c>
    </row>
    <row r="91" spans="1:7" s="77" customFormat="1" ht="12">
      <c r="A91" s="87"/>
      <c r="B91" s="99"/>
      <c r="C91" s="99"/>
      <c r="D91" s="99"/>
      <c r="E91" s="99"/>
      <c r="F91" s="99"/>
      <c r="G91" s="100"/>
    </row>
    <row r="92" spans="1:7" s="77" customFormat="1" ht="12">
      <c r="A92" s="87"/>
      <c r="B92" s="96">
        <f t="shared" ref="B92:G92" ca="1" si="14">B$32</f>
        <v>41974</v>
      </c>
      <c r="C92" s="96">
        <f t="shared" ca="1" si="14"/>
        <v>42339</v>
      </c>
      <c r="D92" s="96">
        <f t="shared" ca="1" si="14"/>
        <v>42705</v>
      </c>
      <c r="E92" s="96">
        <f t="shared" ca="1" si="14"/>
        <v>43073</v>
      </c>
      <c r="F92" s="96">
        <f t="shared" ca="1" si="14"/>
        <v>43438</v>
      </c>
      <c r="G92" s="97">
        <f t="shared" ca="1" si="14"/>
        <v>43803</v>
      </c>
    </row>
    <row r="93" spans="1:7" s="77" customFormat="1" ht="12">
      <c r="A93" s="98" t="s">
        <v>309</v>
      </c>
      <c r="B93" s="88">
        <f ca="1">B54</f>
        <v>4.4000000000000003E-3</v>
      </c>
      <c r="C93" s="88">
        <f ca="1">C54</f>
        <v>3.2599999999999997E-2</v>
      </c>
      <c r="D93" s="88">
        <f ca="1">D54</f>
        <v>6.480000000000001E-2</v>
      </c>
      <c r="E93" s="88">
        <f ca="1">IF(E85=" -","컨센서스 없음",E85/E94)</f>
        <v>6.7650460719975686E-2</v>
      </c>
      <c r="F93" s="88">
        <f ca="1">IF(F85=" -","컨센서스 없음",F85/F94)</f>
        <v>6.8672258570777175E-2</v>
      </c>
      <c r="G93" s="89">
        <f ca="1">IF(G85=" -","컨센서스 없음",G85/G94)</f>
        <v>7.3306811030431948E-2</v>
      </c>
    </row>
    <row r="94" spans="1:7" s="77" customFormat="1" ht="12.75" thickBot="1">
      <c r="A94" s="90" t="s">
        <v>310</v>
      </c>
      <c r="B94" s="91"/>
      <c r="C94" s="91"/>
      <c r="D94" s="91"/>
      <c r="E94" s="91">
        <f ca="1">AVERAGE(D89:E89)</f>
        <v>490211</v>
      </c>
      <c r="F94" s="91">
        <f ca="1">AVERAGE(E89:F89)</f>
        <v>518666.5</v>
      </c>
      <c r="G94" s="92">
        <f ca="1">AVERAGE(F89:G89)</f>
        <v>543442</v>
      </c>
    </row>
    <row r="95" spans="1:7" ht="17.25" thickBot="1"/>
    <row r="96" spans="1:7">
      <c r="A96" s="79" t="s">
        <v>313</v>
      </c>
      <c r="B96" s="49"/>
      <c r="C96" s="49"/>
      <c r="D96" s="49"/>
      <c r="E96" s="49"/>
      <c r="F96" s="49"/>
      <c r="G96" s="54"/>
    </row>
    <row r="97" spans="1:7">
      <c r="A97" s="56"/>
      <c r="B97" s="10">
        <f ca="1">B$32</f>
        <v>41974</v>
      </c>
      <c r="C97" s="10">
        <f t="shared" ref="C97:D97" ca="1" si="15">C$32</f>
        <v>42339</v>
      </c>
      <c r="D97" s="10">
        <f t="shared" ca="1" si="15"/>
        <v>42705</v>
      </c>
      <c r="E97" s="10">
        <f ca="1">E$32</f>
        <v>43073</v>
      </c>
      <c r="F97" s="10">
        <f t="shared" ref="F97:G97" ca="1" si="16">F$32</f>
        <v>43438</v>
      </c>
      <c r="G97" s="80">
        <f t="shared" ca="1" si="16"/>
        <v>43803</v>
      </c>
    </row>
    <row r="98" spans="1:7">
      <c r="A98" s="81" t="s">
        <v>306</v>
      </c>
      <c r="B98" s="9">
        <f t="shared" ref="B98:G99" ca="1" si="17">IF(ISNA(B71),B85,B71)</f>
        <v>1806</v>
      </c>
      <c r="C98" s="9">
        <f t="shared" ca="1" si="17"/>
        <v>13633</v>
      </c>
      <c r="D98" s="9">
        <f t="shared" ca="1" si="17"/>
        <v>27901</v>
      </c>
      <c r="E98" s="9">
        <f t="shared" ca="1" si="17"/>
        <v>32386</v>
      </c>
      <c r="F98" s="9">
        <f t="shared" ca="1" si="17"/>
        <v>34695</v>
      </c>
      <c r="G98" s="82">
        <f t="shared" ca="1" si="17"/>
        <v>38277</v>
      </c>
    </row>
    <row r="99" spans="1:7">
      <c r="A99" s="56" t="s">
        <v>212</v>
      </c>
      <c r="B99" s="19"/>
      <c r="C99" s="19"/>
      <c r="D99" s="19"/>
      <c r="E99" s="19">
        <f t="shared" si="17"/>
        <v>101</v>
      </c>
      <c r="F99" s="19">
        <f t="shared" si="17"/>
        <v>101</v>
      </c>
      <c r="G99" s="20" t="str">
        <f t="shared" si="17"/>
        <v>FN_컨센서스!A101</v>
      </c>
    </row>
    <row r="100" spans="1:7">
      <c r="A100" s="56"/>
      <c r="B100" s="19"/>
      <c r="C100" s="19"/>
      <c r="D100" s="19"/>
      <c r="E100" s="19"/>
      <c r="F100" s="19"/>
      <c r="G100" s="20"/>
    </row>
    <row r="101" spans="1:7">
      <c r="A101" s="56"/>
      <c r="B101" s="10">
        <f ca="1">B$32</f>
        <v>41974</v>
      </c>
      <c r="C101" s="10">
        <f t="shared" ref="C101:D101" ca="1" si="18">C$32</f>
        <v>42339</v>
      </c>
      <c r="D101" s="10">
        <f t="shared" ca="1" si="18"/>
        <v>42705</v>
      </c>
      <c r="E101" s="10">
        <f ca="1">E$32</f>
        <v>43073</v>
      </c>
      <c r="F101" s="10">
        <f t="shared" ref="F101:G101" ca="1" si="19">F$32</f>
        <v>43438</v>
      </c>
      <c r="G101" s="80">
        <f t="shared" ca="1" si="19"/>
        <v>43803</v>
      </c>
    </row>
    <row r="102" spans="1:7">
      <c r="A102" s="81" t="s">
        <v>307</v>
      </c>
      <c r="B102" s="9">
        <f t="shared" ref="B102:G103" ca="1" si="20">IF(ISNA(B75),B89,B75)</f>
        <v>412353</v>
      </c>
      <c r="C102" s="9">
        <f t="shared" ca="1" si="20"/>
        <v>423734</v>
      </c>
      <c r="D102" s="9">
        <f t="shared" ca="1" si="20"/>
        <v>437329</v>
      </c>
      <c r="E102" s="9">
        <f t="shared" ca="1" si="20"/>
        <v>465550</v>
      </c>
      <c r="F102" s="9">
        <f t="shared" ca="1" si="20"/>
        <v>491282</v>
      </c>
      <c r="G102" s="82">
        <f t="shared" ca="1" si="20"/>
        <v>515697</v>
      </c>
    </row>
    <row r="103" spans="1:7">
      <c r="A103" s="56" t="s">
        <v>213</v>
      </c>
      <c r="B103" s="19"/>
      <c r="C103" s="19"/>
      <c r="D103" s="19"/>
      <c r="E103" s="19">
        <f t="shared" si="20"/>
        <v>106</v>
      </c>
      <c r="F103" s="19">
        <f t="shared" si="20"/>
        <v>106</v>
      </c>
      <c r="G103" s="20" t="str">
        <f t="shared" si="20"/>
        <v>FN_컨센서스!A106</v>
      </c>
    </row>
    <row r="104" spans="1:7">
      <c r="A104" s="56"/>
      <c r="B104" s="19"/>
      <c r="C104" s="19"/>
      <c r="D104" s="19"/>
      <c r="E104" s="19"/>
      <c r="F104" s="19"/>
      <c r="G104" s="20"/>
    </row>
    <row r="105" spans="1:7">
      <c r="A105" s="56"/>
      <c r="B105" s="10">
        <f t="shared" ref="B105:G105" ca="1" si="21">B$32</f>
        <v>41974</v>
      </c>
      <c r="C105" s="10">
        <f t="shared" ca="1" si="21"/>
        <v>42339</v>
      </c>
      <c r="D105" s="10">
        <f t="shared" ca="1" si="21"/>
        <v>42705</v>
      </c>
      <c r="E105" s="10">
        <f t="shared" ca="1" si="21"/>
        <v>43073</v>
      </c>
      <c r="F105" s="10">
        <f t="shared" ca="1" si="21"/>
        <v>43438</v>
      </c>
      <c r="G105" s="80">
        <f t="shared" ca="1" si="21"/>
        <v>43803</v>
      </c>
    </row>
    <row r="106" spans="1:7">
      <c r="A106" s="81" t="s">
        <v>309</v>
      </c>
      <c r="B106" s="11">
        <f t="shared" ref="B106:G107" ca="1" si="22">IF(ISNA(B79),B93,B79)</f>
        <v>4.4000000000000003E-3</v>
      </c>
      <c r="C106" s="11">
        <f t="shared" ca="1" si="22"/>
        <v>3.2599999999999997E-2</v>
      </c>
      <c r="D106" s="11">
        <f t="shared" ca="1" si="22"/>
        <v>6.480000000000001E-2</v>
      </c>
      <c r="E106" s="11">
        <f t="shared" ca="1" si="22"/>
        <v>7.1739402511299968E-2</v>
      </c>
      <c r="F106" s="11">
        <f t="shared" ca="1" si="22"/>
        <v>7.2520567873984143E-2</v>
      </c>
      <c r="G106" s="83">
        <f t="shared" ca="1" si="22"/>
        <v>7.602343246482797E-2</v>
      </c>
    </row>
    <row r="107" spans="1:7" ht="17.25" thickBot="1">
      <c r="A107" s="53" t="s">
        <v>314</v>
      </c>
      <c r="B107" s="84"/>
      <c r="C107" s="84"/>
      <c r="D107" s="84"/>
      <c r="E107" s="84">
        <f t="shared" ca="1" si="22"/>
        <v>451439.5</v>
      </c>
      <c r="F107" s="84">
        <f t="shared" ca="1" si="22"/>
        <v>478416</v>
      </c>
      <c r="G107" s="85">
        <f t="shared" ca="1" si="22"/>
        <v>503489.5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E11" sqref="E11"/>
    </sheetView>
  </sheetViews>
  <sheetFormatPr defaultRowHeight="16.5"/>
  <cols>
    <col min="1" max="1" width="30.625" customWidth="1"/>
    <col min="2" max="17" width="12.625" customWidth="1"/>
  </cols>
  <sheetData>
    <row r="1" spans="1:13">
      <c r="A1">
        <f ca="1">Data!A45</f>
        <v>3</v>
      </c>
    </row>
    <row r="2" spans="1:13">
      <c r="B2" s="12">
        <f ca="1">Data!B32</f>
        <v>41974</v>
      </c>
      <c r="C2" s="12">
        <f ca="1">Data!C32</f>
        <v>42339</v>
      </c>
      <c r="D2" s="12">
        <f ca="1">Data!D32</f>
        <v>42705</v>
      </c>
      <c r="E2" s="12">
        <f ca="1">Data!E32</f>
        <v>43073</v>
      </c>
      <c r="F2" s="12">
        <f ca="1">Data!F32</f>
        <v>43438</v>
      </c>
      <c r="G2" s="12">
        <f ca="1">Data!G32</f>
        <v>43803</v>
      </c>
    </row>
    <row r="3" spans="1:13">
      <c r="A3" s="6" t="s">
        <v>239</v>
      </c>
      <c r="B3" s="13">
        <f ca="1">Data!B98</f>
        <v>1806</v>
      </c>
      <c r="C3" s="13">
        <f ca="1">Data!C98</f>
        <v>13633</v>
      </c>
      <c r="D3" s="13">
        <f ca="1">Data!D98</f>
        <v>27901</v>
      </c>
      <c r="E3" s="13">
        <f ca="1">Data!E98</f>
        <v>32386</v>
      </c>
      <c r="F3" s="13">
        <f ca="1">Data!F98</f>
        <v>34695</v>
      </c>
      <c r="G3" s="13">
        <f ca="1">Data!G98</f>
        <v>38277</v>
      </c>
    </row>
    <row r="4" spans="1:13">
      <c r="A4" s="6" t="s">
        <v>240</v>
      </c>
      <c r="B4" s="13">
        <f ca="1">Data!B102</f>
        <v>412353</v>
      </c>
      <c r="C4" s="13">
        <f ca="1">Data!C102</f>
        <v>423734</v>
      </c>
      <c r="D4" s="13">
        <f ca="1">Data!D102</f>
        <v>437329</v>
      </c>
      <c r="E4" s="13">
        <f ca="1">Data!E102</f>
        <v>465550</v>
      </c>
      <c r="F4" s="13">
        <f ca="1">Data!F102</f>
        <v>491282</v>
      </c>
      <c r="G4" s="13">
        <f ca="1">Data!G102</f>
        <v>515697</v>
      </c>
    </row>
    <row r="5" spans="1:13">
      <c r="A5" s="6" t="s">
        <v>241</v>
      </c>
      <c r="B5" s="14">
        <f ca="1">Data!B106</f>
        <v>4.4000000000000003E-3</v>
      </c>
      <c r="C5" s="14">
        <f ca="1">Data!C106</f>
        <v>3.2599999999999997E-2</v>
      </c>
      <c r="D5" s="14">
        <f ca="1">Data!D106</f>
        <v>6.480000000000001E-2</v>
      </c>
      <c r="E5" s="14">
        <f ca="1">Data!E106</f>
        <v>7.1739402511299968E-2</v>
      </c>
      <c r="F5" s="14">
        <f ca="1">Data!F106</f>
        <v>7.2520567873984143E-2</v>
      </c>
      <c r="G5" s="14">
        <f ca="1">Data!G106</f>
        <v>7.602343246482797E-2</v>
      </c>
    </row>
    <row r="7" spans="1:13">
      <c r="A7" s="6" t="s">
        <v>242</v>
      </c>
      <c r="B7" s="10">
        <f ca="1">OFFSET(B2,0,Data!A45+2,1,1)</f>
        <v>43803</v>
      </c>
      <c r="D7" s="46"/>
      <c r="E7" s="46" t="s">
        <v>280</v>
      </c>
      <c r="F7" s="46" t="s">
        <v>281</v>
      </c>
      <c r="G7" s="46" t="s">
        <v>282</v>
      </c>
    </row>
    <row r="8" spans="1:13">
      <c r="A8" s="16" t="s">
        <v>232</v>
      </c>
      <c r="B8" s="17">
        <f ca="1">IF(A1=1,D4+E3,IF(A1=2,D4+E3+F3,HLOOKUP(B7,$B$2:$G$5,3,FALSE)))</f>
        <v>515697</v>
      </c>
      <c r="D8" s="7" t="s">
        <v>274</v>
      </c>
      <c r="E8" s="13">
        <f ca="1">C20</f>
        <v>515697</v>
      </c>
      <c r="F8" s="45">
        <f ca="1">C30</f>
        <v>515697</v>
      </c>
      <c r="G8" s="45">
        <f ca="1">C40</f>
        <v>515697</v>
      </c>
    </row>
    <row r="9" spans="1:13">
      <c r="A9" s="16" t="s">
        <v>241</v>
      </c>
      <c r="B9" s="18">
        <f ca="1">결과!D20</f>
        <v>7.602343246482797E-2</v>
      </c>
      <c r="D9" s="7" t="s">
        <v>275</v>
      </c>
      <c r="E9" s="13">
        <f ca="1">C21</f>
        <v>-45030.201182607423</v>
      </c>
      <c r="F9" s="45">
        <f ca="1">C31</f>
        <v>-20739.342307842508</v>
      </c>
      <c r="G9" s="45">
        <f ca="1">C41</f>
        <v>-9321.2502747924646</v>
      </c>
    </row>
    <row r="10" spans="1:13">
      <c r="A10" s="16" t="s">
        <v>253</v>
      </c>
      <c r="B10" s="18">
        <f>결과!C17</f>
        <v>8.5900000000000004E-2</v>
      </c>
      <c r="D10" s="7" t="s">
        <v>276</v>
      </c>
      <c r="E10" s="13">
        <f ca="1">C23</f>
        <v>409647.34689663845</v>
      </c>
      <c r="F10" s="45">
        <f ca="1">C33</f>
        <v>430789.02486689348</v>
      </c>
      <c r="G10" s="45">
        <f ca="1">C43</f>
        <v>440726.8218810723</v>
      </c>
    </row>
    <row r="11" spans="1:13">
      <c r="A11" s="16" t="s">
        <v>254</v>
      </c>
      <c r="B11" s="18">
        <f ca="1">B9-B10</f>
        <v>-9.8765675351720345E-3</v>
      </c>
      <c r="D11" s="7" t="s">
        <v>277</v>
      </c>
      <c r="E11" s="45">
        <f ca="1">결과!E4+결과!E5-결과!E6</f>
        <v>79999674</v>
      </c>
      <c r="F11" s="45">
        <f ca="1">E11</f>
        <v>79999674</v>
      </c>
      <c r="G11" s="45">
        <f ca="1">F11</f>
        <v>79999674</v>
      </c>
    </row>
    <row r="12" spans="1:13">
      <c r="A12" s="16" t="s">
        <v>257</v>
      </c>
      <c r="B12" s="38">
        <f ca="1">Data!A15</f>
        <v>43188</v>
      </c>
      <c r="D12" s="7" t="s">
        <v>278</v>
      </c>
      <c r="E12" s="47">
        <f ca="1">E10*100000000/E11</f>
        <v>512061.27027047437</v>
      </c>
      <c r="F12" s="47">
        <f t="shared" ref="F12:G12" ca="1" si="0">F10*100000000/F11</f>
        <v>538488.4754241542</v>
      </c>
      <c r="G12" s="47">
        <f t="shared" ca="1" si="0"/>
        <v>550910.77231273765</v>
      </c>
    </row>
    <row r="13" spans="1:13">
      <c r="B13" s="39">
        <f ca="1">(B7-B12)/365</f>
        <v>1.6849315068493151</v>
      </c>
      <c r="D13" s="7" t="s">
        <v>304</v>
      </c>
      <c r="E13" s="71">
        <f ca="1">E10/$D$3</f>
        <v>14.682174362805579</v>
      </c>
      <c r="F13" s="71">
        <f t="shared" ref="F13:G13" ca="1" si="1">F10/$D$3</f>
        <v>15.43991343919191</v>
      </c>
      <c r="G13" s="71">
        <f t="shared" ca="1" si="1"/>
        <v>15.796094114227888</v>
      </c>
    </row>
    <row r="15" spans="1:13" s="41" customFormat="1" ht="13.5">
      <c r="A15" s="26" t="s">
        <v>258</v>
      </c>
      <c r="B15" s="26"/>
      <c r="C15" s="40">
        <f ca="1">$B$7</f>
        <v>43803</v>
      </c>
      <c r="D15" s="40">
        <f ca="1">C15+367</f>
        <v>44170</v>
      </c>
      <c r="E15" s="40">
        <f ca="1">D15+365</f>
        <v>44535</v>
      </c>
      <c r="F15" s="40">
        <f t="shared" ref="F15:M15" ca="1" si="2">E15+365</f>
        <v>44900</v>
      </c>
      <c r="G15" s="40">
        <f t="shared" ca="1" si="2"/>
        <v>45265</v>
      </c>
      <c r="H15" s="40">
        <f t="shared" ca="1" si="2"/>
        <v>45630</v>
      </c>
      <c r="I15" s="40">
        <f t="shared" ca="1" si="2"/>
        <v>45995</v>
      </c>
      <c r="J15" s="40">
        <f t="shared" ca="1" si="2"/>
        <v>46360</v>
      </c>
      <c r="K15" s="40">
        <f t="shared" ca="1" si="2"/>
        <v>46725</v>
      </c>
      <c r="L15" s="40">
        <f t="shared" ca="1" si="2"/>
        <v>47090</v>
      </c>
      <c r="M15" s="40">
        <f t="shared" ca="1" si="2"/>
        <v>47455</v>
      </c>
    </row>
    <row r="16" spans="1:13" s="41" customFormat="1" ht="13.5">
      <c r="A16" s="42" t="s">
        <v>259</v>
      </c>
      <c r="B16" s="27">
        <v>0</v>
      </c>
      <c r="C16" s="36"/>
      <c r="D16" s="28">
        <f>1-B16</f>
        <v>1</v>
      </c>
      <c r="E16" s="28">
        <f>MAX(D16-$B16,0)</f>
        <v>1</v>
      </c>
      <c r="F16" s="28">
        <f t="shared" ref="F16:M16" si="3">MAX(E16-$B16,0)</f>
        <v>1</v>
      </c>
      <c r="G16" s="28">
        <f t="shared" si="3"/>
        <v>1</v>
      </c>
      <c r="H16" s="28">
        <f t="shared" si="3"/>
        <v>1</v>
      </c>
      <c r="I16" s="28">
        <f t="shared" si="3"/>
        <v>1</v>
      </c>
      <c r="J16" s="28">
        <f t="shared" si="3"/>
        <v>1</v>
      </c>
      <c r="K16" s="28">
        <f t="shared" si="3"/>
        <v>1</v>
      </c>
      <c r="L16" s="28">
        <f t="shared" si="3"/>
        <v>1</v>
      </c>
      <c r="M16" s="28">
        <f t="shared" si="3"/>
        <v>1</v>
      </c>
    </row>
    <row r="17" spans="1:13" s="41" customFormat="1" ht="13.5">
      <c r="B17" s="34" t="s">
        <v>260</v>
      </c>
      <c r="C17" s="37"/>
      <c r="D17" s="35">
        <f ca="1">$B$11*D16+$B$10</f>
        <v>7.602343246482797E-2</v>
      </c>
      <c r="E17" s="35">
        <f t="shared" ref="E17:M17" ca="1" si="4">$B$11*E16+$B$10</f>
        <v>7.602343246482797E-2</v>
      </c>
      <c r="F17" s="35">
        <f t="shared" ca="1" si="4"/>
        <v>7.602343246482797E-2</v>
      </c>
      <c r="G17" s="35">
        <f t="shared" ca="1" si="4"/>
        <v>7.602343246482797E-2</v>
      </c>
      <c r="H17" s="35">
        <f t="shared" ca="1" si="4"/>
        <v>7.602343246482797E-2</v>
      </c>
      <c r="I17" s="35">
        <f t="shared" ca="1" si="4"/>
        <v>7.602343246482797E-2</v>
      </c>
      <c r="J17" s="35">
        <f t="shared" ca="1" si="4"/>
        <v>7.602343246482797E-2</v>
      </c>
      <c r="K17" s="35">
        <f t="shared" ca="1" si="4"/>
        <v>7.602343246482797E-2</v>
      </c>
      <c r="L17" s="35">
        <f t="shared" ca="1" si="4"/>
        <v>7.602343246482797E-2</v>
      </c>
      <c r="M17" s="35">
        <f t="shared" ca="1" si="4"/>
        <v>7.602343246482797E-2</v>
      </c>
    </row>
    <row r="18" spans="1:13" s="41" customFormat="1" ht="13.5">
      <c r="B18" s="29" t="s">
        <v>261</v>
      </c>
      <c r="C18" s="31"/>
      <c r="D18" s="31">
        <f ca="1">C20*D17</f>
        <v>39205.05605181439</v>
      </c>
      <c r="E18" s="31">
        <f ca="1">D20*E17</f>
        <v>42185.558982849296</v>
      </c>
      <c r="F18" s="31">
        <f t="shared" ref="F18:M18" ca="1" si="5">E20*F17</f>
        <v>45392.64997717295</v>
      </c>
      <c r="G18" s="31">
        <f t="shared" ca="1" si="5"/>
        <v>48843.555037112128</v>
      </c>
      <c r="H18" s="31">
        <f t="shared" ca="1" si="5"/>
        <v>52556.809744818129</v>
      </c>
      <c r="I18" s="31">
        <f t="shared" ca="1" si="5"/>
        <v>56552.358821020127</v>
      </c>
      <c r="J18" s="31">
        <f t="shared" ca="1" si="5"/>
        <v>60851.663252576669</v>
      </c>
      <c r="K18" s="31">
        <f t="shared" ca="1" si="5"/>
        <v>65477.815564231387</v>
      </c>
      <c r="L18" s="31">
        <f t="shared" ca="1" si="5"/>
        <v>70455.663853723192</v>
      </c>
      <c r="M18" s="31">
        <f t="shared" ca="1" si="5"/>
        <v>75811.945256471343</v>
      </c>
    </row>
    <row r="19" spans="1:13" s="41" customFormat="1" ht="13.5">
      <c r="B19" s="29" t="s">
        <v>262</v>
      </c>
      <c r="C19" s="30"/>
      <c r="D19" s="30">
        <f ca="1">D18-C20*$B$10</f>
        <v>-5093.3162481856125</v>
      </c>
      <c r="E19" s="30">
        <f ca="1">E18-D20*$B$10</f>
        <v>-5480.5276320015619</v>
      </c>
      <c r="F19" s="30">
        <f t="shared" ref="F19:M19" ca="1" si="6">F18-E20*$B$10</f>
        <v>-5897.1761543046523</v>
      </c>
      <c r="G19" s="30">
        <f t="shared" ca="1" si="6"/>
        <v>-6345.4997274046327</v>
      </c>
      <c r="H19" s="30">
        <f t="shared" ca="1" si="6"/>
        <v>-6827.9063973865632</v>
      </c>
      <c r="I19" s="30">
        <f t="shared" ca="1" si="6"/>
        <v>-7346.9872782644452</v>
      </c>
      <c r="J19" s="30">
        <f t="shared" ca="1" si="6"/>
        <v>-7905.5304694335282</v>
      </c>
      <c r="K19" s="30">
        <f t="shared" ca="1" si="6"/>
        <v>-8506.5360311751501</v>
      </c>
      <c r="L19" s="30">
        <f t="shared" ca="1" si="6"/>
        <v>-9153.232098650813</v>
      </c>
      <c r="M19" s="30">
        <f t="shared" ca="1" si="6"/>
        <v>-9849.0922209374985</v>
      </c>
    </row>
    <row r="20" spans="1:13" s="41" customFormat="1" ht="13.5">
      <c r="B20" s="29" t="s">
        <v>263</v>
      </c>
      <c r="C20" s="43">
        <f ca="1">$B$8</f>
        <v>515697</v>
      </c>
      <c r="D20" s="31">
        <f ca="1">C20+D18</f>
        <v>554902.05605181435</v>
      </c>
      <c r="E20" s="31">
        <f ca="1">D20+E18</f>
        <v>597087.61503466358</v>
      </c>
      <c r="F20" s="31">
        <f t="shared" ref="F20:M20" ca="1" si="7">E20+F18</f>
        <v>642480.26501183654</v>
      </c>
      <c r="G20" s="31">
        <f t="shared" ca="1" si="7"/>
        <v>691323.82004894863</v>
      </c>
      <c r="H20" s="31">
        <f t="shared" ca="1" si="7"/>
        <v>743880.62979376677</v>
      </c>
      <c r="I20" s="31">
        <f t="shared" ca="1" si="7"/>
        <v>800432.98861478688</v>
      </c>
      <c r="J20" s="31">
        <f t="shared" ca="1" si="7"/>
        <v>861284.6518673636</v>
      </c>
      <c r="K20" s="31">
        <f t="shared" ca="1" si="7"/>
        <v>926762.46743159497</v>
      </c>
      <c r="L20" s="31">
        <f t="shared" ca="1" si="7"/>
        <v>997218.13128531817</v>
      </c>
      <c r="M20" s="31">
        <f t="shared" ca="1" si="7"/>
        <v>1073030.0765417896</v>
      </c>
    </row>
    <row r="21" spans="1:13" s="41" customFormat="1" ht="13.5">
      <c r="A21" s="26"/>
      <c r="B21" s="32" t="s">
        <v>264</v>
      </c>
      <c r="C21" s="33">
        <f ca="1">NPV($B$10,D19:M19)</f>
        <v>-45030.201182607423</v>
      </c>
    </row>
    <row r="22" spans="1:13" s="41" customFormat="1" ht="13.5">
      <c r="B22" s="29" t="s">
        <v>265</v>
      </c>
      <c r="C22" s="44">
        <f ca="1">C20+C21</f>
        <v>470666.79881739256</v>
      </c>
    </row>
    <row r="23" spans="1:13" s="41" customFormat="1" ht="13.5">
      <c r="B23" s="32" t="s">
        <v>266</v>
      </c>
      <c r="C23" s="33">
        <f ca="1">C22/(1+$B$10)^$B$13</f>
        <v>409647.34689663845</v>
      </c>
    </row>
    <row r="24" spans="1:13" s="41" customFormat="1" ht="13.5"/>
    <row r="25" spans="1:13" s="41" customFormat="1" ht="13.5">
      <c r="A25" s="26" t="s">
        <v>267</v>
      </c>
      <c r="B25" s="26"/>
      <c r="C25" s="40">
        <f ca="1">$B$7</f>
        <v>43803</v>
      </c>
      <c r="D25" s="40">
        <f ca="1">C25+367</f>
        <v>44170</v>
      </c>
      <c r="E25" s="40">
        <f ca="1">D25+365</f>
        <v>44535</v>
      </c>
      <c r="F25" s="40">
        <f t="shared" ref="F25:M25" ca="1" si="8">E25+365</f>
        <v>44900</v>
      </c>
      <c r="G25" s="40">
        <f t="shared" ca="1" si="8"/>
        <v>45265</v>
      </c>
      <c r="H25" s="40">
        <f t="shared" ca="1" si="8"/>
        <v>45630</v>
      </c>
      <c r="I25" s="40">
        <f t="shared" ca="1" si="8"/>
        <v>45995</v>
      </c>
      <c r="J25" s="40">
        <f t="shared" ca="1" si="8"/>
        <v>46360</v>
      </c>
      <c r="K25" s="40">
        <f t="shared" ca="1" si="8"/>
        <v>46725</v>
      </c>
      <c r="L25" s="40">
        <f t="shared" ca="1" si="8"/>
        <v>47090</v>
      </c>
      <c r="M25" s="40">
        <f t="shared" ca="1" si="8"/>
        <v>47455</v>
      </c>
    </row>
    <row r="26" spans="1:13" s="41" customFormat="1" ht="13.5">
      <c r="A26" s="42" t="s">
        <v>268</v>
      </c>
      <c r="B26" s="27">
        <v>0.1</v>
      </c>
      <c r="C26" s="36"/>
      <c r="D26" s="28">
        <f>1-B26</f>
        <v>0.9</v>
      </c>
      <c r="E26" s="28">
        <f>MAX(D26-$B26,0)</f>
        <v>0.8</v>
      </c>
      <c r="F26" s="28">
        <f t="shared" ref="F26:M26" si="9">MAX(E26-$B26,0)</f>
        <v>0.70000000000000007</v>
      </c>
      <c r="G26" s="28">
        <f t="shared" si="9"/>
        <v>0.60000000000000009</v>
      </c>
      <c r="H26" s="28">
        <f t="shared" si="9"/>
        <v>0.50000000000000011</v>
      </c>
      <c r="I26" s="28">
        <f t="shared" si="9"/>
        <v>0.40000000000000013</v>
      </c>
      <c r="J26" s="28">
        <f t="shared" si="9"/>
        <v>0.30000000000000016</v>
      </c>
      <c r="K26" s="28">
        <f t="shared" si="9"/>
        <v>0.20000000000000015</v>
      </c>
      <c r="L26" s="28">
        <f t="shared" si="9"/>
        <v>0.10000000000000014</v>
      </c>
      <c r="M26" s="28">
        <f t="shared" si="9"/>
        <v>1.3877787807814457E-16</v>
      </c>
    </row>
    <row r="27" spans="1:13" s="41" customFormat="1" ht="13.5">
      <c r="B27" s="34" t="s">
        <v>269</v>
      </c>
      <c r="C27" s="37"/>
      <c r="D27" s="35">
        <f ca="1">$B$11*D26+$B$10</f>
        <v>7.701108921834518E-2</v>
      </c>
      <c r="E27" s="35">
        <f t="shared" ref="E27" ca="1" si="10">$B$11*E26+$B$10</f>
        <v>7.7998745971862377E-2</v>
      </c>
      <c r="F27" s="35">
        <f t="shared" ref="F27" ca="1" si="11">$B$11*F26+$B$10</f>
        <v>7.8986402725379573E-2</v>
      </c>
      <c r="G27" s="35">
        <f t="shared" ref="G27" ca="1" si="12">$B$11*G26+$B$10</f>
        <v>7.9974059478896783E-2</v>
      </c>
      <c r="H27" s="35">
        <f t="shared" ref="H27" ca="1" si="13">$B$11*H26+$B$10</f>
        <v>8.096171623241398E-2</v>
      </c>
      <c r="I27" s="35">
        <f t="shared" ref="I27" ca="1" si="14">$B$11*I26+$B$10</f>
        <v>8.194937298593119E-2</v>
      </c>
      <c r="J27" s="35">
        <f t="shared" ref="J27" ca="1" si="15">$B$11*J26+$B$10</f>
        <v>8.2937029739448387E-2</v>
      </c>
      <c r="K27" s="35">
        <f t="shared" ref="K27" ca="1" si="16">$B$11*K26+$B$10</f>
        <v>8.3924686492965597E-2</v>
      </c>
      <c r="L27" s="35">
        <f t="shared" ref="L27" ca="1" si="17">$B$11*L26+$B$10</f>
        <v>8.4912343246482794E-2</v>
      </c>
      <c r="M27" s="35">
        <f t="shared" ref="M27" ca="1" si="18">$B$11*M26+$B$10</f>
        <v>8.5900000000000004E-2</v>
      </c>
    </row>
    <row r="28" spans="1:13" s="41" customFormat="1" ht="13.5">
      <c r="B28" s="29" t="s">
        <v>270</v>
      </c>
      <c r="C28" s="31"/>
      <c r="D28" s="31">
        <f ca="1">C30*D27</f>
        <v>39714.387676632956</v>
      </c>
      <c r="E28" s="31">
        <f ca="1">D30*E27</f>
        <v>43321.391737269267</v>
      </c>
      <c r="F28" s="31">
        <f t="shared" ref="F28" ca="1" si="19">E30*F27</f>
        <v>47291.74843967233</v>
      </c>
      <c r="G28" s="31">
        <f t="shared" ref="G28" ca="1" si="20">F30*G27</f>
        <v>51665.204015387979</v>
      </c>
      <c r="H28" s="31">
        <f t="shared" ref="H28" ca="1" si="21">G30*H27</f>
        <v>56486.158089843942</v>
      </c>
      <c r="I28" s="31">
        <f t="shared" ref="I28" ca="1" si="22">H30*I27</f>
        <v>61804.241303230825</v>
      </c>
      <c r="J28" s="31">
        <f t="shared" ref="J28" ca="1" si="23">I30*J27</f>
        <v>67674.968413278591</v>
      </c>
      <c r="K28" s="31">
        <f t="shared" ref="K28" ca="1" si="24">J30*K27</f>
        <v>74160.477208161159</v>
      </c>
      <c r="L28" s="31">
        <f t="shared" ref="L28" ca="1" si="25">K30*L27</f>
        <v>81330.365031157737</v>
      </c>
      <c r="M28" s="31">
        <f t="shared" ref="M28" ca="1" si="26">L30*M27</f>
        <v>89262.636410467137</v>
      </c>
    </row>
    <row r="29" spans="1:13" s="41" customFormat="1" ht="13.5">
      <c r="B29" s="29" t="s">
        <v>271</v>
      </c>
      <c r="C29" s="30"/>
      <c r="D29" s="30">
        <f ca="1">D28-C30*$B$10</f>
        <v>-4583.9846233670469</v>
      </c>
      <c r="E29" s="30">
        <f ca="1">E28-D30*$B$10</f>
        <v>-4388.4464641535087</v>
      </c>
      <c r="F29" s="30">
        <f t="shared" ref="F29" ca="1" si="27">F28-E30*$B$10</f>
        <v>-4139.3973119818693</v>
      </c>
      <c r="G29" s="30">
        <f t="shared" ref="G29" ca="1" si="28">G28-F30*$B$10</f>
        <v>-3828.3029272340718</v>
      </c>
      <c r="H29" s="30">
        <f t="shared" ref="H29" ca="1" si="29">H28-G30*$B$10</f>
        <v>-3445.3898776999413</v>
      </c>
      <c r="I29" s="30">
        <f t="shared" ref="I29" ca="1" si="30">I28-H30*$B$10</f>
        <v>-2979.4676442306518</v>
      </c>
      <c r="J29" s="30">
        <f t="shared" ref="J29" ca="1" si="31">J28-I30*$B$10</f>
        <v>-2417.724862130417</v>
      </c>
      <c r="K29" s="30">
        <f t="shared" ref="K29" ca="1" si="32">K28-J30*$B$10</f>
        <v>-1745.4958539484796</v>
      </c>
      <c r="L29" s="30">
        <f t="shared" ref="L29" ca="1" si="33">L28-K30*$B$10</f>
        <v>-945.99302313294902</v>
      </c>
      <c r="M29" s="30">
        <f t="shared" ref="M29" ca="1" si="34">M28-L30*$B$10</f>
        <v>0</v>
      </c>
    </row>
    <row r="30" spans="1:13" s="41" customFormat="1" ht="13.5">
      <c r="B30" s="29" t="s">
        <v>272</v>
      </c>
      <c r="C30" s="43">
        <f ca="1">$B$8</f>
        <v>515697</v>
      </c>
      <c r="D30" s="31">
        <f ca="1">C30+D28</f>
        <v>555411.38767663296</v>
      </c>
      <c r="E30" s="31">
        <f ca="1">D30+E28</f>
        <v>598732.7794139022</v>
      </c>
      <c r="F30" s="31">
        <f t="shared" ref="F30:M30" ca="1" si="35">E30+F28</f>
        <v>646024.52785357449</v>
      </c>
      <c r="G30" s="31">
        <f t="shared" ca="1" si="35"/>
        <v>697689.73186896252</v>
      </c>
      <c r="H30" s="31">
        <f t="shared" ca="1" si="35"/>
        <v>754175.88995880645</v>
      </c>
      <c r="I30" s="31">
        <f t="shared" ca="1" si="35"/>
        <v>815980.13126203732</v>
      </c>
      <c r="J30" s="31">
        <f t="shared" ca="1" si="35"/>
        <v>883655.0996753159</v>
      </c>
      <c r="K30" s="31">
        <f t="shared" ca="1" si="35"/>
        <v>957815.57688347704</v>
      </c>
      <c r="L30" s="31">
        <f t="shared" ca="1" si="35"/>
        <v>1039145.9419146348</v>
      </c>
      <c r="M30" s="31">
        <f t="shared" ca="1" si="35"/>
        <v>1128408.5783251019</v>
      </c>
    </row>
    <row r="31" spans="1:13" s="41" customFormat="1" ht="13.5">
      <c r="A31" s="26"/>
      <c r="B31" s="32" t="s">
        <v>264</v>
      </c>
      <c r="C31" s="33">
        <f ca="1">NPV($B$10,D29:M29)</f>
        <v>-20739.342307842508</v>
      </c>
    </row>
    <row r="32" spans="1:13" s="41" customFormat="1" ht="13.5">
      <c r="B32" s="29" t="s">
        <v>265</v>
      </c>
      <c r="C32" s="44">
        <f ca="1">C30+C31</f>
        <v>494957.65769215749</v>
      </c>
    </row>
    <row r="33" spans="1:17" s="41" customFormat="1" ht="13.5">
      <c r="B33" s="32" t="s">
        <v>266</v>
      </c>
      <c r="C33" s="33">
        <f ca="1">C32/(1+$B$10)^$B$13</f>
        <v>430789.02486689348</v>
      </c>
    </row>
    <row r="34" spans="1:17" s="41" customFormat="1" ht="13.5"/>
    <row r="35" spans="1:17" s="41" customFormat="1" ht="13.5">
      <c r="A35" s="26" t="s">
        <v>273</v>
      </c>
      <c r="B35" s="26"/>
      <c r="C35" s="40">
        <f ca="1">$B$7</f>
        <v>43803</v>
      </c>
      <c r="D35" s="40">
        <f ca="1">C35+367</f>
        <v>44170</v>
      </c>
      <c r="E35" s="40">
        <f ca="1">D35+365</f>
        <v>44535</v>
      </c>
      <c r="F35" s="40">
        <f t="shared" ref="F35:M35" ca="1" si="36">E35+365</f>
        <v>44900</v>
      </c>
      <c r="G35" s="40">
        <f t="shared" ca="1" si="36"/>
        <v>45265</v>
      </c>
      <c r="H35" s="40">
        <f t="shared" ca="1" si="36"/>
        <v>45630</v>
      </c>
      <c r="I35" s="40">
        <f t="shared" ca="1" si="36"/>
        <v>45995</v>
      </c>
      <c r="J35" s="40">
        <f t="shared" ca="1" si="36"/>
        <v>46360</v>
      </c>
      <c r="K35" s="40">
        <f t="shared" ca="1" si="36"/>
        <v>46725</v>
      </c>
      <c r="L35" s="40">
        <f t="shared" ca="1" si="36"/>
        <v>47090</v>
      </c>
      <c r="M35" s="40">
        <f t="shared" ca="1" si="36"/>
        <v>47455</v>
      </c>
    </row>
    <row r="36" spans="1:17" s="41" customFormat="1" ht="13.5">
      <c r="A36" s="42" t="s">
        <v>268</v>
      </c>
      <c r="B36" s="27">
        <v>0.2</v>
      </c>
      <c r="C36" s="36"/>
      <c r="D36" s="28">
        <f>1-B36</f>
        <v>0.8</v>
      </c>
      <c r="E36" s="28">
        <f>MAX(D36-$B36,0)</f>
        <v>0.60000000000000009</v>
      </c>
      <c r="F36" s="28">
        <f t="shared" ref="F36:M36" si="37">MAX(E36-$B36,0)</f>
        <v>0.40000000000000008</v>
      </c>
      <c r="G36" s="28">
        <f t="shared" si="37"/>
        <v>0.20000000000000007</v>
      </c>
      <c r="H36" s="28">
        <f t="shared" si="37"/>
        <v>5.5511151231257827E-17</v>
      </c>
      <c r="I36" s="28">
        <f t="shared" si="37"/>
        <v>0</v>
      </c>
      <c r="J36" s="28">
        <f t="shared" si="37"/>
        <v>0</v>
      </c>
      <c r="K36" s="28">
        <f t="shared" si="37"/>
        <v>0</v>
      </c>
      <c r="L36" s="28">
        <f t="shared" si="37"/>
        <v>0</v>
      </c>
      <c r="M36" s="28">
        <f t="shared" si="37"/>
        <v>0</v>
      </c>
    </row>
    <row r="37" spans="1:17" s="41" customFormat="1" ht="13.5">
      <c r="B37" s="34" t="s">
        <v>269</v>
      </c>
      <c r="C37" s="37"/>
      <c r="D37" s="35">
        <f ca="1">$B$11*D36+$B$10</f>
        <v>7.7998745971862377E-2</v>
      </c>
      <c r="E37" s="35">
        <f t="shared" ref="E37" ca="1" si="38">$B$11*E36+$B$10</f>
        <v>7.9974059478896783E-2</v>
      </c>
      <c r="F37" s="35">
        <f t="shared" ref="F37" ca="1" si="39">$B$11*F36+$B$10</f>
        <v>8.194937298593119E-2</v>
      </c>
      <c r="G37" s="35">
        <f t="shared" ref="G37" ca="1" si="40">$B$11*G36+$B$10</f>
        <v>8.3924686492965597E-2</v>
      </c>
      <c r="H37" s="35">
        <f t="shared" ref="H37" ca="1" si="41">$B$11*H36+$B$10</f>
        <v>8.5900000000000004E-2</v>
      </c>
      <c r="I37" s="35">
        <f t="shared" ref="I37" ca="1" si="42">$B$11*I36+$B$10</f>
        <v>8.5900000000000004E-2</v>
      </c>
      <c r="J37" s="35">
        <f t="shared" ref="J37" ca="1" si="43">$B$11*J36+$B$10</f>
        <v>8.5900000000000004E-2</v>
      </c>
      <c r="K37" s="35">
        <f t="shared" ref="K37" ca="1" si="44">$B$11*K36+$B$10</f>
        <v>8.5900000000000004E-2</v>
      </c>
      <c r="L37" s="35">
        <f t="shared" ref="L37" ca="1" si="45">$B$11*L36+$B$10</f>
        <v>8.5900000000000004E-2</v>
      </c>
      <c r="M37" s="35">
        <f t="shared" ref="M37" ca="1" si="46">$B$11*M36+$B$10</f>
        <v>8.5900000000000004E-2</v>
      </c>
    </row>
    <row r="38" spans="1:17" s="41" customFormat="1" ht="13.5">
      <c r="B38" s="29" t="s">
        <v>270</v>
      </c>
      <c r="C38" s="31"/>
      <c r="D38" s="31">
        <f ca="1">C40*D37</f>
        <v>40223.719301451514</v>
      </c>
      <c r="E38" s="31">
        <f ca="1">D40*E37</f>
        <v>44459.236670965365</v>
      </c>
      <c r="F38" s="31">
        <f t="shared" ref="F38" ca="1" si="47">E40*F37</f>
        <v>49200.760945260532</v>
      </c>
      <c r="G38" s="31">
        <f t="shared" ref="G38" ca="1" si="48">F40*G37</f>
        <v>54515.858019191903</v>
      </c>
      <c r="H38" s="31">
        <f t="shared" ref="H38" ca="1" si="49">G40*H37</f>
        <v>60481.895787077068</v>
      </c>
      <c r="I38" s="31">
        <f t="shared" ref="I38" ca="1" si="50">H40*I37</f>
        <v>65677.29063518699</v>
      </c>
      <c r="J38" s="31">
        <f t="shared" ref="J38" ca="1" si="51">I40*J37</f>
        <v>71318.969900749536</v>
      </c>
      <c r="K38" s="31">
        <f t="shared" ref="K38" ca="1" si="52">J40*K37</f>
        <v>77445.269415223927</v>
      </c>
      <c r="L38" s="31">
        <f t="shared" ref="L38" ca="1" si="53">K40*L37</f>
        <v>84097.818057991666</v>
      </c>
      <c r="M38" s="31">
        <f t="shared" ref="M38" ca="1" si="54">L40*M37</f>
        <v>91321.820629173148</v>
      </c>
    </row>
    <row r="39" spans="1:17" s="41" customFormat="1" ht="13.5">
      <c r="B39" s="29" t="s">
        <v>271</v>
      </c>
      <c r="C39" s="30"/>
      <c r="D39" s="30">
        <f ca="1">D38-C40*$B$10</f>
        <v>-4074.6529985484885</v>
      </c>
      <c r="E39" s="30">
        <f ca="1">E38-D40*$B$10</f>
        <v>-3294.3531170293209</v>
      </c>
      <c r="F39" s="30">
        <f t="shared" ref="F39" ca="1" si="55">F38-E40*$B$10</f>
        <v>-2371.8772727700707</v>
      </c>
      <c r="G39" s="30">
        <f t="shared" ref="G39" ca="1" si="56">G38-F40*$B$10</f>
        <v>-1283.125564036578</v>
      </c>
      <c r="H39" s="30">
        <f t="shared" ref="H39" ca="1" si="57">H38-G40*$B$10</f>
        <v>0</v>
      </c>
      <c r="I39" s="30">
        <f t="shared" ref="I39" ca="1" si="58">I38-H40*$B$10</f>
        <v>0</v>
      </c>
      <c r="J39" s="30">
        <f t="shared" ref="J39" ca="1" si="59">J38-I40*$B$10</f>
        <v>0</v>
      </c>
      <c r="K39" s="30">
        <f t="shared" ref="K39" ca="1" si="60">K38-J40*$B$10</f>
        <v>0</v>
      </c>
      <c r="L39" s="30">
        <f t="shared" ref="L39" ca="1" si="61">L38-K40*$B$10</f>
        <v>0</v>
      </c>
      <c r="M39" s="30">
        <f t="shared" ref="M39" ca="1" si="62">M38-L40*$B$10</f>
        <v>0</v>
      </c>
    </row>
    <row r="40" spans="1:17" s="41" customFormat="1" ht="13.5">
      <c r="B40" s="29" t="s">
        <v>272</v>
      </c>
      <c r="C40" s="43">
        <f ca="1">$B$8</f>
        <v>515697</v>
      </c>
      <c r="D40" s="31">
        <f ca="1">C40+D38</f>
        <v>555920.71930145146</v>
      </c>
      <c r="E40" s="31">
        <f ca="1">D40+E38</f>
        <v>600379.95597241679</v>
      </c>
      <c r="F40" s="31">
        <f t="shared" ref="F40:M40" ca="1" si="63">E40+F38</f>
        <v>649580.71691767732</v>
      </c>
      <c r="G40" s="31">
        <f t="shared" ca="1" si="63"/>
        <v>704096.5749368692</v>
      </c>
      <c r="H40" s="31">
        <f t="shared" ca="1" si="63"/>
        <v>764578.47072394623</v>
      </c>
      <c r="I40" s="31">
        <f t="shared" ca="1" si="63"/>
        <v>830255.76135913318</v>
      </c>
      <c r="J40" s="31">
        <f t="shared" ca="1" si="63"/>
        <v>901574.73125988268</v>
      </c>
      <c r="K40" s="31">
        <f t="shared" ca="1" si="63"/>
        <v>979020.00067510665</v>
      </c>
      <c r="L40" s="31">
        <f t="shared" ca="1" si="63"/>
        <v>1063117.8187330982</v>
      </c>
      <c r="M40" s="31">
        <f t="shared" ca="1" si="63"/>
        <v>1154439.6393622714</v>
      </c>
    </row>
    <row r="41" spans="1:17" s="41" customFormat="1" ht="13.5">
      <c r="A41" s="26"/>
      <c r="B41" s="32" t="s">
        <v>264</v>
      </c>
      <c r="C41" s="33">
        <f ca="1">NPV($B$10,D39:M39)</f>
        <v>-9321.2502747924646</v>
      </c>
    </row>
    <row r="42" spans="1:17" s="41" customFormat="1" ht="13.5">
      <c r="B42" s="29" t="s">
        <v>265</v>
      </c>
      <c r="C42" s="44">
        <f ca="1">C40+C41</f>
        <v>506375.74972520751</v>
      </c>
    </row>
    <row r="43" spans="1:17" s="41" customFormat="1" ht="13.5">
      <c r="B43" s="32" t="s">
        <v>266</v>
      </c>
      <c r="C43" s="33">
        <f ca="1">C42/(1+$B$10)^$B$13</f>
        <v>440726.8218810723</v>
      </c>
    </row>
    <row r="47" spans="1:17">
      <c r="B47">
        <v>1</v>
      </c>
      <c r="C47">
        <v>2</v>
      </c>
      <c r="D47">
        <v>3</v>
      </c>
      <c r="E47">
        <f ca="1">IF($A$1&gt;0,4,"")</f>
        <v>4</v>
      </c>
      <c r="F47">
        <f ca="1">IF($A$1&gt;1,5,"")</f>
        <v>5</v>
      </c>
      <c r="G47">
        <f ca="1">IF($A$1&gt;2,6,"")</f>
        <v>6</v>
      </c>
      <c r="H47">
        <f ca="1">MAX(D47:G47)+1</f>
        <v>7</v>
      </c>
      <c r="I47">
        <f ca="1">H47+1</f>
        <v>8</v>
      </c>
      <c r="J47">
        <f t="shared" ref="J47:Q47" ca="1" si="64">I47+1</f>
        <v>9</v>
      </c>
      <c r="K47">
        <f t="shared" ca="1" si="64"/>
        <v>10</v>
      </c>
      <c r="L47">
        <f t="shared" ca="1" si="64"/>
        <v>11</v>
      </c>
      <c r="M47">
        <f t="shared" ca="1" si="64"/>
        <v>12</v>
      </c>
      <c r="N47">
        <f t="shared" ca="1" si="64"/>
        <v>13</v>
      </c>
      <c r="O47">
        <f t="shared" ca="1" si="64"/>
        <v>14</v>
      </c>
      <c r="P47">
        <f t="shared" ca="1" si="64"/>
        <v>15</v>
      </c>
      <c r="Q47">
        <f t="shared" ca="1" si="64"/>
        <v>16</v>
      </c>
    </row>
    <row r="48" spans="1:17">
      <c r="B48" s="12">
        <f ca="1">B2</f>
        <v>41974</v>
      </c>
      <c r="C48" s="12">
        <f t="shared" ref="C48:G48" ca="1" si="65">C2</f>
        <v>42339</v>
      </c>
      <c r="D48" s="12">
        <f t="shared" ca="1" si="65"/>
        <v>42705</v>
      </c>
      <c r="E48" s="12">
        <f t="shared" ca="1" si="65"/>
        <v>43073</v>
      </c>
      <c r="F48" s="12">
        <f t="shared" ca="1" si="65"/>
        <v>43438</v>
      </c>
      <c r="G48" s="12">
        <f t="shared" ca="1" si="65"/>
        <v>43803</v>
      </c>
      <c r="H48" s="12">
        <f ca="1">D15</f>
        <v>44170</v>
      </c>
      <c r="I48" s="12">
        <f t="shared" ref="I48:P48" ca="1" si="66">E15</f>
        <v>44535</v>
      </c>
      <c r="J48" s="12">
        <f t="shared" ca="1" si="66"/>
        <v>44900</v>
      </c>
      <c r="K48" s="12">
        <f t="shared" ca="1" si="66"/>
        <v>45265</v>
      </c>
      <c r="L48" s="12">
        <f t="shared" ca="1" si="66"/>
        <v>45630</v>
      </c>
      <c r="M48" s="12">
        <f t="shared" ca="1" si="66"/>
        <v>45995</v>
      </c>
      <c r="N48" s="12">
        <f t="shared" ca="1" si="66"/>
        <v>46360</v>
      </c>
      <c r="O48" s="12">
        <f t="shared" ca="1" si="66"/>
        <v>46725</v>
      </c>
      <c r="P48" s="12">
        <f t="shared" ca="1" si="66"/>
        <v>47090</v>
      </c>
      <c r="Q48" s="12">
        <f ca="1">M15</f>
        <v>47455</v>
      </c>
    </row>
    <row r="49" spans="1:17">
      <c r="A49" t="s">
        <v>280</v>
      </c>
      <c r="B49" s="13">
        <f ca="1">B$3</f>
        <v>1806</v>
      </c>
      <c r="C49" s="13">
        <f t="shared" ref="C49:G51" ca="1" si="67">C$3</f>
        <v>13633</v>
      </c>
      <c r="D49" s="13">
        <f t="shared" ca="1" si="67"/>
        <v>27901</v>
      </c>
      <c r="E49" s="13">
        <f t="shared" ca="1" si="67"/>
        <v>32386</v>
      </c>
      <c r="F49" s="13">
        <f t="shared" ca="1" si="67"/>
        <v>34695</v>
      </c>
      <c r="G49" s="13">
        <f t="shared" ca="1" si="67"/>
        <v>38277</v>
      </c>
      <c r="H49" s="13">
        <f ca="1">D$18</f>
        <v>39205.05605181439</v>
      </c>
      <c r="I49" s="13">
        <f t="shared" ref="I49:Q49" ca="1" si="68">E$18</f>
        <v>42185.558982849296</v>
      </c>
      <c r="J49" s="13">
        <f t="shared" ca="1" si="68"/>
        <v>45392.64997717295</v>
      </c>
      <c r="K49" s="13">
        <f t="shared" ca="1" si="68"/>
        <v>48843.555037112128</v>
      </c>
      <c r="L49" s="13">
        <f t="shared" ca="1" si="68"/>
        <v>52556.809744818129</v>
      </c>
      <c r="M49" s="13">
        <f t="shared" ca="1" si="68"/>
        <v>56552.358821020127</v>
      </c>
      <c r="N49" s="13">
        <f t="shared" ca="1" si="68"/>
        <v>60851.663252576669</v>
      </c>
      <c r="O49" s="13">
        <f t="shared" ca="1" si="68"/>
        <v>65477.815564231387</v>
      </c>
      <c r="P49" s="13">
        <f t="shared" ca="1" si="68"/>
        <v>70455.663853723192</v>
      </c>
      <c r="Q49" s="13">
        <f t="shared" ca="1" si="68"/>
        <v>75811.945256471343</v>
      </c>
    </row>
    <row r="50" spans="1:17">
      <c r="A50" t="s">
        <v>323</v>
      </c>
      <c r="B50" s="13">
        <f t="shared" ref="B50:B51" ca="1" si="69">B$3</f>
        <v>1806</v>
      </c>
      <c r="C50" s="13">
        <f t="shared" ca="1" si="67"/>
        <v>13633</v>
      </c>
      <c r="D50" s="13">
        <f t="shared" ca="1" si="67"/>
        <v>27901</v>
      </c>
      <c r="E50" s="13">
        <f t="shared" ca="1" si="67"/>
        <v>32386</v>
      </c>
      <c r="F50" s="13">
        <f t="shared" ca="1" si="67"/>
        <v>34695</v>
      </c>
      <c r="G50" s="13">
        <f t="shared" ca="1" si="67"/>
        <v>38277</v>
      </c>
      <c r="H50" s="13">
        <f ca="1">D$28</f>
        <v>39714.387676632956</v>
      </c>
      <c r="I50" s="13">
        <f t="shared" ref="I50:Q50" ca="1" si="70">E$28</f>
        <v>43321.391737269267</v>
      </c>
      <c r="J50" s="13">
        <f t="shared" ca="1" si="70"/>
        <v>47291.74843967233</v>
      </c>
      <c r="K50" s="13">
        <f t="shared" ca="1" si="70"/>
        <v>51665.204015387979</v>
      </c>
      <c r="L50" s="13">
        <f t="shared" ca="1" si="70"/>
        <v>56486.158089843942</v>
      </c>
      <c r="M50" s="13">
        <f t="shared" ca="1" si="70"/>
        <v>61804.241303230825</v>
      </c>
      <c r="N50" s="13">
        <f t="shared" ca="1" si="70"/>
        <v>67674.968413278591</v>
      </c>
      <c r="O50" s="13">
        <f t="shared" ca="1" si="70"/>
        <v>74160.477208161159</v>
      </c>
      <c r="P50" s="13">
        <f t="shared" ca="1" si="70"/>
        <v>81330.365031157737</v>
      </c>
      <c r="Q50" s="13">
        <f t="shared" ca="1" si="70"/>
        <v>89262.636410467137</v>
      </c>
    </row>
    <row r="51" spans="1:17">
      <c r="A51" t="s">
        <v>324</v>
      </c>
      <c r="B51" s="13">
        <f t="shared" ca="1" si="69"/>
        <v>1806</v>
      </c>
      <c r="C51" s="13">
        <f t="shared" ca="1" si="67"/>
        <v>13633</v>
      </c>
      <c r="D51" s="13">
        <f t="shared" ca="1" si="67"/>
        <v>27901</v>
      </c>
      <c r="E51" s="13">
        <f t="shared" ca="1" si="67"/>
        <v>32386</v>
      </c>
      <c r="F51" s="13">
        <f t="shared" ca="1" si="67"/>
        <v>34695</v>
      </c>
      <c r="G51" s="13">
        <f t="shared" ca="1" si="67"/>
        <v>38277</v>
      </c>
      <c r="H51" s="13">
        <f ca="1">D$38</f>
        <v>40223.719301451514</v>
      </c>
      <c r="I51" s="13">
        <f t="shared" ref="I51:Q51" ca="1" si="71">E$38</f>
        <v>44459.236670965365</v>
      </c>
      <c r="J51" s="13">
        <f t="shared" ca="1" si="71"/>
        <v>49200.760945260532</v>
      </c>
      <c r="K51" s="13">
        <f t="shared" ca="1" si="71"/>
        <v>54515.858019191903</v>
      </c>
      <c r="L51" s="13">
        <f t="shared" ca="1" si="71"/>
        <v>60481.895787077068</v>
      </c>
      <c r="M51" s="13">
        <f t="shared" ca="1" si="71"/>
        <v>65677.29063518699</v>
      </c>
      <c r="N51" s="13">
        <f t="shared" ca="1" si="71"/>
        <v>71318.969900749536</v>
      </c>
      <c r="O51" s="13">
        <f t="shared" ca="1" si="71"/>
        <v>77445.269415223927</v>
      </c>
      <c r="P51" s="13">
        <f t="shared" ca="1" si="71"/>
        <v>84097.818057991666</v>
      </c>
      <c r="Q51" s="13">
        <f t="shared" ca="1" si="71"/>
        <v>91321.820629173148</v>
      </c>
    </row>
    <row r="52" spans="1:17"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</row>
    <row r="53" spans="1:17"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N53">
        <v>13</v>
      </c>
    </row>
    <row r="54" spans="1:17">
      <c r="A54">
        <f ca="1">3-A1</f>
        <v>0</v>
      </c>
      <c r="B54" s="12">
        <f ca="1">HLOOKUP(B$53,$B$47:$Q$51,2,FALSE)</f>
        <v>41974</v>
      </c>
      <c r="C54" s="12">
        <f t="shared" ref="C54:N54" ca="1" si="72">HLOOKUP(C$53,$B$47:$Q$51,2,FALSE)</f>
        <v>42339</v>
      </c>
      <c r="D54" s="12">
        <f t="shared" ca="1" si="72"/>
        <v>42705</v>
      </c>
      <c r="E54" s="12">
        <f t="shared" ca="1" si="72"/>
        <v>43073</v>
      </c>
      <c r="F54" s="12">
        <f t="shared" ca="1" si="72"/>
        <v>43438</v>
      </c>
      <c r="G54" s="12">
        <f t="shared" ca="1" si="72"/>
        <v>43803</v>
      </c>
      <c r="H54" s="12">
        <f t="shared" ca="1" si="72"/>
        <v>44170</v>
      </c>
      <c r="I54" s="12">
        <f t="shared" ca="1" si="72"/>
        <v>44535</v>
      </c>
      <c r="J54" s="12">
        <f t="shared" ca="1" si="72"/>
        <v>44900</v>
      </c>
      <c r="K54" s="12">
        <f t="shared" ca="1" si="72"/>
        <v>45265</v>
      </c>
      <c r="L54" s="12">
        <f t="shared" ca="1" si="72"/>
        <v>45630</v>
      </c>
      <c r="M54" s="12">
        <f t="shared" ca="1" si="72"/>
        <v>45995</v>
      </c>
      <c r="N54" s="12">
        <f t="shared" ca="1" si="72"/>
        <v>46360</v>
      </c>
    </row>
    <row r="55" spans="1:17">
      <c r="A55" t="s">
        <v>280</v>
      </c>
      <c r="B55" s="13">
        <f ca="1">HLOOKUP(B$53,$B$47:$Q$51,3,FALSE)</f>
        <v>1806</v>
      </c>
      <c r="C55" s="13">
        <f t="shared" ref="C55:N55" ca="1" si="73">HLOOKUP(C$53,$B$47:$Q$51,3,FALSE)</f>
        <v>13633</v>
      </c>
      <c r="D55" s="13">
        <f t="shared" ca="1" si="73"/>
        <v>27901</v>
      </c>
      <c r="E55" s="13">
        <f t="shared" ca="1" si="73"/>
        <v>32386</v>
      </c>
      <c r="F55" s="13">
        <f t="shared" ca="1" si="73"/>
        <v>34695</v>
      </c>
      <c r="G55" s="13">
        <f t="shared" ca="1" si="73"/>
        <v>38277</v>
      </c>
      <c r="H55" s="13">
        <f t="shared" ca="1" si="73"/>
        <v>39205.05605181439</v>
      </c>
      <c r="I55" s="13">
        <f t="shared" ca="1" si="73"/>
        <v>42185.558982849296</v>
      </c>
      <c r="J55" s="13">
        <f t="shared" ca="1" si="73"/>
        <v>45392.64997717295</v>
      </c>
      <c r="K55" s="13">
        <f t="shared" ca="1" si="73"/>
        <v>48843.555037112128</v>
      </c>
      <c r="L55" s="13">
        <f t="shared" ca="1" si="73"/>
        <v>52556.809744818129</v>
      </c>
      <c r="M55" s="13">
        <f t="shared" ca="1" si="73"/>
        <v>56552.358821020127</v>
      </c>
      <c r="N55" s="13">
        <f t="shared" ca="1" si="73"/>
        <v>60851.663252576669</v>
      </c>
    </row>
    <row r="56" spans="1:17">
      <c r="A56" t="s">
        <v>323</v>
      </c>
      <c r="B56" s="13">
        <f ca="1">HLOOKUP(B$53,$B$47:$Q$51,4,FALSE)</f>
        <v>1806</v>
      </c>
      <c r="C56" s="13">
        <f t="shared" ref="C56:N56" ca="1" si="74">HLOOKUP(C$53,$B$47:$Q$51,4,FALSE)</f>
        <v>13633</v>
      </c>
      <c r="D56" s="13">
        <f t="shared" ca="1" si="74"/>
        <v>27901</v>
      </c>
      <c r="E56" s="13">
        <f t="shared" ca="1" si="74"/>
        <v>32386</v>
      </c>
      <c r="F56" s="13">
        <f t="shared" ca="1" si="74"/>
        <v>34695</v>
      </c>
      <c r="G56" s="13">
        <f t="shared" ca="1" si="74"/>
        <v>38277</v>
      </c>
      <c r="H56" s="13">
        <f t="shared" ca="1" si="74"/>
        <v>39714.387676632956</v>
      </c>
      <c r="I56" s="13">
        <f t="shared" ca="1" si="74"/>
        <v>43321.391737269267</v>
      </c>
      <c r="J56" s="13">
        <f t="shared" ca="1" si="74"/>
        <v>47291.74843967233</v>
      </c>
      <c r="K56" s="13">
        <f t="shared" ca="1" si="74"/>
        <v>51665.204015387979</v>
      </c>
      <c r="L56" s="13">
        <f t="shared" ca="1" si="74"/>
        <v>56486.158089843942</v>
      </c>
      <c r="M56" s="13">
        <f t="shared" ca="1" si="74"/>
        <v>61804.241303230825</v>
      </c>
      <c r="N56" s="13">
        <f t="shared" ca="1" si="74"/>
        <v>67674.968413278591</v>
      </c>
    </row>
    <row r="57" spans="1:17">
      <c r="A57" t="s">
        <v>324</v>
      </c>
      <c r="B57" s="13">
        <f ca="1">HLOOKUP(B$53,$B$47:$Q$51,5,FALSE)</f>
        <v>1806</v>
      </c>
      <c r="C57" s="13">
        <f t="shared" ref="C57:N57" ca="1" si="75">HLOOKUP(C$53,$B$47:$Q$51,5,FALSE)</f>
        <v>13633</v>
      </c>
      <c r="D57" s="13">
        <f t="shared" ca="1" si="75"/>
        <v>27901</v>
      </c>
      <c r="E57" s="13">
        <f t="shared" ca="1" si="75"/>
        <v>32386</v>
      </c>
      <c r="F57" s="13">
        <f t="shared" ca="1" si="75"/>
        <v>34695</v>
      </c>
      <c r="G57" s="13">
        <f t="shared" ca="1" si="75"/>
        <v>38277</v>
      </c>
      <c r="H57" s="13">
        <f t="shared" ca="1" si="75"/>
        <v>40223.719301451514</v>
      </c>
      <c r="I57" s="13">
        <f t="shared" ca="1" si="75"/>
        <v>44459.236670965365</v>
      </c>
      <c r="J57" s="13">
        <f t="shared" ca="1" si="75"/>
        <v>49200.760945260532</v>
      </c>
      <c r="K57" s="13">
        <f t="shared" ca="1" si="75"/>
        <v>54515.858019191903</v>
      </c>
      <c r="L57" s="13">
        <f t="shared" ca="1" si="75"/>
        <v>60481.895787077068</v>
      </c>
      <c r="M57" s="13">
        <f t="shared" ca="1" si="75"/>
        <v>65677.29063518699</v>
      </c>
      <c r="N57" s="13">
        <f t="shared" ca="1" si="75"/>
        <v>71318.969900749536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FN_Snapshot</vt:lpstr>
      <vt:lpstr>FN_재무제표</vt:lpstr>
      <vt:lpstr>FN_컨센서스</vt:lpstr>
      <vt:lpstr>결과</vt:lpstr>
      <vt:lpstr>Data</vt:lpstr>
      <vt:lpstr>RIM 계산</vt:lpstr>
    </vt:vector>
  </TitlesOfParts>
  <Company>Datory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Kyungin</dc:creator>
  <cp:lastModifiedBy>user</cp:lastModifiedBy>
  <dcterms:created xsi:type="dcterms:W3CDTF">2016-04-18T04:53:31Z</dcterms:created>
  <dcterms:modified xsi:type="dcterms:W3CDTF">2018-03-29T06:46:41Z</dcterms:modified>
</cp:coreProperties>
</file>