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Q00004\Desktop\CF LIQUIDATION\"/>
    </mc:Choice>
  </mc:AlternateContent>
  <bookViews>
    <workbookView xWindow="-105" yWindow="-105" windowWidth="20730" windowHeight="11760" activeTab="2"/>
  </bookViews>
  <sheets>
    <sheet name="16211-LEAN" sheetId="1" r:id="rId1"/>
    <sheet name="16211-PEAK" sheetId="2" r:id="rId2"/>
    <sheet name="DR" sheetId="3" r:id="rId3"/>
    <sheet name="summary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5" i="3" l="1"/>
  <c r="F75" i="3"/>
  <c r="F72" i="3"/>
  <c r="G72" i="3"/>
  <c r="G65" i="3"/>
  <c r="G46" i="3"/>
  <c r="G44" i="3"/>
  <c r="G39" i="3"/>
  <c r="G40" i="3" s="1"/>
  <c r="G48" i="3" s="1"/>
  <c r="G35" i="3"/>
  <c r="G30" i="3"/>
  <c r="G27" i="3"/>
  <c r="G26" i="3"/>
  <c r="G25" i="3"/>
  <c r="G24" i="3"/>
  <c r="G21" i="3"/>
  <c r="G20" i="3"/>
  <c r="G19" i="3"/>
  <c r="G29" i="3" s="1"/>
  <c r="G31" i="3" s="1"/>
  <c r="G15" i="3"/>
  <c r="F46" i="3"/>
  <c r="F44" i="3"/>
  <c r="F39" i="3"/>
  <c r="F40" i="3" s="1"/>
  <c r="F30" i="3"/>
  <c r="F27" i="3"/>
  <c r="F26" i="3"/>
  <c r="F24" i="3"/>
  <c r="F21" i="3"/>
  <c r="F20" i="3"/>
  <c r="F19" i="3"/>
  <c r="F15" i="3"/>
  <c r="F25" i="3" s="1"/>
  <c r="F29" i="3" l="1"/>
  <c r="F31" i="3" s="1"/>
  <c r="F35" i="3" s="1"/>
  <c r="F48" i="3" s="1"/>
  <c r="F65" i="3" s="1"/>
  <c r="I65" i="3" s="1"/>
  <c r="J20" i="4" l="1"/>
  <c r="C63" i="1" l="1"/>
  <c r="C65" i="2"/>
  <c r="K34" i="1"/>
  <c r="M66" i="2" l="1"/>
  <c r="M65" i="2"/>
  <c r="M64" i="1"/>
  <c r="M63" i="1"/>
  <c r="K34" i="2" l="1"/>
  <c r="J34" i="2"/>
  <c r="I34" i="2"/>
  <c r="H34" i="2"/>
  <c r="G34" i="2"/>
  <c r="F34" i="2"/>
  <c r="E34" i="2"/>
  <c r="K31" i="1"/>
  <c r="J31" i="1"/>
  <c r="I31" i="1"/>
  <c r="H31" i="1"/>
  <c r="G31" i="1"/>
  <c r="F31" i="1"/>
  <c r="E31" i="1"/>
  <c r="D13" i="4" l="1"/>
  <c r="I13" i="4" s="1"/>
  <c r="E29" i="3"/>
  <c r="E31" i="3" s="1"/>
  <c r="E35" i="3" s="1"/>
  <c r="H21" i="3"/>
  <c r="H20" i="3"/>
  <c r="H19" i="3"/>
  <c r="H18" i="3"/>
  <c r="H15" i="3"/>
  <c r="C61" i="3"/>
  <c r="I61" i="3" s="1"/>
  <c r="L26" i="1"/>
  <c r="K26" i="1"/>
  <c r="J26" i="1"/>
  <c r="I26" i="1"/>
  <c r="H26" i="1"/>
  <c r="G26" i="1"/>
  <c r="F26" i="1"/>
  <c r="E26" i="1"/>
  <c r="L45" i="1"/>
  <c r="L47" i="1" s="1"/>
  <c r="K45" i="1"/>
  <c r="K47" i="1" s="1"/>
  <c r="J45" i="1"/>
  <c r="J47" i="1" s="1"/>
  <c r="L40" i="1"/>
  <c r="L41" i="1" s="1"/>
  <c r="K40" i="1"/>
  <c r="K41" i="1" s="1"/>
  <c r="J40" i="1"/>
  <c r="J41" i="1" s="1"/>
  <c r="C37" i="2" l="1"/>
  <c r="C34" i="1"/>
  <c r="I68" i="3" l="1"/>
  <c r="C56" i="3"/>
  <c r="M71" i="1"/>
  <c r="M56" i="2"/>
  <c r="M58" i="2"/>
  <c r="M60" i="2"/>
  <c r="M73" i="2" l="1"/>
  <c r="D40" i="4"/>
  <c r="D39" i="4"/>
  <c r="D31" i="4"/>
  <c r="D30" i="4"/>
  <c r="D25" i="4"/>
  <c r="D24" i="4"/>
  <c r="D17" i="4"/>
  <c r="E86" i="3"/>
  <c r="E85" i="3"/>
  <c r="I81" i="3"/>
  <c r="H72" i="3"/>
  <c r="H75" i="3" s="1"/>
  <c r="H77" i="3" s="1"/>
  <c r="E72" i="3"/>
  <c r="E75" i="3" s="1"/>
  <c r="E77" i="3" s="1"/>
  <c r="I55" i="3"/>
  <c r="I54" i="3"/>
  <c r="I53" i="3"/>
  <c r="I52" i="3"/>
  <c r="H44" i="3"/>
  <c r="H39" i="3"/>
  <c r="C38" i="3"/>
  <c r="K33" i="3"/>
  <c r="K35" i="3" s="1"/>
  <c r="K36" i="3" s="1"/>
  <c r="J33" i="3"/>
  <c r="J36" i="3" s="1"/>
  <c r="C33" i="3"/>
  <c r="I20" i="4" s="1"/>
  <c r="K17" i="4" s="1"/>
  <c r="L98" i="2"/>
  <c r="G98" i="2"/>
  <c r="F98" i="2"/>
  <c r="L97" i="2"/>
  <c r="K97" i="2"/>
  <c r="J97" i="2"/>
  <c r="I97" i="2"/>
  <c r="H97" i="2"/>
  <c r="G97" i="2"/>
  <c r="F97" i="2"/>
  <c r="C92" i="2"/>
  <c r="M59" i="2"/>
  <c r="M57" i="2"/>
  <c r="M62" i="2" s="1"/>
  <c r="M72" i="2" s="1"/>
  <c r="N51" i="2"/>
  <c r="L50" i="2"/>
  <c r="I50" i="2"/>
  <c r="L48" i="2"/>
  <c r="K48" i="2"/>
  <c r="K50" i="2" s="1"/>
  <c r="J48" i="2"/>
  <c r="J50" i="2" s="1"/>
  <c r="I48" i="2"/>
  <c r="H48" i="2"/>
  <c r="H50" i="2" s="1"/>
  <c r="G48" i="2"/>
  <c r="G50" i="2" s="1"/>
  <c r="F48" i="2"/>
  <c r="F50" i="2" s="1"/>
  <c r="N43" i="2"/>
  <c r="L43" i="2"/>
  <c r="L44" i="2" s="1"/>
  <c r="K43" i="2"/>
  <c r="K44" i="2" s="1"/>
  <c r="J43" i="2"/>
  <c r="J44" i="2" s="1"/>
  <c r="I43" i="2"/>
  <c r="I44" i="2" s="1"/>
  <c r="H43" i="2"/>
  <c r="H44" i="2" s="1"/>
  <c r="G43" i="2"/>
  <c r="G44" i="2" s="1"/>
  <c r="F43" i="2"/>
  <c r="F44" i="2" s="1"/>
  <c r="C42" i="2"/>
  <c r="K98" i="2"/>
  <c r="J98" i="2"/>
  <c r="I98" i="2"/>
  <c r="H98" i="2"/>
  <c r="E98" i="2"/>
  <c r="L31" i="2"/>
  <c r="H27" i="3" s="1"/>
  <c r="K31" i="2"/>
  <c r="J31" i="2"/>
  <c r="I31" i="2"/>
  <c r="H31" i="2"/>
  <c r="G31" i="2"/>
  <c r="F31" i="2"/>
  <c r="E31" i="2"/>
  <c r="L30" i="2"/>
  <c r="H26" i="3" s="1"/>
  <c r="K30" i="2"/>
  <c r="J30" i="2"/>
  <c r="I30" i="2"/>
  <c r="H30" i="2"/>
  <c r="G30" i="2"/>
  <c r="F30" i="2"/>
  <c r="E30" i="2"/>
  <c r="L28" i="2"/>
  <c r="H24" i="3" s="1"/>
  <c r="K28" i="2"/>
  <c r="J28" i="2"/>
  <c r="I28" i="2"/>
  <c r="H28" i="2"/>
  <c r="G28" i="2"/>
  <c r="F28" i="2"/>
  <c r="E28" i="2"/>
  <c r="F26" i="2"/>
  <c r="E26" i="2"/>
  <c r="L25" i="2"/>
  <c r="K25" i="2"/>
  <c r="J25" i="2"/>
  <c r="I25" i="2"/>
  <c r="H25" i="2"/>
  <c r="G25" i="2"/>
  <c r="F25" i="2"/>
  <c r="L24" i="2"/>
  <c r="K24" i="2"/>
  <c r="J24" i="2"/>
  <c r="I24" i="2"/>
  <c r="H24" i="2"/>
  <c r="G24" i="2"/>
  <c r="F24" i="2"/>
  <c r="L23" i="2"/>
  <c r="K23" i="2"/>
  <c r="J23" i="2"/>
  <c r="I23" i="2"/>
  <c r="H23" i="2"/>
  <c r="G23" i="2"/>
  <c r="F23" i="2"/>
  <c r="L22" i="2"/>
  <c r="L33" i="2" s="1"/>
  <c r="L35" i="2" s="1"/>
  <c r="L39" i="2" s="1"/>
  <c r="K22" i="2"/>
  <c r="J22" i="2"/>
  <c r="I22" i="2"/>
  <c r="H22" i="2"/>
  <c r="G22" i="2"/>
  <c r="F22" i="2"/>
  <c r="E19" i="2"/>
  <c r="E97" i="2" s="1"/>
  <c r="L18" i="2"/>
  <c r="L29" i="2" s="1"/>
  <c r="H25" i="3" s="1"/>
  <c r="K18" i="2"/>
  <c r="K29" i="2" s="1"/>
  <c r="J18" i="2"/>
  <c r="J29" i="2" s="1"/>
  <c r="I18" i="2"/>
  <c r="I29" i="2" s="1"/>
  <c r="H18" i="2"/>
  <c r="H29" i="2" s="1"/>
  <c r="G18" i="2"/>
  <c r="G29" i="2" s="1"/>
  <c r="F18" i="2"/>
  <c r="F29" i="2" s="1"/>
  <c r="C9" i="2"/>
  <c r="L111" i="1"/>
  <c r="L110" i="1"/>
  <c r="K110" i="1"/>
  <c r="J110" i="1"/>
  <c r="I110" i="1"/>
  <c r="H110" i="1"/>
  <c r="G110" i="1"/>
  <c r="F110" i="1"/>
  <c r="E110" i="1"/>
  <c r="C104" i="1"/>
  <c r="C97" i="1"/>
  <c r="C90" i="1"/>
  <c r="M57" i="1"/>
  <c r="M56" i="1"/>
  <c r="M55" i="1"/>
  <c r="M54" i="1"/>
  <c r="C54" i="1"/>
  <c r="M53" i="1"/>
  <c r="I47" i="1"/>
  <c r="G47" i="1"/>
  <c r="I45" i="1"/>
  <c r="H45" i="1"/>
  <c r="H47" i="1" s="1"/>
  <c r="G45" i="1"/>
  <c r="F45" i="1"/>
  <c r="F47" i="1" s="1"/>
  <c r="E45" i="1"/>
  <c r="E47" i="1" s="1"/>
  <c r="G41" i="1"/>
  <c r="N40" i="1"/>
  <c r="I40" i="1"/>
  <c r="I41" i="1" s="1"/>
  <c r="H40" i="1"/>
  <c r="H41" i="1" s="1"/>
  <c r="G40" i="1"/>
  <c r="F40" i="1"/>
  <c r="F41" i="1" s="1"/>
  <c r="E40" i="1"/>
  <c r="E41" i="1" s="1"/>
  <c r="C39" i="1"/>
  <c r="N36" i="1"/>
  <c r="K111" i="1"/>
  <c r="J111" i="1"/>
  <c r="J112" i="1" s="1"/>
  <c r="I111" i="1"/>
  <c r="H111" i="1"/>
  <c r="G111" i="1"/>
  <c r="F111" i="1"/>
  <c r="E111" i="1"/>
  <c r="N29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5" i="1"/>
  <c r="K25" i="1"/>
  <c r="J25" i="1"/>
  <c r="I25" i="1"/>
  <c r="I30" i="1" s="1"/>
  <c r="I32" i="1" s="1"/>
  <c r="H25" i="1"/>
  <c r="G25" i="1"/>
  <c r="F25" i="1"/>
  <c r="E25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K20" i="1"/>
  <c r="J20" i="1"/>
  <c r="I20" i="1"/>
  <c r="H20" i="1"/>
  <c r="G20" i="1"/>
  <c r="F20" i="1"/>
  <c r="E20" i="1"/>
  <c r="L19" i="1"/>
  <c r="K19" i="1"/>
  <c r="J19" i="1"/>
  <c r="J30" i="1" s="1"/>
  <c r="J32" i="1" s="1"/>
  <c r="J36" i="1" s="1"/>
  <c r="J49" i="1" s="1"/>
  <c r="I19" i="1"/>
  <c r="H19" i="1"/>
  <c r="G19" i="1"/>
  <c r="F19" i="1"/>
  <c r="E19" i="1"/>
  <c r="L15" i="1"/>
  <c r="K15" i="1"/>
  <c r="J15" i="1"/>
  <c r="I15" i="1"/>
  <c r="H15" i="1"/>
  <c r="G15" i="1"/>
  <c r="F15" i="1"/>
  <c r="E15" i="1"/>
  <c r="C9" i="1"/>
  <c r="E22" i="2" l="1"/>
  <c r="E23" i="2"/>
  <c r="K37" i="3"/>
  <c r="L17" i="4"/>
  <c r="K18" i="4"/>
  <c r="K112" i="1"/>
  <c r="J99" i="2"/>
  <c r="L99" i="2"/>
  <c r="E112" i="1"/>
  <c r="L112" i="1"/>
  <c r="G33" i="2"/>
  <c r="G35" i="2" s="1"/>
  <c r="G39" i="2" s="1"/>
  <c r="G52" i="2" s="1"/>
  <c r="I56" i="3"/>
  <c r="I67" i="3" s="1"/>
  <c r="K99" i="2"/>
  <c r="M59" i="1"/>
  <c r="M70" i="1" s="1"/>
  <c r="L30" i="1"/>
  <c r="L32" i="1" s="1"/>
  <c r="L36" i="1" s="1"/>
  <c r="L49" i="1" s="1"/>
  <c r="K33" i="2"/>
  <c r="K35" i="2" s="1"/>
  <c r="K39" i="2" s="1"/>
  <c r="K52" i="2" s="1"/>
  <c r="H40" i="3"/>
  <c r="E39" i="3"/>
  <c r="E40" i="3" s="1"/>
  <c r="H30" i="1"/>
  <c r="H32" i="1" s="1"/>
  <c r="H36" i="1" s="1"/>
  <c r="H49" i="1" s="1"/>
  <c r="E30" i="1"/>
  <c r="E32" i="1" s="1"/>
  <c r="E36" i="1" s="1"/>
  <c r="E49" i="1" s="1"/>
  <c r="E99" i="2"/>
  <c r="L52" i="2"/>
  <c r="H29" i="3"/>
  <c r="H31" i="3" s="1"/>
  <c r="H35" i="3" s="1"/>
  <c r="H48" i="3" s="1"/>
  <c r="E44" i="3"/>
  <c r="E46" i="3" s="1"/>
  <c r="H46" i="3"/>
  <c r="G30" i="1"/>
  <c r="G32" i="1" s="1"/>
  <c r="G36" i="1" s="1"/>
  <c r="G49" i="1" s="1"/>
  <c r="F33" i="2"/>
  <c r="F35" i="2" s="1"/>
  <c r="F39" i="2" s="1"/>
  <c r="F52" i="2" s="1"/>
  <c r="H99" i="2"/>
  <c r="G99" i="2"/>
  <c r="F99" i="2"/>
  <c r="I36" i="1"/>
  <c r="I49" i="1" s="1"/>
  <c r="E17" i="4"/>
  <c r="J33" i="2"/>
  <c r="J35" i="2" s="1"/>
  <c r="J39" i="2" s="1"/>
  <c r="J52" i="2" s="1"/>
  <c r="I33" i="2"/>
  <c r="I35" i="2" s="1"/>
  <c r="I39" i="2" s="1"/>
  <c r="I52" i="2" s="1"/>
  <c r="H33" i="2"/>
  <c r="H35" i="2" s="1"/>
  <c r="H39" i="2" s="1"/>
  <c r="H52" i="2" s="1"/>
  <c r="I99" i="2"/>
  <c r="E18" i="2"/>
  <c r="E29" i="2" s="1"/>
  <c r="E43" i="2"/>
  <c r="E44" i="2" s="1"/>
  <c r="E48" i="2"/>
  <c r="E50" i="2" s="1"/>
  <c r="E25" i="2"/>
  <c r="E24" i="2"/>
  <c r="F112" i="1"/>
  <c r="I112" i="1"/>
  <c r="F30" i="1"/>
  <c r="F32" i="1" s="1"/>
  <c r="F36" i="1" s="1"/>
  <c r="F49" i="1" s="1"/>
  <c r="H112" i="1"/>
  <c r="K30" i="1"/>
  <c r="K32" i="1" s="1"/>
  <c r="K36" i="1" s="1"/>
  <c r="K49" i="1" s="1"/>
  <c r="G112" i="1"/>
  <c r="L18" i="4" l="1"/>
  <c r="K19" i="4"/>
  <c r="E48" i="3"/>
  <c r="I48" i="3" s="1"/>
  <c r="J61" i="3" s="1"/>
  <c r="E33" i="2"/>
  <c r="E35" i="2" s="1"/>
  <c r="E39" i="2" s="1"/>
  <c r="E52" i="2" s="1"/>
  <c r="M52" i="2" s="1"/>
  <c r="M49" i="1"/>
  <c r="M73" i="1" s="1"/>
  <c r="C17" i="4"/>
  <c r="K23" i="4" l="1"/>
  <c r="L23" i="4" s="1"/>
  <c r="L19" i="4"/>
  <c r="L20" i="4" s="1"/>
  <c r="E65" i="3"/>
  <c r="H65" i="3"/>
  <c r="M68" i="1"/>
  <c r="M74" i="1" s="1"/>
  <c r="M75" i="1" s="1"/>
  <c r="M70" i="2"/>
  <c r="M76" i="2" s="1"/>
  <c r="M75" i="2"/>
  <c r="N73" i="1"/>
  <c r="I70" i="3" l="1"/>
  <c r="I75" i="3" s="1"/>
  <c r="C38" i="4" s="1"/>
  <c r="D38" i="4" s="1"/>
  <c r="M77" i="2"/>
  <c r="M81" i="2" s="1"/>
  <c r="M83" i="2" s="1"/>
  <c r="C29" i="4" s="1"/>
  <c r="D29" i="4" s="1"/>
  <c r="M79" i="1"/>
  <c r="M81" i="1" s="1"/>
  <c r="N74" i="1"/>
  <c r="N75" i="1" s="1"/>
  <c r="N78" i="1" s="1"/>
  <c r="I76" i="3" l="1"/>
  <c r="I83" i="3"/>
  <c r="M100" i="1"/>
  <c r="M102" i="1" s="1"/>
  <c r="C23" i="4"/>
  <c r="M82" i="1"/>
  <c r="N79" i="1"/>
  <c r="N81" i="1" s="1"/>
  <c r="P81" i="1" s="1"/>
  <c r="M87" i="2"/>
  <c r="M88" i="2" s="1"/>
  <c r="M84" i="2"/>
  <c r="D23" i="4" l="1"/>
  <c r="C13" i="4" s="1"/>
  <c r="H13" i="4" s="1"/>
  <c r="J13" i="4" s="1"/>
  <c r="E13" i="4" l="1"/>
  <c r="F13" i="4" s="1"/>
</calcChain>
</file>

<file path=xl/sharedStrings.xml><?xml version="1.0" encoding="utf-8"?>
<sst xmlns="http://schemas.openxmlformats.org/spreadsheetml/2006/main" count="336" uniqueCount="162">
  <si>
    <t>MIROF Resources, Inc.</t>
  </si>
  <si>
    <t>Amendments:</t>
  </si>
  <si>
    <t>2020 Call Center Management</t>
  </si>
  <si>
    <t>LEAN Restructured</t>
  </si>
  <si>
    <t>Call Capacity/ hour</t>
  </si>
  <si>
    <t>9 calls/ hour</t>
  </si>
  <si>
    <t>AHT</t>
  </si>
  <si>
    <t>6.5 min AHT</t>
  </si>
  <si>
    <t>Maximum Agent Capacity/ day</t>
  </si>
  <si>
    <t>30 agents / day</t>
  </si>
  <si>
    <t>Call Capacity/ day</t>
  </si>
  <si>
    <t>MRI - MERALCO CALL CENTER OPERATIONS</t>
  </si>
  <si>
    <t>Call Center Management</t>
  </si>
  <si>
    <t>_@ 26 Working Days @ Regular 8 Hours</t>
  </si>
  <si>
    <t>Supervisors</t>
  </si>
  <si>
    <t>TLs</t>
  </si>
  <si>
    <t>QA</t>
  </si>
  <si>
    <t>Trainer</t>
  </si>
  <si>
    <t>Offline</t>
  </si>
  <si>
    <t>Agents Level C</t>
  </si>
  <si>
    <t>Agents Level B</t>
  </si>
  <si>
    <t>Agents Level A</t>
  </si>
  <si>
    <t>Monthly</t>
  </si>
  <si>
    <t>Monthly Basic Pay</t>
  </si>
  <si>
    <t>Basic Pay</t>
  </si>
  <si>
    <t>ECOLA</t>
  </si>
  <si>
    <t>13th month</t>
  </si>
  <si>
    <t>SILP</t>
  </si>
  <si>
    <t>Separation Pay</t>
  </si>
  <si>
    <t>Holiday Allocation @ 14 holidays in 12 months</t>
  </si>
  <si>
    <t>HMO</t>
  </si>
  <si>
    <t>GOVERNMENT MANDATED</t>
  </si>
  <si>
    <t>SSS</t>
  </si>
  <si>
    <t xml:space="preserve">Philhealth </t>
  </si>
  <si>
    <t>HDMF</t>
  </si>
  <si>
    <t>ECC</t>
  </si>
  <si>
    <t>Direct Cost</t>
  </si>
  <si>
    <t>Allowance</t>
  </si>
  <si>
    <t>Subtotal</t>
  </si>
  <si>
    <t>Number of FTE</t>
  </si>
  <si>
    <t>agents</t>
  </si>
  <si>
    <t>Number of Working Days</t>
  </si>
  <si>
    <t>staff</t>
  </si>
  <si>
    <t>Direct Cost*FTE*Month</t>
  </si>
  <si>
    <t>based on budget</t>
  </si>
  <si>
    <t>Provision for Overtime</t>
  </si>
  <si>
    <t xml:space="preserve">  Number of Manhours</t>
  </si>
  <si>
    <t xml:space="preserve">  Hourly Rate x 1.25%</t>
  </si>
  <si>
    <t>current</t>
  </si>
  <si>
    <t xml:space="preserve">  Total Provision for Overtime</t>
  </si>
  <si>
    <t>Provision for Night Differential</t>
  </si>
  <si>
    <t xml:space="preserve">  Number Pax with ND</t>
  </si>
  <si>
    <t xml:space="preserve">  ND Daily Rate    </t>
  </si>
  <si>
    <t xml:space="preserve">  Number of Days/Month</t>
  </si>
  <si>
    <t xml:space="preserve">  Total Provision for Night Diff</t>
  </si>
  <si>
    <t>TOTAL:</t>
  </si>
  <si>
    <t>Other Monthly Recurring Costs:</t>
  </si>
  <si>
    <t>Office Supplies</t>
  </si>
  <si>
    <t>Communication allowance</t>
  </si>
  <si>
    <t>Retention/Representation</t>
  </si>
  <si>
    <t>Contingency Fund</t>
  </si>
  <si>
    <t>Revolving Fund</t>
  </si>
  <si>
    <t xml:space="preserve">  (*Excellent Performance Incentive Budget)</t>
  </si>
  <si>
    <t>TOTAL RECURRING COST</t>
  </si>
  <si>
    <t>Other One-Time Investment Cost:</t>
  </si>
  <si>
    <t>Total @ 12 months</t>
  </si>
  <si>
    <t>Head-sets: Headsets/Amplifiers @3500/unit@ 12 months depreciation. Depreciated as of 2018.</t>
  </si>
  <si>
    <t>Total Other Costs</t>
  </si>
  <si>
    <t>Total Monthly Direct Cost @8 hrs w/ Prov ND &amp; OT - ASF</t>
  </si>
  <si>
    <t>Total Others:</t>
  </si>
  <si>
    <t>&gt; Supplies - ASF</t>
  </si>
  <si>
    <t>&gt; Equipment - ASF</t>
  </si>
  <si>
    <t>Sub-TOTAL</t>
  </si>
  <si>
    <t>10% ASF</t>
  </si>
  <si>
    <t>TOTAL with</t>
  </si>
  <si>
    <t>10% OMF</t>
  </si>
  <si>
    <t>TOTAL Monthly with ASF &amp; OMF</t>
  </si>
  <si>
    <t>Cost per FTE</t>
  </si>
  <si>
    <t>Considerations:</t>
  </si>
  <si>
    <t>2019 Budget</t>
  </si>
  <si>
    <t>* Wage Hike</t>
  </si>
  <si>
    <t>*Retro</t>
  </si>
  <si>
    <t>TOTAL</t>
  </si>
  <si>
    <t>CURRENT RATE</t>
  </si>
  <si>
    <t>BASIC</t>
  </si>
  <si>
    <t>ALLOWANCE</t>
  </si>
  <si>
    <t>MINIMUM:</t>
  </si>
  <si>
    <t xml:space="preserve"> </t>
  </si>
  <si>
    <t>PEAK Restructured</t>
  </si>
  <si>
    <t>OPTION A</t>
  </si>
  <si>
    <t>OPTION B</t>
  </si>
  <si>
    <t>OPTION C</t>
  </si>
  <si>
    <t>89-90</t>
  </si>
  <si>
    <t>all in</t>
  </si>
  <si>
    <t>budget</t>
  </si>
  <si>
    <t>tl</t>
  </si>
  <si>
    <t>qa</t>
  </si>
  <si>
    <t>suoervisor</t>
  </si>
  <si>
    <t>trainor</t>
  </si>
  <si>
    <t>Total Monthly Direct Cost @8 hrs w/ Prov ND &amp; ASF</t>
  </si>
  <si>
    <t>&gt; Supplies with ASF</t>
  </si>
  <si>
    <t>&gt; Equipment with ASF</t>
  </si>
  <si>
    <t xml:space="preserve">2019 Budget </t>
  </si>
  <si>
    <t>2020 DR Site</t>
  </si>
  <si>
    <t>Call Center Management\</t>
  </si>
  <si>
    <t>Team Leader or Supervisor</t>
  </si>
  <si>
    <t>Manhours</t>
  </si>
  <si>
    <t>Online</t>
  </si>
  <si>
    <t>Total</t>
  </si>
  <si>
    <t>Retention/Accreditation Subsidy</t>
  </si>
  <si>
    <t>Sub-total:</t>
  </si>
  <si>
    <t>Total Monthly Direct Cost @8 hrs w/ Prov ND &amp; OT</t>
  </si>
  <si>
    <t>Total  + 10% ASF</t>
  </si>
  <si>
    <t>TOTAL PROJECT COST  - VAT EX</t>
  </si>
  <si>
    <t>VAT EX</t>
  </si>
  <si>
    <t>TOTAL PROJECT COST  - VAT INC.</t>
  </si>
  <si>
    <t>Actual monthly Billing VAT EX</t>
  </si>
  <si>
    <t>*We can't lower it because our current is 835,000</t>
  </si>
  <si>
    <t>Actual monthly Billing VAT INC</t>
  </si>
  <si>
    <t>Surplus</t>
  </si>
  <si>
    <t>CONTRACT PRICE REDUCTION</t>
  </si>
  <si>
    <t>REDUCTION SUMMARY</t>
  </si>
  <si>
    <t>Remove OMF</t>
  </si>
  <si>
    <t>Balintawak - no OMF and reduce contract price</t>
  </si>
  <si>
    <t>2nd Year FTE is same as 3rd year</t>
  </si>
  <si>
    <t>MERALCO</t>
  </si>
  <si>
    <t xml:space="preserve">FOR </t>
  </si>
  <si>
    <t>YEAR</t>
  </si>
  <si>
    <t>Contract Period</t>
  </si>
  <si>
    <t>MRI PROPOSAL</t>
  </si>
  <si>
    <t>Annual Cost</t>
  </si>
  <si>
    <t>DISCOUNT</t>
  </si>
  <si>
    <t>1ST</t>
  </si>
  <si>
    <t>January 1, 2020 to December 31, 2020</t>
  </si>
  <si>
    <t>2ND</t>
  </si>
  <si>
    <t>January 1, 2021 to December 31, 2021</t>
  </si>
  <si>
    <t>3RD</t>
  </si>
  <si>
    <t>January 1, 2022 to December 31, 2022</t>
  </si>
  <si>
    <t>TOTAL (PhP, VAT Exclusive)</t>
  </si>
  <si>
    <t>TOTAL (PhP, VAT Inclusive)</t>
  </si>
  <si>
    <t>1.)</t>
  </si>
  <si>
    <t>LEAN</t>
  </si>
  <si>
    <t>MONTHLY</t>
  </si>
  <si>
    <t>ANNUAL</t>
  </si>
  <si>
    <t>2.)</t>
  </si>
  <si>
    <t>PEAK</t>
  </si>
  <si>
    <t>3.)</t>
  </si>
  <si>
    <t>BALINTAWAK/DR SITE</t>
  </si>
  <si>
    <t>Printer</t>
  </si>
  <si>
    <t>Supplemental Head-Sets (3500@30 units)</t>
  </si>
  <si>
    <t>monthly</t>
  </si>
  <si>
    <t>mri</t>
  </si>
  <si>
    <t>meralco</t>
  </si>
  <si>
    <t>Supplemental Head-Sets for 2018 (3500@30 units)</t>
  </si>
  <si>
    <t>Supplemental Head-Sets for 2019 (3500@30 units)</t>
  </si>
  <si>
    <t>July 14-17</t>
  </si>
  <si>
    <t>July 18 - 30</t>
  </si>
  <si>
    <t>PAX</t>
  </si>
  <si>
    <t>NO. OF DAYS</t>
  </si>
  <si>
    <t>PER DAY</t>
  </si>
  <si>
    <t>July 14-31,2020</t>
  </si>
  <si>
    <t>July 01-13,2021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</si>
</sst>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_-;\-* #,##0.00_-;_-* &quot;-&quot;??_-;_-@"/>
    <numFmt numFmtId="167" formatCode="#,##0.00000000000000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u/>
      <sz val="8"/>
      <color rgb="FF0000FF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b/>
      <sz val="8"/>
      <name val="Arial Narrow"/>
      <family val="2"/>
    </font>
    <font>
      <b/>
      <sz val="12"/>
      <name val="Calibri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color rgb="FF0000FF"/>
      <name val="Calibri"/>
      <family val="2"/>
    </font>
    <font>
      <sz val="11"/>
      <color rgb="FF000000"/>
      <name val="Calibri"/>
      <family val="2"/>
    </font>
    <font>
      <sz val="9"/>
      <color rgb="FF0000FF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u/>
      <sz val="8"/>
      <name val="Arial"/>
      <family val="2"/>
    </font>
    <font>
      <b/>
      <sz val="12"/>
      <color rgb="FF000000"/>
      <name val="Calibri"/>
      <family val="2"/>
    </font>
    <font>
      <b/>
      <sz val="10"/>
      <color rgb="FFFF0000"/>
      <name val="Calibri"/>
      <family val="2"/>
    </font>
    <font>
      <i/>
      <sz val="8"/>
      <color rgb="FF0070C0"/>
      <name val="Arial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8"/>
      <name val="Calibri"/>
      <family val="2"/>
    </font>
    <font>
      <u/>
      <sz val="11"/>
      <color theme="10"/>
      <name val="Calibri"/>
      <family val="2"/>
    </font>
    <font>
      <u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8"/>
      <name val="Calibri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FF66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</cellStyleXfs>
  <cellXfs count="406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43" fontId="5" fillId="2" borderId="0" xfId="0" applyNumberFormat="1" applyFont="1" applyFill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horizontal="left" wrapText="1"/>
    </xf>
    <xf numFmtId="43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3" xfId="0" applyFont="1" applyFill="1" applyBorder="1" applyAlignment="1">
      <alignment horizontal="left" wrapText="1"/>
    </xf>
    <xf numFmtId="43" fontId="5" fillId="4" borderId="6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43" fontId="5" fillId="2" borderId="12" xfId="0" applyNumberFormat="1" applyFont="1" applyFill="1" applyBorder="1" applyAlignment="1">
      <alignment horizontal="center" wrapText="1"/>
    </xf>
    <xf numFmtId="43" fontId="10" fillId="2" borderId="13" xfId="0" applyNumberFormat="1" applyFont="1" applyFill="1" applyBorder="1" applyAlignment="1">
      <alignment horizontal="center" wrapText="1"/>
    </xf>
    <xf numFmtId="43" fontId="10" fillId="2" borderId="11" xfId="0" applyNumberFormat="1" applyFont="1" applyFill="1" applyBorder="1" applyAlignment="1">
      <alignment horizontal="center" wrapText="1"/>
    </xf>
    <xf numFmtId="43" fontId="5" fillId="2" borderId="9" xfId="0" applyNumberFormat="1" applyFont="1" applyFill="1" applyBorder="1" applyAlignment="1">
      <alignment horizontal="center" wrapText="1"/>
    </xf>
    <xf numFmtId="0" fontId="4" fillId="2" borderId="14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43" fontId="4" fillId="2" borderId="15" xfId="0" applyNumberFormat="1" applyFont="1" applyFill="1" applyBorder="1" applyAlignment="1">
      <alignment horizontal="right" wrapText="1"/>
    </xf>
    <xf numFmtId="43" fontId="11" fillId="2" borderId="16" xfId="0" applyNumberFormat="1" applyFont="1" applyFill="1" applyBorder="1" applyAlignment="1">
      <alignment horizontal="right" wrapText="1"/>
    </xf>
    <xf numFmtId="43" fontId="11" fillId="2" borderId="7" xfId="0" applyNumberFormat="1" applyFont="1" applyFill="1" applyBorder="1" applyAlignment="1">
      <alignment horizontal="right" wrapText="1"/>
    </xf>
    <xf numFmtId="43" fontId="4" fillId="2" borderId="9" xfId="0" applyNumberFormat="1" applyFont="1" applyFill="1" applyBorder="1" applyAlignment="1">
      <alignment horizontal="right" wrapText="1"/>
    </xf>
    <xf numFmtId="0" fontId="12" fillId="2" borderId="14" xfId="0" applyFont="1" applyFill="1" applyBorder="1" applyAlignment="1">
      <alignment horizontal="right" wrapText="1"/>
    </xf>
    <xf numFmtId="9" fontId="13" fillId="2" borderId="7" xfId="0" applyNumberFormat="1" applyFont="1" applyFill="1" applyBorder="1" applyAlignment="1">
      <alignment wrapText="1"/>
    </xf>
    <xf numFmtId="43" fontId="14" fillId="2" borderId="15" xfId="0" applyNumberFormat="1" applyFont="1" applyFill="1" applyBorder="1" applyAlignment="1">
      <alignment horizontal="right" wrapText="1"/>
    </xf>
    <xf numFmtId="43" fontId="15" fillId="2" borderId="16" xfId="0" applyNumberFormat="1" applyFont="1" applyFill="1" applyBorder="1" applyAlignment="1">
      <alignment horizontal="right" wrapText="1"/>
    </xf>
    <xf numFmtId="43" fontId="16" fillId="2" borderId="15" xfId="0" applyNumberFormat="1" applyFont="1" applyFill="1" applyBorder="1" applyAlignment="1">
      <alignment horizontal="right" wrapText="1"/>
    </xf>
    <xf numFmtId="43" fontId="16" fillId="2" borderId="9" xfId="0" applyNumberFormat="1" applyFont="1" applyFill="1" applyBorder="1" applyAlignment="1">
      <alignment horizontal="right" wrapText="1"/>
    </xf>
    <xf numFmtId="0" fontId="8" fillId="2" borderId="0" xfId="0" applyFont="1" applyFill="1" applyAlignment="1">
      <alignment wrapText="1"/>
    </xf>
    <xf numFmtId="0" fontId="17" fillId="2" borderId="14" xfId="0" applyFont="1" applyFill="1" applyBorder="1" applyAlignment="1">
      <alignment wrapText="1"/>
    </xf>
    <xf numFmtId="0" fontId="17" fillId="2" borderId="7" xfId="0" applyFont="1" applyFill="1" applyBorder="1" applyAlignment="1">
      <alignment wrapText="1"/>
    </xf>
    <xf numFmtId="0" fontId="18" fillId="2" borderId="0" xfId="0" applyFont="1" applyFill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43" fontId="5" fillId="2" borderId="15" xfId="0" applyNumberFormat="1" applyFont="1" applyFill="1" applyBorder="1" applyAlignment="1">
      <alignment horizontal="right" wrapText="1"/>
    </xf>
    <xf numFmtId="43" fontId="10" fillId="2" borderId="16" xfId="0" applyNumberFormat="1" applyFont="1" applyFill="1" applyBorder="1" applyAlignment="1">
      <alignment horizontal="right" wrapText="1"/>
    </xf>
    <xf numFmtId="43" fontId="10" fillId="2" borderId="7" xfId="0" applyNumberFormat="1" applyFont="1" applyFill="1" applyBorder="1" applyAlignment="1">
      <alignment horizontal="right" wrapText="1"/>
    </xf>
    <xf numFmtId="43" fontId="5" fillId="2" borderId="9" xfId="0" applyNumberFormat="1" applyFont="1" applyFill="1" applyBorder="1" applyAlignment="1">
      <alignment horizontal="right" wrapText="1"/>
    </xf>
    <xf numFmtId="43" fontId="5" fillId="2" borderId="16" xfId="0" applyNumberFormat="1" applyFont="1" applyFill="1" applyBorder="1" applyAlignment="1">
      <alignment horizontal="right" wrapText="1"/>
    </xf>
    <xf numFmtId="43" fontId="5" fillId="2" borderId="7" xfId="0" applyNumberFormat="1" applyFont="1" applyFill="1" applyBorder="1" applyAlignment="1">
      <alignment horizontal="right" wrapText="1"/>
    </xf>
    <xf numFmtId="0" fontId="5" fillId="3" borderId="14" xfId="0" applyFont="1" applyFill="1" applyBorder="1" applyAlignment="1">
      <alignment wrapText="1"/>
    </xf>
    <xf numFmtId="0" fontId="5" fillId="3" borderId="7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right" wrapText="1"/>
    </xf>
    <xf numFmtId="0" fontId="5" fillId="3" borderId="16" xfId="0" applyFont="1" applyFill="1" applyBorder="1" applyAlignment="1">
      <alignment horizontal="right" wrapText="1"/>
    </xf>
    <xf numFmtId="0" fontId="5" fillId="3" borderId="7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5" fillId="3" borderId="9" xfId="0" applyFont="1" applyFill="1" applyBorder="1" applyAlignment="1">
      <alignment horizontal="right" wrapText="1"/>
    </xf>
    <xf numFmtId="1" fontId="8" fillId="2" borderId="0" xfId="0" applyNumberFormat="1" applyFont="1" applyFill="1" applyAlignment="1">
      <alignment wrapText="1"/>
    </xf>
    <xf numFmtId="0" fontId="8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165" fontId="5" fillId="2" borderId="15" xfId="0" applyNumberFormat="1" applyFont="1" applyFill="1" applyBorder="1" applyAlignment="1">
      <alignment horizontal="right" wrapText="1"/>
    </xf>
    <xf numFmtId="165" fontId="5" fillId="2" borderId="16" xfId="0" applyNumberFormat="1" applyFont="1" applyFill="1" applyBorder="1" applyAlignment="1">
      <alignment horizontal="right" wrapText="1"/>
    </xf>
    <xf numFmtId="165" fontId="5" fillId="2" borderId="7" xfId="0" applyNumberFormat="1" applyFont="1" applyFill="1" applyBorder="1" applyAlignment="1">
      <alignment horizontal="right" wrapText="1"/>
    </xf>
    <xf numFmtId="165" fontId="5" fillId="2" borderId="9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wrapText="1"/>
    </xf>
    <xf numFmtId="43" fontId="8" fillId="0" borderId="0" xfId="0" applyNumberFormat="1" applyFont="1" applyAlignment="1">
      <alignment wrapText="1"/>
    </xf>
    <xf numFmtId="165" fontId="5" fillId="0" borderId="7" xfId="0" applyNumberFormat="1" applyFont="1" applyBorder="1" applyAlignment="1">
      <alignment wrapText="1"/>
    </xf>
    <xf numFmtId="165" fontId="19" fillId="2" borderId="15" xfId="0" applyNumberFormat="1" applyFont="1" applyFill="1" applyBorder="1" applyAlignment="1">
      <alignment horizontal="right" wrapText="1"/>
    </xf>
    <xf numFmtId="165" fontId="19" fillId="2" borderId="16" xfId="0" applyNumberFormat="1" applyFont="1" applyFill="1" applyBorder="1" applyAlignment="1">
      <alignment horizontal="right" wrapText="1"/>
    </xf>
    <xf numFmtId="165" fontId="19" fillId="2" borderId="7" xfId="0" applyNumberFormat="1" applyFont="1" applyFill="1" applyBorder="1" applyAlignment="1">
      <alignment horizontal="right" wrapText="1"/>
    </xf>
    <xf numFmtId="165" fontId="19" fillId="2" borderId="9" xfId="0" applyNumberFormat="1" applyFont="1" applyFill="1" applyBorder="1" applyAlignment="1">
      <alignment horizontal="right" wrapText="1"/>
    </xf>
    <xf numFmtId="43" fontId="10" fillId="2" borderId="9" xfId="0" applyNumberFormat="1" applyFont="1" applyFill="1" applyBorder="1" applyAlignment="1">
      <alignment horizontal="right" wrapText="1"/>
    </xf>
    <xf numFmtId="165" fontId="10" fillId="2" borderId="16" xfId="0" applyNumberFormat="1" applyFont="1" applyFill="1" applyBorder="1" applyAlignment="1">
      <alignment horizontal="right" wrapText="1"/>
    </xf>
    <xf numFmtId="165" fontId="10" fillId="2" borderId="7" xfId="0" applyNumberFormat="1" applyFont="1" applyFill="1" applyBorder="1" applyAlignment="1">
      <alignment horizontal="right" wrapText="1"/>
    </xf>
    <xf numFmtId="165" fontId="10" fillId="2" borderId="9" xfId="0" applyNumberFormat="1" applyFont="1" applyFill="1" applyBorder="1" applyAlignment="1">
      <alignment horizontal="right" wrapText="1"/>
    </xf>
    <xf numFmtId="0" fontId="5" fillId="0" borderId="14" xfId="0" applyFont="1" applyBorder="1" applyAlignment="1">
      <alignment wrapText="1"/>
    </xf>
    <xf numFmtId="43" fontId="20" fillId="2" borderId="15" xfId="0" applyNumberFormat="1" applyFont="1" applyFill="1" applyBorder="1" applyAlignment="1">
      <alignment horizontal="right" wrapText="1"/>
    </xf>
    <xf numFmtId="0" fontId="5" fillId="0" borderId="14" xfId="0" applyFont="1" applyBorder="1" applyAlignment="1">
      <alignment horizontal="left" wrapText="1"/>
    </xf>
    <xf numFmtId="166" fontId="5" fillId="0" borderId="7" xfId="0" applyNumberFormat="1" applyFont="1" applyBorder="1" applyAlignment="1">
      <alignment wrapText="1"/>
    </xf>
    <xf numFmtId="166" fontId="8" fillId="0" borderId="15" xfId="0" applyNumberFormat="1" applyFont="1" applyBorder="1" applyAlignment="1">
      <alignment wrapText="1"/>
    </xf>
    <xf numFmtId="166" fontId="21" fillId="0" borderId="16" xfId="0" applyNumberFormat="1" applyFont="1" applyBorder="1" applyAlignment="1">
      <alignment wrapText="1"/>
    </xf>
    <xf numFmtId="166" fontId="21" fillId="0" borderId="7" xfId="0" applyNumberFormat="1" applyFont="1" applyBorder="1" applyAlignment="1">
      <alignment wrapText="1"/>
    </xf>
    <xf numFmtId="166" fontId="21" fillId="0" borderId="9" xfId="0" applyNumberFormat="1" applyFont="1" applyBorder="1" applyAlignment="1">
      <alignment wrapText="1"/>
    </xf>
    <xf numFmtId="166" fontId="5" fillId="3" borderId="15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6" fontId="7" fillId="3" borderId="15" xfId="0" applyNumberFormat="1" applyFont="1" applyFill="1" applyBorder="1" applyAlignment="1">
      <alignment horizontal="center" wrapText="1"/>
    </xf>
    <xf numFmtId="166" fontId="22" fillId="3" borderId="16" xfId="0" applyNumberFormat="1" applyFont="1" applyFill="1" applyBorder="1" applyAlignment="1">
      <alignment horizontal="center" wrapText="1"/>
    </xf>
    <xf numFmtId="166" fontId="22" fillId="3" borderId="7" xfId="0" applyNumberFormat="1" applyFont="1" applyFill="1" applyBorder="1" applyAlignment="1">
      <alignment horizontal="center" wrapText="1"/>
    </xf>
    <xf numFmtId="166" fontId="22" fillId="3" borderId="9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wrapText="1"/>
    </xf>
    <xf numFmtId="43" fontId="5" fillId="2" borderId="7" xfId="0" applyNumberFormat="1" applyFont="1" applyFill="1" applyBorder="1" applyAlignment="1">
      <alignment wrapText="1"/>
    </xf>
    <xf numFmtId="43" fontId="4" fillId="2" borderId="15" xfId="0" applyNumberFormat="1" applyFont="1" applyFill="1" applyBorder="1" applyAlignment="1">
      <alignment horizontal="left" wrapText="1"/>
    </xf>
    <xf numFmtId="43" fontId="11" fillId="2" borderId="16" xfId="0" applyNumberFormat="1" applyFont="1" applyFill="1" applyBorder="1" applyAlignment="1">
      <alignment horizontal="left" wrapText="1"/>
    </xf>
    <xf numFmtId="43" fontId="11" fillId="2" borderId="7" xfId="0" applyNumberFormat="1" applyFont="1" applyFill="1" applyBorder="1" applyAlignment="1">
      <alignment horizontal="left" wrapText="1"/>
    </xf>
    <xf numFmtId="43" fontId="11" fillId="2" borderId="9" xfId="0" applyNumberFormat="1" applyFont="1" applyFill="1" applyBorder="1" applyAlignment="1">
      <alignment horizontal="left" wrapText="1"/>
    </xf>
    <xf numFmtId="43" fontId="4" fillId="2" borderId="14" xfId="0" applyNumberFormat="1" applyFont="1" applyFill="1" applyBorder="1" applyAlignment="1">
      <alignment horizontal="left" wrapText="1"/>
    </xf>
    <xf numFmtId="43" fontId="13" fillId="2" borderId="7" xfId="3" applyFont="1" applyFill="1" applyBorder="1" applyAlignment="1">
      <alignment wrapText="1"/>
    </xf>
    <xf numFmtId="43" fontId="14" fillId="2" borderId="15" xfId="0" applyNumberFormat="1" applyFont="1" applyFill="1" applyBorder="1" applyAlignment="1">
      <alignment horizontal="left" wrapText="1"/>
    </xf>
    <xf numFmtId="43" fontId="15" fillId="2" borderId="16" xfId="0" applyNumberFormat="1" applyFont="1" applyFill="1" applyBorder="1" applyAlignment="1">
      <alignment horizontal="left" wrapText="1"/>
    </xf>
    <xf numFmtId="43" fontId="15" fillId="2" borderId="7" xfId="0" applyNumberFormat="1" applyFont="1" applyFill="1" applyBorder="1" applyAlignment="1">
      <alignment horizontal="left" wrapText="1"/>
    </xf>
    <xf numFmtId="43" fontId="25" fillId="2" borderId="9" xfId="0" applyNumberFormat="1" applyFont="1" applyFill="1" applyBorder="1" applyAlignment="1">
      <alignment horizontal="left" wrapText="1"/>
    </xf>
    <xf numFmtId="43" fontId="4" fillId="2" borderId="16" xfId="0" applyNumberFormat="1" applyFont="1" applyFill="1" applyBorder="1" applyAlignment="1">
      <alignment horizontal="left" wrapText="1"/>
    </xf>
    <xf numFmtId="43" fontId="4" fillId="2" borderId="7" xfId="0" applyNumberFormat="1" applyFont="1" applyFill="1" applyBorder="1" applyAlignment="1">
      <alignment horizontal="left" wrapText="1"/>
    </xf>
    <xf numFmtId="43" fontId="4" fillId="2" borderId="9" xfId="0" applyNumberFormat="1" applyFont="1" applyFill="1" applyBorder="1" applyAlignment="1">
      <alignment horizontal="left" wrapText="1"/>
    </xf>
    <xf numFmtId="43" fontId="5" fillId="3" borderId="14" xfId="0" applyNumberFormat="1" applyFont="1" applyFill="1" applyBorder="1" applyAlignment="1">
      <alignment horizontal="left" wrapText="1"/>
    </xf>
    <xf numFmtId="43" fontId="5" fillId="3" borderId="7" xfId="0" applyNumberFormat="1" applyFont="1" applyFill="1" applyBorder="1" applyAlignment="1">
      <alignment horizontal="left" wrapText="1"/>
    </xf>
    <xf numFmtId="166" fontId="7" fillId="3" borderId="16" xfId="0" applyNumberFormat="1" applyFont="1" applyFill="1" applyBorder="1" applyAlignment="1">
      <alignment horizontal="center" wrapText="1"/>
    </xf>
    <xf numFmtId="166" fontId="7" fillId="3" borderId="7" xfId="0" applyNumberFormat="1" applyFont="1" applyFill="1" applyBorder="1" applyAlignment="1">
      <alignment horizontal="center" wrapText="1"/>
    </xf>
    <xf numFmtId="166" fontId="7" fillId="3" borderId="9" xfId="0" applyNumberFormat="1" applyFont="1" applyFill="1" applyBorder="1" applyAlignment="1">
      <alignment horizontal="center" wrapText="1"/>
    </xf>
    <xf numFmtId="166" fontId="23" fillId="0" borderId="15" xfId="0" applyNumberFormat="1" applyFont="1" applyBorder="1" applyAlignment="1">
      <alignment wrapText="1"/>
    </xf>
    <xf numFmtId="166" fontId="23" fillId="0" borderId="16" xfId="0" applyNumberFormat="1" applyFont="1" applyBorder="1" applyAlignment="1">
      <alignment wrapText="1"/>
    </xf>
    <xf numFmtId="166" fontId="23" fillId="0" borderId="7" xfId="0" applyNumberFormat="1" applyFont="1" applyBorder="1" applyAlignment="1">
      <alignment wrapText="1"/>
    </xf>
    <xf numFmtId="166" fontId="23" fillId="0" borderId="9" xfId="0" applyNumberFormat="1" applyFont="1" applyBorder="1" applyAlignment="1">
      <alignment wrapText="1"/>
    </xf>
    <xf numFmtId="166" fontId="23" fillId="2" borderId="9" xfId="0" applyNumberFormat="1" applyFont="1" applyFill="1" applyBorder="1" applyAlignment="1">
      <alignment wrapText="1"/>
    </xf>
    <xf numFmtId="166" fontId="23" fillId="2" borderId="0" xfId="0" applyNumberFormat="1" applyFont="1" applyFill="1" applyAlignment="1">
      <alignment wrapText="1"/>
    </xf>
    <xf numFmtId="166" fontId="8" fillId="0" borderId="16" xfId="0" applyNumberFormat="1" applyFont="1" applyBorder="1" applyAlignment="1">
      <alignment wrapText="1"/>
    </xf>
    <xf numFmtId="166" fontId="8" fillId="0" borderId="7" xfId="0" applyNumberFormat="1" applyFont="1" applyBorder="1" applyAlignment="1">
      <alignment wrapText="1"/>
    </xf>
    <xf numFmtId="166" fontId="8" fillId="0" borderId="9" xfId="0" applyNumberFormat="1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43" fontId="5" fillId="3" borderId="15" xfId="0" applyNumberFormat="1" applyFont="1" applyFill="1" applyBorder="1" applyAlignment="1">
      <alignment horizontal="left" wrapText="1"/>
    </xf>
    <xf numFmtId="43" fontId="5" fillId="3" borderId="16" xfId="0" applyNumberFormat="1" applyFont="1" applyFill="1" applyBorder="1" applyAlignment="1">
      <alignment horizontal="left" wrapText="1"/>
    </xf>
    <xf numFmtId="43" fontId="5" fillId="3" borderId="9" xfId="0" applyNumberFormat="1" applyFont="1" applyFill="1" applyBorder="1" applyAlignment="1">
      <alignment horizontal="left" wrapText="1"/>
    </xf>
    <xf numFmtId="166" fontId="3" fillId="2" borderId="15" xfId="0" applyNumberFormat="1" applyFont="1" applyFill="1" applyBorder="1" applyAlignment="1">
      <alignment wrapText="1"/>
    </xf>
    <xf numFmtId="166" fontId="3" fillId="2" borderId="16" xfId="0" applyNumberFormat="1" applyFont="1" applyFill="1" applyBorder="1" applyAlignment="1">
      <alignment wrapText="1"/>
    </xf>
    <xf numFmtId="166" fontId="3" fillId="2" borderId="7" xfId="0" applyNumberFormat="1" applyFont="1" applyFill="1" applyBorder="1" applyAlignment="1">
      <alignment wrapText="1"/>
    </xf>
    <xf numFmtId="0" fontId="5" fillId="2" borderId="14" xfId="0" applyFont="1" applyFill="1" applyBorder="1" applyAlignment="1">
      <alignment horizontal="left" wrapText="1"/>
    </xf>
    <xf numFmtId="43" fontId="4" fillId="2" borderId="15" xfId="0" applyNumberFormat="1" applyFont="1" applyFill="1" applyBorder="1" applyAlignment="1">
      <alignment horizontal="right" vertical="center" wrapText="1"/>
    </xf>
    <xf numFmtId="43" fontId="4" fillId="2" borderId="16" xfId="0" applyNumberFormat="1" applyFont="1" applyFill="1" applyBorder="1" applyAlignment="1">
      <alignment horizontal="right" vertical="center" wrapText="1"/>
    </xf>
    <xf numFmtId="43" fontId="4" fillId="2" borderId="7" xfId="0" applyNumberFormat="1" applyFont="1" applyFill="1" applyBorder="1" applyAlignment="1">
      <alignment horizontal="right" vertical="center" wrapText="1"/>
    </xf>
    <xf numFmtId="43" fontId="4" fillId="2" borderId="9" xfId="0" applyNumberFormat="1" applyFont="1" applyFill="1" applyBorder="1" applyAlignment="1">
      <alignment horizontal="right" vertical="center" wrapText="1"/>
    </xf>
    <xf numFmtId="0" fontId="26" fillId="2" borderId="14" xfId="0" applyFont="1" applyFill="1" applyBorder="1" applyAlignment="1">
      <alignment wrapText="1"/>
    </xf>
    <xf numFmtId="43" fontId="27" fillId="2" borderId="15" xfId="0" applyNumberFormat="1" applyFont="1" applyFill="1" applyBorder="1" applyAlignment="1">
      <alignment horizontal="right" vertical="center" wrapText="1"/>
    </xf>
    <xf numFmtId="43" fontId="27" fillId="2" borderId="16" xfId="0" applyNumberFormat="1" applyFont="1" applyFill="1" applyBorder="1" applyAlignment="1">
      <alignment horizontal="right" vertical="center" wrapText="1"/>
    </xf>
    <xf numFmtId="43" fontId="27" fillId="2" borderId="7" xfId="0" applyNumberFormat="1" applyFont="1" applyFill="1" applyBorder="1" applyAlignment="1">
      <alignment horizontal="right" vertical="center" wrapText="1"/>
    </xf>
    <xf numFmtId="43" fontId="27" fillId="2" borderId="9" xfId="0" applyNumberFormat="1" applyFont="1" applyFill="1" applyBorder="1" applyAlignment="1">
      <alignment horizontal="right" vertical="center" wrapText="1"/>
    </xf>
    <xf numFmtId="0" fontId="5" fillId="6" borderId="14" xfId="0" applyFont="1" applyFill="1" applyBorder="1" applyAlignment="1">
      <alignment horizontal="right" wrapText="1"/>
    </xf>
    <xf numFmtId="0" fontId="5" fillId="6" borderId="7" xfId="0" applyFont="1" applyFill="1" applyBorder="1" applyAlignment="1">
      <alignment wrapText="1"/>
    </xf>
    <xf numFmtId="43" fontId="4" fillId="6" borderId="15" xfId="0" applyNumberFormat="1" applyFont="1" applyFill="1" applyBorder="1" applyAlignment="1">
      <alignment horizontal="right" vertical="center" wrapText="1"/>
    </xf>
    <xf numFmtId="43" fontId="4" fillId="6" borderId="16" xfId="0" applyNumberFormat="1" applyFont="1" applyFill="1" applyBorder="1" applyAlignment="1">
      <alignment horizontal="right" vertical="center" wrapText="1"/>
    </xf>
    <xf numFmtId="43" fontId="28" fillId="6" borderId="9" xfId="0" applyNumberFormat="1" applyFont="1" applyFill="1" applyBorder="1" applyAlignment="1">
      <alignment horizontal="right" vertical="center" wrapText="1"/>
    </xf>
    <xf numFmtId="164" fontId="3" fillId="2" borderId="0" xfId="0" applyNumberFormat="1" applyFont="1" applyFill="1" applyAlignment="1">
      <alignment wrapText="1"/>
    </xf>
    <xf numFmtId="43" fontId="5" fillId="6" borderId="15" xfId="0" applyNumberFormat="1" applyFont="1" applyFill="1" applyBorder="1" applyAlignment="1">
      <alignment horizontal="right" vertical="center" wrapText="1"/>
    </xf>
    <xf numFmtId="43" fontId="20" fillId="6" borderId="9" xfId="0" applyNumberFormat="1" applyFont="1" applyFill="1" applyBorder="1" applyAlignment="1">
      <alignment horizontal="right" vertical="center" wrapText="1"/>
    </xf>
    <xf numFmtId="0" fontId="5" fillId="6" borderId="14" xfId="0" applyFont="1" applyFill="1" applyBorder="1" applyAlignment="1">
      <alignment horizontal="left" wrapText="1"/>
    </xf>
    <xf numFmtId="166" fontId="4" fillId="6" borderId="16" xfId="0" applyNumberFormat="1" applyFont="1" applyFill="1" applyBorder="1" applyAlignment="1">
      <alignment horizontal="left" wrapText="1"/>
    </xf>
    <xf numFmtId="9" fontId="5" fillId="2" borderId="7" xfId="0" applyNumberFormat="1" applyFont="1" applyFill="1" applyBorder="1" applyAlignment="1">
      <alignment horizontal="left" wrapText="1"/>
    </xf>
    <xf numFmtId="166" fontId="4" fillId="2" borderId="7" xfId="0" applyNumberFormat="1" applyFont="1" applyFill="1" applyBorder="1" applyAlignment="1">
      <alignment horizontal="left" wrapText="1"/>
    </xf>
    <xf numFmtId="43" fontId="28" fillId="2" borderId="9" xfId="0" applyNumberFormat="1" applyFont="1" applyFill="1" applyBorder="1" applyAlignment="1">
      <alignment horizontal="right" vertical="center" wrapText="1"/>
    </xf>
    <xf numFmtId="0" fontId="5" fillId="7" borderId="14" xfId="0" applyFont="1" applyFill="1" applyBorder="1" applyAlignment="1">
      <alignment horizontal="right" wrapText="1"/>
    </xf>
    <xf numFmtId="0" fontId="5" fillId="7" borderId="16" xfId="0" applyFont="1" applyFill="1" applyBorder="1" applyAlignment="1">
      <alignment wrapText="1"/>
    </xf>
    <xf numFmtId="166" fontId="5" fillId="7" borderId="0" xfId="0" applyNumberFormat="1" applyFont="1" applyFill="1" applyAlignment="1">
      <alignment wrapText="1"/>
    </xf>
    <xf numFmtId="166" fontId="4" fillId="7" borderId="7" xfId="0" applyNumberFormat="1" applyFont="1" applyFill="1" applyBorder="1" applyAlignment="1">
      <alignment wrapText="1"/>
    </xf>
    <xf numFmtId="43" fontId="28" fillId="7" borderId="9" xfId="0" applyNumberFormat="1" applyFont="1" applyFill="1" applyBorder="1" applyAlignment="1">
      <alignment horizontal="right" vertical="center" wrapText="1"/>
    </xf>
    <xf numFmtId="43" fontId="5" fillId="7" borderId="14" xfId="0" applyNumberFormat="1" applyFont="1" applyFill="1" applyBorder="1" applyAlignment="1">
      <alignment horizontal="right" wrapText="1"/>
    </xf>
    <xf numFmtId="43" fontId="4" fillId="7" borderId="0" xfId="0" applyNumberFormat="1" applyFont="1" applyFill="1" applyAlignment="1">
      <alignment horizontal="left" wrapText="1"/>
    </xf>
    <xf numFmtId="43" fontId="4" fillId="7" borderId="16" xfId="0" applyNumberFormat="1" applyFont="1" applyFill="1" applyBorder="1" applyAlignment="1">
      <alignment horizontal="left" wrapText="1"/>
    </xf>
    <xf numFmtId="43" fontId="20" fillId="7" borderId="9" xfId="4" applyFont="1" applyFill="1" applyBorder="1" applyAlignment="1">
      <alignment horizontal="right" vertical="center" wrapText="1"/>
    </xf>
    <xf numFmtId="0" fontId="5" fillId="7" borderId="17" xfId="0" applyFont="1" applyFill="1" applyBorder="1" applyAlignment="1">
      <alignment horizontal="right" wrapText="1"/>
    </xf>
    <xf numFmtId="0" fontId="5" fillId="7" borderId="18" xfId="0" applyFont="1" applyFill="1" applyBorder="1" applyAlignment="1">
      <alignment wrapText="1"/>
    </xf>
    <xf numFmtId="0" fontId="5" fillId="7" borderId="17" xfId="0" applyFont="1" applyFill="1" applyBorder="1" applyAlignment="1">
      <alignment wrapText="1"/>
    </xf>
    <xf numFmtId="166" fontId="21" fillId="7" borderId="19" xfId="0" applyNumberFormat="1" applyFont="1" applyFill="1" applyBorder="1" applyAlignment="1">
      <alignment wrapText="1"/>
    </xf>
    <xf numFmtId="43" fontId="28" fillId="7" borderId="20" xfId="4" applyFont="1" applyFill="1" applyBorder="1" applyAlignment="1">
      <alignment wrapText="1"/>
    </xf>
    <xf numFmtId="0" fontId="5" fillId="7" borderId="0" xfId="0" applyFont="1" applyFill="1" applyAlignment="1">
      <alignment horizontal="right" wrapText="1"/>
    </xf>
    <xf numFmtId="0" fontId="5" fillId="7" borderId="0" xfId="0" applyFont="1" applyFill="1" applyAlignment="1">
      <alignment wrapText="1"/>
    </xf>
    <xf numFmtId="166" fontId="21" fillId="7" borderId="0" xfId="0" applyNumberFormat="1" applyFont="1" applyFill="1" applyAlignment="1">
      <alignment wrapText="1"/>
    </xf>
    <xf numFmtId="166" fontId="20" fillId="7" borderId="0" xfId="0" applyNumberFormat="1" applyFont="1" applyFill="1" applyAlignment="1">
      <alignment wrapText="1"/>
    </xf>
    <xf numFmtId="43" fontId="3" fillId="2" borderId="0" xfId="0" applyNumberFormat="1" applyFont="1" applyFill="1" applyAlignment="1">
      <alignment wrapText="1"/>
    </xf>
    <xf numFmtId="0" fontId="29" fillId="7" borderId="0" xfId="0" applyFont="1" applyFill="1" applyAlignment="1">
      <alignment horizontal="right" wrapText="1"/>
    </xf>
    <xf numFmtId="0" fontId="29" fillId="7" borderId="0" xfId="0" applyFont="1" applyFill="1" applyAlignment="1">
      <alignment wrapText="1"/>
    </xf>
    <xf numFmtId="166" fontId="30" fillId="7" borderId="0" xfId="0" applyNumberFormat="1" applyFont="1" applyFill="1" applyAlignment="1">
      <alignment wrapText="1"/>
    </xf>
    <xf numFmtId="166" fontId="29" fillId="7" borderId="0" xfId="0" applyNumberFormat="1" applyFont="1" applyFill="1" applyAlignment="1">
      <alignment wrapText="1"/>
    </xf>
    <xf numFmtId="43" fontId="31" fillId="2" borderId="0" xfId="0" applyNumberFormat="1" applyFont="1" applyFill="1" applyAlignment="1">
      <alignment wrapText="1"/>
    </xf>
    <xf numFmtId="43" fontId="30" fillId="0" borderId="0" xfId="3" applyFont="1" applyAlignment="1">
      <alignment wrapText="1"/>
    </xf>
    <xf numFmtId="0" fontId="29" fillId="2" borderId="0" xfId="0" applyFont="1" applyFill="1" applyAlignment="1">
      <alignment horizontal="right" wrapText="1"/>
    </xf>
    <xf numFmtId="0" fontId="29" fillId="2" borderId="0" xfId="0" applyFont="1" applyFill="1" applyAlignment="1">
      <alignment wrapText="1"/>
    </xf>
    <xf numFmtId="166" fontId="30" fillId="2" borderId="0" xfId="0" applyNumberFormat="1" applyFont="1" applyFill="1" applyAlignment="1">
      <alignment wrapText="1"/>
    </xf>
    <xf numFmtId="166" fontId="8" fillId="2" borderId="0" xfId="0" applyNumberFormat="1" applyFont="1" applyFill="1" applyAlignment="1">
      <alignment horizontal="center" wrapText="1"/>
    </xf>
    <xf numFmtId="166" fontId="4" fillId="2" borderId="0" xfId="0" applyNumberFormat="1" applyFont="1" applyFill="1" applyAlignment="1">
      <alignment wrapText="1"/>
    </xf>
    <xf numFmtId="0" fontId="32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166" fontId="21" fillId="0" borderId="0" xfId="0" applyNumberFormat="1" applyFont="1" applyAlignment="1">
      <alignment wrapText="1"/>
    </xf>
    <xf numFmtId="0" fontId="3" fillId="2" borderId="0" xfId="0" applyFont="1" applyFill="1" applyAlignment="1">
      <alignment horizontal="center" wrapText="1"/>
    </xf>
    <xf numFmtId="43" fontId="3" fillId="2" borderId="0" xfId="3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9" fontId="3" fillId="2" borderId="0" xfId="0" applyNumberFormat="1" applyFont="1" applyFill="1" applyAlignment="1">
      <alignment wrapText="1"/>
    </xf>
    <xf numFmtId="0" fontId="5" fillId="2" borderId="0" xfId="0" applyFont="1" applyFill="1"/>
    <xf numFmtId="0" fontId="33" fillId="2" borderId="0" xfId="0" applyFont="1" applyFill="1" applyAlignment="1">
      <alignment horizontal="left" wrapText="1"/>
    </xf>
    <xf numFmtId="166" fontId="3" fillId="2" borderId="0" xfId="0" applyNumberFormat="1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9" fontId="3" fillId="2" borderId="21" xfId="0" applyNumberFormat="1" applyFont="1" applyFill="1" applyBorder="1" applyAlignment="1">
      <alignment wrapText="1"/>
    </xf>
    <xf numFmtId="166" fontId="3" fillId="2" borderId="0" xfId="0" applyNumberFormat="1" applyFont="1" applyFill="1" applyAlignment="1">
      <alignment wrapText="1"/>
    </xf>
    <xf numFmtId="166" fontId="3" fillId="2" borderId="0" xfId="0" applyNumberFormat="1" applyFont="1" applyFill="1" applyAlignment="1">
      <alignment horizontal="center" wrapText="1"/>
    </xf>
    <xf numFmtId="43" fontId="34" fillId="2" borderId="0" xfId="0" applyNumberFormat="1" applyFont="1" applyFill="1" applyAlignment="1">
      <alignment wrapText="1"/>
    </xf>
    <xf numFmtId="9" fontId="34" fillId="2" borderId="0" xfId="0" applyNumberFormat="1" applyFont="1" applyFill="1" applyAlignment="1">
      <alignment wrapText="1"/>
    </xf>
    <xf numFmtId="0" fontId="34" fillId="2" borderId="0" xfId="0" applyFont="1" applyFill="1" applyAlignment="1">
      <alignment wrapText="1"/>
    </xf>
    <xf numFmtId="166" fontId="34" fillId="2" borderId="0" xfId="0" applyNumberFormat="1" applyFont="1" applyFill="1" applyAlignment="1">
      <alignment wrapText="1"/>
    </xf>
    <xf numFmtId="9" fontId="3" fillId="2" borderId="0" xfId="2" applyFont="1" applyFill="1" applyAlignment="1">
      <alignment wrapText="1"/>
    </xf>
    <xf numFmtId="43" fontId="3" fillId="2" borderId="0" xfId="3" applyFont="1" applyFill="1" applyAlignment="1">
      <alignment wrapText="1"/>
    </xf>
    <xf numFmtId="0" fontId="6" fillId="0" borderId="0" xfId="0" applyFont="1"/>
    <xf numFmtId="0" fontId="35" fillId="2" borderId="14" xfId="0" applyFont="1" applyFill="1" applyBorder="1" applyAlignment="1">
      <alignment horizontal="right" wrapText="1"/>
    </xf>
    <xf numFmtId="9" fontId="14" fillId="2" borderId="7" xfId="0" applyNumberFormat="1" applyFont="1" applyFill="1" applyBorder="1" applyAlignment="1">
      <alignment wrapText="1"/>
    </xf>
    <xf numFmtId="0" fontId="14" fillId="2" borderId="7" xfId="0" applyFont="1" applyFill="1" applyBorder="1" applyAlignment="1">
      <alignment wrapText="1"/>
    </xf>
    <xf numFmtId="43" fontId="5" fillId="2" borderId="9" xfId="0" applyNumberFormat="1" applyFont="1" applyFill="1" applyBorder="1" applyAlignment="1">
      <alignment horizontal="left" wrapText="1"/>
    </xf>
    <xf numFmtId="166" fontId="7" fillId="2" borderId="9" xfId="0" applyNumberFormat="1" applyFont="1" applyFill="1" applyBorder="1" applyAlignment="1">
      <alignment wrapText="1"/>
    </xf>
    <xf numFmtId="43" fontId="20" fillId="7" borderId="9" xfId="0" applyNumberFormat="1" applyFont="1" applyFill="1" applyBorder="1" applyAlignment="1">
      <alignment horizontal="right" vertical="center" wrapText="1"/>
    </xf>
    <xf numFmtId="166" fontId="20" fillId="7" borderId="20" xfId="0" applyNumberFormat="1" applyFont="1" applyFill="1" applyBorder="1" applyAlignment="1">
      <alignment wrapText="1"/>
    </xf>
    <xf numFmtId="43" fontId="36" fillId="2" borderId="0" xfId="0" applyNumberFormat="1" applyFont="1" applyFill="1" applyAlignment="1">
      <alignment wrapText="1"/>
    </xf>
    <xf numFmtId="166" fontId="8" fillId="0" borderId="0" xfId="0" applyNumberFormat="1" applyFont="1" applyAlignment="1">
      <alignment wrapText="1"/>
    </xf>
    <xf numFmtId="166" fontId="37" fillId="2" borderId="0" xfId="0" applyNumberFormat="1" applyFont="1" applyFill="1" applyAlignment="1">
      <alignment horizontal="center" wrapText="1"/>
    </xf>
    <xf numFmtId="43" fontId="37" fillId="2" borderId="0" xfId="3" applyFont="1" applyFill="1" applyAlignment="1">
      <alignment wrapText="1"/>
    </xf>
    <xf numFmtId="0" fontId="38" fillId="2" borderId="0" xfId="0" applyFont="1" applyFill="1" applyAlignment="1">
      <alignment horizontal="center" wrapText="1"/>
    </xf>
    <xf numFmtId="43" fontId="38" fillId="2" borderId="0" xfId="3" applyFont="1" applyFill="1" applyAlignment="1">
      <alignment horizontal="center" wrapText="1"/>
    </xf>
    <xf numFmtId="9" fontId="37" fillId="2" borderId="0" xfId="2" applyFont="1" applyFill="1" applyAlignment="1">
      <alignment wrapText="1"/>
    </xf>
    <xf numFmtId="0" fontId="39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43" fontId="5" fillId="8" borderId="0" xfId="0" applyNumberFormat="1" applyFont="1" applyFill="1" applyAlignment="1">
      <alignment horizontal="center" wrapText="1"/>
    </xf>
    <xf numFmtId="43" fontId="5" fillId="8" borderId="0" xfId="0" applyNumberFormat="1" applyFont="1" applyFill="1" applyAlignment="1">
      <alignment horizontal="left" wrapText="1"/>
    </xf>
    <xf numFmtId="0" fontId="5" fillId="8" borderId="0" xfId="0" applyFont="1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8" borderId="22" xfId="0" applyFont="1" applyFill="1" applyBorder="1" applyAlignment="1">
      <alignment horizontal="left" wrapText="1"/>
    </xf>
    <xf numFmtId="43" fontId="5" fillId="10" borderId="25" xfId="0" applyNumberFormat="1" applyFont="1" applyFill="1" applyBorder="1" applyAlignment="1">
      <alignment horizontal="center" wrapText="1"/>
    </xf>
    <xf numFmtId="0" fontId="4" fillId="8" borderId="0" xfId="0" applyFont="1" applyFill="1" applyAlignment="1">
      <alignment vertical="center" wrapText="1"/>
    </xf>
    <xf numFmtId="0" fontId="41" fillId="8" borderId="0" xfId="5" applyFont="1" applyFill="1" applyAlignment="1" applyProtection="1">
      <alignment horizontal="center" vertical="center" wrapText="1"/>
    </xf>
    <xf numFmtId="0" fontId="41" fillId="8" borderId="26" xfId="5" applyFont="1" applyFill="1" applyBorder="1" applyAlignment="1" applyProtection="1">
      <alignment horizontal="center" vertical="center" wrapText="1"/>
    </xf>
    <xf numFmtId="0" fontId="5" fillId="10" borderId="27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39" fillId="8" borderId="0" xfId="0" applyFont="1" applyFill="1" applyAlignment="1">
      <alignment vertical="center" wrapText="1"/>
    </xf>
    <xf numFmtId="0" fontId="5" fillId="8" borderId="30" xfId="0" applyFont="1" applyFill="1" applyBorder="1" applyAlignment="1">
      <alignment wrapText="1"/>
    </xf>
    <xf numFmtId="0" fontId="5" fillId="8" borderId="31" xfId="0" applyFont="1" applyFill="1" applyBorder="1" applyAlignment="1">
      <alignment wrapText="1"/>
    </xf>
    <xf numFmtId="43" fontId="5" fillId="8" borderId="32" xfId="1" applyNumberFormat="1" applyFont="1" applyFill="1" applyBorder="1" applyAlignment="1">
      <alignment horizontal="center" wrapText="1"/>
    </xf>
    <xf numFmtId="43" fontId="5" fillId="8" borderId="33" xfId="1" applyNumberFormat="1" applyFont="1" applyFill="1" applyBorder="1" applyAlignment="1">
      <alignment horizontal="center" wrapText="1"/>
    </xf>
    <xf numFmtId="43" fontId="5" fillId="8" borderId="34" xfId="1" applyNumberFormat="1" applyFont="1" applyFill="1" applyBorder="1" applyAlignment="1">
      <alignment horizontal="center" wrapText="1"/>
    </xf>
    <xf numFmtId="0" fontId="4" fillId="8" borderId="3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43" fontId="4" fillId="8" borderId="36" xfId="1" applyNumberFormat="1" applyFont="1" applyFill="1" applyBorder="1" applyAlignment="1">
      <alignment horizontal="right" wrapText="1"/>
    </xf>
    <xf numFmtId="43" fontId="4" fillId="8" borderId="37" xfId="1" applyNumberFormat="1" applyFont="1" applyFill="1" applyBorder="1" applyAlignment="1">
      <alignment horizontal="right" wrapText="1"/>
    </xf>
    <xf numFmtId="43" fontId="4" fillId="8" borderId="34" xfId="1" applyNumberFormat="1" applyFont="1" applyFill="1" applyBorder="1" applyAlignment="1">
      <alignment horizontal="right" wrapText="1"/>
    </xf>
    <xf numFmtId="43" fontId="42" fillId="8" borderId="36" xfId="1" applyNumberFormat="1" applyFont="1" applyFill="1" applyBorder="1" applyAlignment="1">
      <alignment horizontal="right" wrapText="1"/>
    </xf>
    <xf numFmtId="43" fontId="42" fillId="8" borderId="34" xfId="1" applyNumberFormat="1" applyFont="1" applyFill="1" applyBorder="1" applyAlignment="1">
      <alignment horizontal="right" wrapText="1"/>
    </xf>
    <xf numFmtId="0" fontId="8" fillId="8" borderId="0" xfId="0" applyFont="1" applyFill="1" applyAlignment="1">
      <alignment wrapText="1"/>
    </xf>
    <xf numFmtId="0" fontId="17" fillId="8" borderId="35" xfId="0" applyFont="1" applyFill="1" applyBorder="1" applyAlignment="1">
      <alignment wrapText="1"/>
    </xf>
    <xf numFmtId="0" fontId="17" fillId="8" borderId="26" xfId="0" applyFont="1" applyFill="1" applyBorder="1" applyAlignment="1">
      <alignment wrapText="1"/>
    </xf>
    <xf numFmtId="0" fontId="5" fillId="8" borderId="35" xfId="0" applyFont="1" applyFill="1" applyBorder="1" applyAlignment="1">
      <alignment wrapText="1"/>
    </xf>
    <xf numFmtId="0" fontId="5" fillId="8" borderId="26" xfId="0" applyFont="1" applyFill="1" applyBorder="1" applyAlignment="1">
      <alignment wrapText="1"/>
    </xf>
    <xf numFmtId="0" fontId="5" fillId="8" borderId="35" xfId="5" applyFont="1" applyFill="1" applyBorder="1" applyAlignment="1" applyProtection="1">
      <alignment wrapText="1"/>
    </xf>
    <xf numFmtId="0" fontId="5" fillId="8" borderId="26" xfId="5" applyFont="1" applyFill="1" applyBorder="1" applyAlignment="1" applyProtection="1">
      <alignment wrapText="1"/>
    </xf>
    <xf numFmtId="43" fontId="5" fillId="8" borderId="36" xfId="1" applyNumberFormat="1" applyFont="1" applyFill="1" applyBorder="1" applyAlignment="1">
      <alignment horizontal="right" wrapText="1"/>
    </xf>
    <xf numFmtId="43" fontId="5" fillId="8" borderId="37" xfId="1" applyNumberFormat="1" applyFont="1" applyFill="1" applyBorder="1" applyAlignment="1">
      <alignment horizontal="right" wrapText="1"/>
    </xf>
    <xf numFmtId="43" fontId="5" fillId="8" borderId="34" xfId="1" applyNumberFormat="1" applyFont="1" applyFill="1" applyBorder="1" applyAlignment="1">
      <alignment horizontal="right" wrapText="1"/>
    </xf>
    <xf numFmtId="0" fontId="43" fillId="8" borderId="38" xfId="0" applyFont="1" applyFill="1" applyBorder="1" applyAlignment="1">
      <alignment horizontal="center" wrapText="1"/>
    </xf>
    <xf numFmtId="0" fontId="43" fillId="8" borderId="39" xfId="0" applyFont="1" applyFill="1" applyBorder="1" applyAlignment="1">
      <alignment horizontal="center" wrapText="1"/>
    </xf>
    <xf numFmtId="0" fontId="5" fillId="9" borderId="35" xfId="0" applyFont="1" applyFill="1" applyBorder="1" applyAlignment="1">
      <alignment wrapText="1"/>
    </xf>
    <xf numFmtId="0" fontId="5" fillId="9" borderId="26" xfId="0" applyFont="1" applyFill="1" applyBorder="1" applyAlignment="1">
      <alignment horizontal="center" wrapText="1"/>
    </xf>
    <xf numFmtId="0" fontId="5" fillId="9" borderId="36" xfId="1" applyNumberFormat="1" applyFont="1" applyFill="1" applyBorder="1" applyAlignment="1">
      <alignment horizontal="right" wrapText="1"/>
    </xf>
    <xf numFmtId="0" fontId="5" fillId="9" borderId="37" xfId="1" applyNumberFormat="1" applyFont="1" applyFill="1" applyBorder="1" applyAlignment="1">
      <alignment horizontal="right" wrapText="1"/>
    </xf>
    <xf numFmtId="0" fontId="5" fillId="9" borderId="34" xfId="1" applyNumberFormat="1" applyFont="1" applyFill="1" applyBorder="1" applyAlignment="1">
      <alignment horizontal="right" wrapText="1"/>
    </xf>
    <xf numFmtId="0" fontId="8" fillId="8" borderId="38" xfId="0" applyFont="1" applyFill="1" applyBorder="1" applyAlignment="1">
      <alignment horizontal="center" wrapText="1"/>
    </xf>
    <xf numFmtId="0" fontId="8" fillId="8" borderId="39" xfId="0" applyFont="1" applyFill="1" applyBorder="1" applyAlignment="1">
      <alignment horizontal="center" wrapText="1"/>
    </xf>
    <xf numFmtId="0" fontId="5" fillId="0" borderId="26" xfId="0" applyFont="1" applyBorder="1" applyAlignment="1">
      <alignment wrapText="1"/>
    </xf>
    <xf numFmtId="165" fontId="5" fillId="8" borderId="36" xfId="1" applyNumberFormat="1" applyFont="1" applyFill="1" applyBorder="1" applyAlignment="1">
      <alignment horizontal="right" wrapText="1"/>
    </xf>
    <xf numFmtId="165" fontId="5" fillId="8" borderId="37" xfId="1" applyNumberFormat="1" applyFont="1" applyFill="1" applyBorder="1" applyAlignment="1">
      <alignment horizontal="right" wrapText="1"/>
    </xf>
    <xf numFmtId="165" fontId="5" fillId="8" borderId="34" xfId="1" applyNumberFormat="1" applyFont="1" applyFill="1" applyBorder="1" applyAlignment="1">
      <alignment horizontal="right" wrapText="1"/>
    </xf>
    <xf numFmtId="0" fontId="8" fillId="0" borderId="38" xfId="0" applyFont="1" applyBorder="1" applyAlignment="1">
      <alignment horizontal="center" wrapText="1"/>
    </xf>
    <xf numFmtId="0" fontId="8" fillId="0" borderId="39" xfId="0" applyFont="1" applyBorder="1" applyAlignment="1">
      <alignment horizontal="center" wrapText="1"/>
    </xf>
    <xf numFmtId="43" fontId="8" fillId="0" borderId="38" xfId="0" applyNumberFormat="1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165" fontId="5" fillId="0" borderId="26" xfId="0" applyNumberFormat="1" applyFont="1" applyBorder="1" applyAlignment="1">
      <alignment wrapText="1"/>
    </xf>
    <xf numFmtId="165" fontId="44" fillId="8" borderId="36" xfId="1" applyNumberFormat="1" applyFont="1" applyFill="1" applyBorder="1" applyAlignment="1">
      <alignment horizontal="right" wrapText="1"/>
    </xf>
    <xf numFmtId="165" fontId="44" fillId="8" borderId="37" xfId="1" applyNumberFormat="1" applyFont="1" applyFill="1" applyBorder="1" applyAlignment="1">
      <alignment horizontal="right" wrapText="1"/>
    </xf>
    <xf numFmtId="165" fontId="44" fillId="8" borderId="34" xfId="1" applyNumberFormat="1" applyFont="1" applyFill="1" applyBorder="1" applyAlignment="1">
      <alignment horizontal="right" wrapText="1"/>
    </xf>
    <xf numFmtId="0" fontId="7" fillId="0" borderId="0" xfId="0" applyFont="1" applyAlignment="1">
      <alignment horizontal="center" wrapText="1"/>
    </xf>
    <xf numFmtId="164" fontId="8" fillId="0" borderId="0" xfId="1" applyFont="1" applyAlignment="1">
      <alignment wrapText="1"/>
    </xf>
    <xf numFmtId="164" fontId="8" fillId="0" borderId="0" xfId="0" applyNumberFormat="1" applyFont="1" applyAlignment="1">
      <alignment wrapText="1"/>
    </xf>
    <xf numFmtId="0" fontId="5" fillId="0" borderId="35" xfId="0" applyFont="1" applyBorder="1" applyAlignment="1">
      <alignment wrapText="1"/>
    </xf>
    <xf numFmtId="43" fontId="20" fillId="8" borderId="36" xfId="1" applyNumberFormat="1" applyFont="1" applyFill="1" applyBorder="1" applyAlignment="1">
      <alignment horizontal="right" wrapText="1"/>
    </xf>
    <xf numFmtId="43" fontId="20" fillId="8" borderId="37" xfId="1" applyNumberFormat="1" applyFont="1" applyFill="1" applyBorder="1" applyAlignment="1">
      <alignment horizontal="right" wrapText="1"/>
    </xf>
    <xf numFmtId="43" fontId="20" fillId="8" borderId="34" xfId="1" applyNumberFormat="1" applyFont="1" applyFill="1" applyBorder="1" applyAlignment="1">
      <alignment horizontal="right" wrapText="1"/>
    </xf>
    <xf numFmtId="0" fontId="5" fillId="0" borderId="35" xfId="5" applyFont="1" applyBorder="1" applyAlignment="1" applyProtection="1">
      <alignment horizontal="left" wrapText="1"/>
    </xf>
    <xf numFmtId="164" fontId="5" fillId="0" borderId="26" xfId="5" applyNumberFormat="1" applyFont="1" applyBorder="1" applyAlignment="1" applyProtection="1">
      <alignment wrapText="1"/>
    </xf>
    <xf numFmtId="164" fontId="8" fillId="0" borderId="36" xfId="0" applyNumberFormat="1" applyFont="1" applyBorder="1" applyAlignment="1">
      <alignment wrapText="1"/>
    </xf>
    <xf numFmtId="164" fontId="8" fillId="0" borderId="37" xfId="0" applyNumberFormat="1" applyFont="1" applyBorder="1" applyAlignment="1">
      <alignment wrapText="1"/>
    </xf>
    <xf numFmtId="164" fontId="8" fillId="0" borderId="34" xfId="0" applyNumberFormat="1" applyFont="1" applyBorder="1" applyAlignment="1">
      <alignment wrapText="1"/>
    </xf>
    <xf numFmtId="164" fontId="5" fillId="9" borderId="36" xfId="5" applyNumberFormat="1" applyFont="1" applyFill="1" applyBorder="1" applyAlignment="1" applyProtection="1">
      <alignment horizontal="left" wrapText="1"/>
    </xf>
    <xf numFmtId="0" fontId="39" fillId="9" borderId="0" xfId="0" applyFont="1" applyFill="1" applyAlignment="1">
      <alignment wrapText="1"/>
    </xf>
    <xf numFmtId="164" fontId="7" fillId="9" borderId="36" xfId="0" applyNumberFormat="1" applyFont="1" applyFill="1" applyBorder="1" applyAlignment="1">
      <alignment horizontal="center" wrapText="1"/>
    </xf>
    <xf numFmtId="164" fontId="7" fillId="9" borderId="37" xfId="0" applyNumberFormat="1" applyFont="1" applyFill="1" applyBorder="1" applyAlignment="1">
      <alignment horizontal="center" wrapText="1"/>
    </xf>
    <xf numFmtId="164" fontId="7" fillId="9" borderId="34" xfId="0" applyNumberFormat="1" applyFont="1" applyFill="1" applyBorder="1" applyAlignment="1">
      <alignment horizontal="center" wrapText="1"/>
    </xf>
    <xf numFmtId="0" fontId="45" fillId="8" borderId="35" xfId="5" applyFont="1" applyFill="1" applyBorder="1" applyAlignment="1" applyProtection="1">
      <alignment wrapText="1"/>
    </xf>
    <xf numFmtId="43" fontId="45" fillId="8" borderId="26" xfId="5" applyNumberFormat="1" applyFont="1" applyFill="1" applyBorder="1" applyAlignment="1" applyProtection="1">
      <alignment wrapText="1"/>
    </xf>
    <xf numFmtId="43" fontId="46" fillId="8" borderId="36" xfId="1" applyNumberFormat="1" applyFont="1" applyFill="1" applyBorder="1" applyAlignment="1">
      <alignment horizontal="left" wrapText="1"/>
    </xf>
    <xf numFmtId="43" fontId="46" fillId="8" borderId="37" xfId="1" applyNumberFormat="1" applyFont="1" applyFill="1" applyBorder="1" applyAlignment="1">
      <alignment horizontal="left" wrapText="1"/>
    </xf>
    <xf numFmtId="43" fontId="46" fillId="8" borderId="34" xfId="1" applyNumberFormat="1" applyFont="1" applyFill="1" applyBorder="1" applyAlignment="1">
      <alignment horizontal="left" wrapText="1"/>
    </xf>
    <xf numFmtId="0" fontId="47" fillId="8" borderId="0" xfId="0" applyFont="1" applyFill="1" applyAlignment="1">
      <alignment wrapText="1"/>
    </xf>
    <xf numFmtId="43" fontId="46" fillId="8" borderId="35" xfId="1" applyNumberFormat="1" applyFont="1" applyFill="1" applyBorder="1" applyAlignment="1">
      <alignment horizontal="left" wrapText="1"/>
    </xf>
    <xf numFmtId="43" fontId="46" fillId="8" borderId="26" xfId="1" applyNumberFormat="1" applyFont="1" applyFill="1" applyBorder="1" applyAlignment="1">
      <alignment horizontal="left" wrapText="1"/>
    </xf>
    <xf numFmtId="43" fontId="45" fillId="8" borderId="34" xfId="1" applyNumberFormat="1" applyFont="1" applyFill="1" applyBorder="1" applyAlignment="1">
      <alignment horizontal="left" wrapText="1"/>
    </xf>
    <xf numFmtId="0" fontId="45" fillId="8" borderId="26" xfId="5" applyFont="1" applyFill="1" applyBorder="1" applyAlignment="1" applyProtection="1">
      <alignment wrapText="1"/>
    </xf>
    <xf numFmtId="43" fontId="4" fillId="8" borderId="36" xfId="1" applyNumberFormat="1" applyFont="1" applyFill="1" applyBorder="1" applyAlignment="1">
      <alignment horizontal="left" wrapText="1"/>
    </xf>
    <xf numFmtId="43" fontId="4" fillId="8" borderId="37" xfId="1" applyNumberFormat="1" applyFont="1" applyFill="1" applyBorder="1" applyAlignment="1">
      <alignment horizontal="left" wrapText="1"/>
    </xf>
    <xf numFmtId="43" fontId="4" fillId="8" borderId="34" xfId="1" applyNumberFormat="1" applyFont="1" applyFill="1" applyBorder="1" applyAlignment="1">
      <alignment horizontal="left" wrapText="1"/>
    </xf>
    <xf numFmtId="43" fontId="5" fillId="9" borderId="35" xfId="1" applyNumberFormat="1" applyFont="1" applyFill="1" applyBorder="1" applyAlignment="1">
      <alignment horizontal="left" wrapText="1"/>
    </xf>
    <xf numFmtId="43" fontId="5" fillId="9" borderId="26" xfId="1" applyNumberFormat="1" applyFont="1" applyFill="1" applyBorder="1" applyAlignment="1">
      <alignment horizontal="left" wrapText="1"/>
    </xf>
    <xf numFmtId="0" fontId="45" fillId="0" borderId="35" xfId="5" applyFont="1" applyBorder="1" applyAlignment="1" applyProtection="1">
      <alignment wrapText="1"/>
    </xf>
    <xf numFmtId="164" fontId="45" fillId="0" borderId="26" xfId="5" applyNumberFormat="1" applyFont="1" applyBorder="1" applyAlignment="1" applyProtection="1">
      <alignment wrapText="1"/>
    </xf>
    <xf numFmtId="164" fontId="47" fillId="0" borderId="36" xfId="0" applyNumberFormat="1" applyFont="1" applyBorder="1" applyAlignment="1">
      <alignment wrapText="1"/>
    </xf>
    <xf numFmtId="164" fontId="47" fillId="0" borderId="37" xfId="0" applyNumberFormat="1" applyFont="1" applyBorder="1" applyAlignment="1">
      <alignment wrapText="1"/>
    </xf>
    <xf numFmtId="164" fontId="47" fillId="0" borderId="34" xfId="0" applyNumberFormat="1" applyFont="1" applyBorder="1" applyAlignment="1">
      <alignment wrapText="1"/>
    </xf>
    <xf numFmtId="164" fontId="47" fillId="8" borderId="34" xfId="0" applyNumberFormat="1" applyFont="1" applyFill="1" applyBorder="1" applyAlignment="1">
      <alignment wrapText="1"/>
    </xf>
    <xf numFmtId="164" fontId="47" fillId="8" borderId="0" xfId="0" applyNumberFormat="1" applyFont="1" applyFill="1" applyAlignment="1">
      <alignment wrapText="1"/>
    </xf>
    <xf numFmtId="0" fontId="5" fillId="0" borderId="35" xfId="5" applyFont="1" applyBorder="1" applyAlignment="1" applyProtection="1">
      <alignment wrapText="1"/>
    </xf>
    <xf numFmtId="0" fontId="5" fillId="9" borderId="35" xfId="5" applyFont="1" applyFill="1" applyBorder="1" applyAlignment="1" applyProtection="1">
      <alignment wrapText="1"/>
    </xf>
    <xf numFmtId="0" fontId="5" fillId="9" borderId="26" xfId="5" applyFont="1" applyFill="1" applyBorder="1" applyAlignment="1" applyProtection="1">
      <alignment wrapText="1"/>
    </xf>
    <xf numFmtId="43" fontId="5" fillId="9" borderId="36" xfId="1" applyNumberFormat="1" applyFont="1" applyFill="1" applyBorder="1" applyAlignment="1">
      <alignment horizontal="left" wrapText="1"/>
    </xf>
    <xf numFmtId="43" fontId="5" fillId="9" borderId="37" xfId="1" applyNumberFormat="1" applyFont="1" applyFill="1" applyBorder="1" applyAlignment="1">
      <alignment horizontal="left" wrapText="1"/>
    </xf>
    <xf numFmtId="43" fontId="5" fillId="9" borderId="34" xfId="1" applyNumberFormat="1" applyFont="1" applyFill="1" applyBorder="1" applyAlignment="1">
      <alignment horizontal="left" wrapText="1"/>
    </xf>
    <xf numFmtId="164" fontId="39" fillId="8" borderId="36" xfId="1" applyFont="1" applyFill="1" applyBorder="1" applyAlignment="1">
      <alignment wrapText="1"/>
    </xf>
    <xf numFmtId="164" fontId="39" fillId="8" borderId="37" xfId="1" applyFont="1" applyFill="1" applyBorder="1" applyAlignment="1">
      <alignment wrapText="1"/>
    </xf>
    <xf numFmtId="0" fontId="5" fillId="8" borderId="35" xfId="5" applyFont="1" applyFill="1" applyBorder="1" applyAlignment="1" applyProtection="1">
      <alignment horizontal="left" wrapText="1"/>
    </xf>
    <xf numFmtId="43" fontId="4" fillId="8" borderId="36" xfId="1" applyNumberFormat="1" applyFont="1" applyFill="1" applyBorder="1" applyAlignment="1">
      <alignment horizontal="right" vertical="center" wrapText="1"/>
    </xf>
    <xf numFmtId="43" fontId="4" fillId="8" borderId="37" xfId="1" applyNumberFormat="1" applyFont="1" applyFill="1" applyBorder="1" applyAlignment="1">
      <alignment horizontal="right" vertical="center" wrapText="1"/>
    </xf>
    <xf numFmtId="43" fontId="4" fillId="8" borderId="34" xfId="1" applyNumberFormat="1" applyFont="1" applyFill="1" applyBorder="1" applyAlignment="1">
      <alignment horizontal="right" vertical="center" wrapText="1"/>
    </xf>
    <xf numFmtId="0" fontId="26" fillId="8" borderId="35" xfId="5" applyFont="1" applyFill="1" applyBorder="1" applyAlignment="1" applyProtection="1">
      <alignment wrapText="1"/>
    </xf>
    <xf numFmtId="43" fontId="27" fillId="8" borderId="36" xfId="1" applyNumberFormat="1" applyFont="1" applyFill="1" applyBorder="1" applyAlignment="1">
      <alignment horizontal="right" vertical="center" wrapText="1"/>
    </xf>
    <xf numFmtId="43" fontId="5" fillId="9" borderId="36" xfId="1" applyNumberFormat="1" applyFont="1" applyFill="1" applyBorder="1" applyAlignment="1">
      <alignment horizontal="right" vertical="center" wrapText="1"/>
    </xf>
    <xf numFmtId="43" fontId="5" fillId="9" borderId="37" xfId="1" applyNumberFormat="1" applyFont="1" applyFill="1" applyBorder="1" applyAlignment="1">
      <alignment horizontal="right" vertical="center" wrapText="1"/>
    </xf>
    <xf numFmtId="43" fontId="5" fillId="9" borderId="34" xfId="1" applyNumberFormat="1" applyFont="1" applyFill="1" applyBorder="1" applyAlignment="1">
      <alignment horizontal="right" vertical="center" wrapText="1"/>
    </xf>
    <xf numFmtId="0" fontId="5" fillId="8" borderId="26" xfId="5" applyFont="1" applyFill="1" applyBorder="1" applyAlignment="1" applyProtection="1">
      <alignment horizontal="left" wrapText="1"/>
    </xf>
    <xf numFmtId="0" fontId="5" fillId="8" borderId="37" xfId="5" applyFont="1" applyFill="1" applyBorder="1" applyAlignment="1" applyProtection="1">
      <alignment horizontal="left" wrapText="1"/>
    </xf>
    <xf numFmtId="0" fontId="5" fillId="11" borderId="35" xfId="5" applyFont="1" applyFill="1" applyBorder="1" applyAlignment="1" applyProtection="1">
      <alignment wrapText="1"/>
    </xf>
    <xf numFmtId="0" fontId="5" fillId="11" borderId="26" xfId="5" applyFont="1" applyFill="1" applyBorder="1" applyAlignment="1" applyProtection="1">
      <alignment wrapText="1"/>
    </xf>
    <xf numFmtId="164" fontId="5" fillId="11" borderId="35" xfId="1" applyFont="1" applyFill="1" applyBorder="1" applyAlignment="1">
      <alignment wrapText="1"/>
    </xf>
    <xf numFmtId="164" fontId="5" fillId="11" borderId="26" xfId="1" applyFont="1" applyFill="1" applyBorder="1" applyAlignment="1">
      <alignment wrapText="1"/>
    </xf>
    <xf numFmtId="164" fontId="5" fillId="11" borderId="37" xfId="1" applyFont="1" applyFill="1" applyBorder="1" applyAlignment="1">
      <alignment wrapText="1"/>
    </xf>
    <xf numFmtId="164" fontId="5" fillId="11" borderId="34" xfId="1" applyFont="1" applyFill="1" applyBorder="1" applyAlignment="1">
      <alignment wrapText="1"/>
    </xf>
    <xf numFmtId="43" fontId="4" fillId="8" borderId="35" xfId="1" applyNumberFormat="1" applyFont="1" applyFill="1" applyBorder="1" applyAlignment="1">
      <alignment horizontal="left" wrapText="1"/>
    </xf>
    <xf numFmtId="43" fontId="4" fillId="8" borderId="26" xfId="1" applyNumberFormat="1" applyFont="1" applyFill="1" applyBorder="1" applyAlignment="1">
      <alignment horizontal="left" wrapText="1"/>
    </xf>
    <xf numFmtId="0" fontId="5" fillId="0" borderId="40" xfId="5" applyFont="1" applyBorder="1" applyAlignment="1" applyProtection="1">
      <alignment wrapText="1"/>
    </xf>
    <xf numFmtId="0" fontId="5" fillId="0" borderId="41" xfId="5" applyFont="1" applyBorder="1" applyAlignment="1" applyProtection="1">
      <alignment wrapText="1"/>
    </xf>
    <xf numFmtId="0" fontId="8" fillId="0" borderId="42" xfId="0" applyFont="1" applyBorder="1" applyAlignment="1">
      <alignment wrapText="1"/>
    </xf>
    <xf numFmtId="0" fontId="5" fillId="0" borderId="43" xfId="5" applyFont="1" applyBorder="1" applyAlignment="1" applyProtection="1">
      <alignment wrapText="1"/>
    </xf>
    <xf numFmtId="0" fontId="8" fillId="0" borderId="0" xfId="0" quotePrefix="1" applyFont="1" applyAlignment="1">
      <alignment wrapText="1"/>
    </xf>
    <xf numFmtId="0" fontId="29" fillId="11" borderId="0" xfId="5" applyFont="1" applyFill="1" applyAlignment="1" applyProtection="1">
      <alignment wrapText="1"/>
    </xf>
    <xf numFmtId="0" fontId="5" fillId="11" borderId="0" xfId="5" applyFont="1" applyFill="1" applyAlignment="1" applyProtection="1">
      <alignment wrapText="1"/>
    </xf>
    <xf numFmtId="43" fontId="5" fillId="11" borderId="0" xfId="5" applyNumberFormat="1" applyFont="1" applyFill="1" applyAlignment="1" applyProtection="1">
      <alignment wrapText="1"/>
    </xf>
    <xf numFmtId="43" fontId="20" fillId="11" borderId="44" xfId="5" applyNumberFormat="1" applyFont="1" applyFill="1" applyBorder="1" applyAlignment="1" applyProtection="1">
      <alignment wrapText="1"/>
    </xf>
    <xf numFmtId="164" fontId="48" fillId="12" borderId="45" xfId="1" applyFont="1" applyFill="1" applyBorder="1" applyAlignment="1">
      <alignment horizontal="center" wrapText="1"/>
    </xf>
    <xf numFmtId="164" fontId="8" fillId="0" borderId="0" xfId="1" quotePrefix="1" applyFont="1" applyAlignment="1">
      <alignment wrapText="1"/>
    </xf>
    <xf numFmtId="164" fontId="49" fillId="8" borderId="0" xfId="0" applyNumberFormat="1" applyFont="1" applyFill="1" applyAlignment="1">
      <alignment wrapText="1"/>
    </xf>
    <xf numFmtId="164" fontId="50" fillId="8" borderId="0" xfId="0" applyNumberFormat="1" applyFont="1" applyFill="1" applyAlignment="1">
      <alignment wrapText="1"/>
    </xf>
    <xf numFmtId="9" fontId="39" fillId="8" borderId="0" xfId="2" applyFont="1" applyFill="1" applyAlignment="1">
      <alignment wrapText="1"/>
    </xf>
    <xf numFmtId="0" fontId="39" fillId="11" borderId="0" xfId="0" applyFont="1" applyFill="1" applyAlignment="1">
      <alignment wrapText="1"/>
    </xf>
    <xf numFmtId="164" fontId="39" fillId="11" borderId="0" xfId="1" applyFont="1" applyFill="1" applyAlignment="1">
      <alignment wrapText="1"/>
    </xf>
    <xf numFmtId="164" fontId="39" fillId="8" borderId="0" xfId="0" applyNumberFormat="1" applyFont="1" applyFill="1" applyAlignment="1">
      <alignment wrapText="1"/>
    </xf>
    <xf numFmtId="164" fontId="43" fillId="8" borderId="0" xfId="1" applyFont="1" applyFill="1"/>
    <xf numFmtId="0" fontId="5" fillId="0" borderId="0" xfId="5" applyFont="1" applyAlignment="1" applyProtection="1">
      <alignment wrapText="1"/>
    </xf>
    <xf numFmtId="43" fontId="29" fillId="13" borderId="44" xfId="5" applyNumberFormat="1" applyFont="1" applyFill="1" applyBorder="1" applyAlignment="1" applyProtection="1">
      <alignment wrapText="1"/>
    </xf>
    <xf numFmtId="164" fontId="7" fillId="13" borderId="45" xfId="1" applyFont="1" applyFill="1" applyBorder="1" applyAlignment="1">
      <alignment horizontal="center" wrapText="1"/>
    </xf>
    <xf numFmtId="43" fontId="29" fillId="0" borderId="0" xfId="5" applyNumberFormat="1" applyFont="1" applyAlignment="1" applyProtection="1">
      <alignment wrapText="1"/>
    </xf>
    <xf numFmtId="164" fontId="7" fillId="0" borderId="0" xfId="1" applyFont="1" applyAlignment="1">
      <alignment horizontal="center" wrapText="1"/>
    </xf>
    <xf numFmtId="0" fontId="48" fillId="8" borderId="0" xfId="0" applyFont="1" applyFill="1" applyAlignment="1">
      <alignment horizontal="center" wrapText="1"/>
    </xf>
    <xf numFmtId="164" fontId="51" fillId="8" borderId="0" xfId="1" applyFont="1" applyFill="1" applyAlignment="1">
      <alignment horizontal="right" wrapText="1"/>
    </xf>
    <xf numFmtId="0" fontId="49" fillId="8" borderId="0" xfId="0" applyFont="1" applyFill="1" applyAlignment="1">
      <alignment wrapText="1"/>
    </xf>
    <xf numFmtId="0" fontId="48" fillId="0" borderId="0" xfId="0" applyFont="1" applyAlignment="1">
      <alignment horizontal="center" wrapText="1"/>
    </xf>
    <xf numFmtId="164" fontId="51" fillId="0" borderId="0" xfId="1" applyFont="1" applyAlignment="1">
      <alignment horizontal="right" wrapText="1"/>
    </xf>
    <xf numFmtId="164" fontId="39" fillId="0" borderId="0" xfId="0" applyNumberFormat="1" applyFont="1" applyAlignment="1">
      <alignment wrapText="1"/>
    </xf>
    <xf numFmtId="0" fontId="39" fillId="0" borderId="0" xfId="0" applyFont="1" applyAlignment="1">
      <alignment wrapText="1"/>
    </xf>
    <xf numFmtId="0" fontId="49" fillId="0" borderId="0" xfId="0" applyFont="1" applyAlignment="1">
      <alignment wrapText="1"/>
    </xf>
    <xf numFmtId="43" fontId="29" fillId="11" borderId="44" xfId="5" applyNumberFormat="1" applyFont="1" applyFill="1" applyBorder="1" applyAlignment="1" applyProtection="1">
      <alignment wrapText="1"/>
    </xf>
    <xf numFmtId="164" fontId="7" fillId="12" borderId="45" xfId="1" applyFont="1" applyFill="1" applyBorder="1" applyAlignment="1">
      <alignment horizontal="center" wrapText="1"/>
    </xf>
    <xf numFmtId="0" fontId="48" fillId="8" borderId="0" xfId="5" applyFont="1" applyFill="1" applyAlignment="1" applyProtection="1">
      <alignment wrapText="1"/>
    </xf>
    <xf numFmtId="0" fontId="5" fillId="10" borderId="46" xfId="0" applyFont="1" applyFill="1" applyBorder="1" applyAlignment="1">
      <alignment horizontal="center" vertical="center" wrapText="1"/>
    </xf>
    <xf numFmtId="0" fontId="5" fillId="10" borderId="39" xfId="0" applyFont="1" applyFill="1" applyBorder="1" applyAlignment="1">
      <alignment horizontal="center" vertical="center" wrapText="1"/>
    </xf>
    <xf numFmtId="0" fontId="48" fillId="8" borderId="46" xfId="5" applyFont="1" applyFill="1" applyBorder="1" applyAlignment="1" applyProtection="1">
      <alignment wrapText="1"/>
    </xf>
    <xf numFmtId="0" fontId="51" fillId="8" borderId="47" xfId="5" applyFont="1" applyFill="1" applyBorder="1" applyAlignment="1" applyProtection="1">
      <alignment wrapText="1"/>
    </xf>
    <xf numFmtId="43" fontId="52" fillId="8" borderId="39" xfId="1" applyNumberFormat="1" applyFont="1" applyFill="1" applyBorder="1" applyAlignment="1">
      <alignment horizontal="right" wrapText="1"/>
    </xf>
    <xf numFmtId="0" fontId="2" fillId="0" borderId="0" xfId="0" applyFont="1"/>
    <xf numFmtId="43" fontId="0" fillId="0" borderId="0" xfId="4" applyFont="1"/>
    <xf numFmtId="164" fontId="0" fillId="0" borderId="0" xfId="1" applyFont="1"/>
    <xf numFmtId="164" fontId="2" fillId="0" borderId="0" xfId="1" applyFont="1" applyAlignment="1">
      <alignment horizontal="center"/>
    </xf>
    <xf numFmtId="43" fontId="2" fillId="0" borderId="0" xfId="4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64" fontId="0" fillId="0" borderId="0" xfId="0" applyNumberFormat="1"/>
    <xf numFmtId="43" fontId="2" fillId="0" borderId="0" xfId="4" applyFont="1"/>
    <xf numFmtId="0" fontId="0" fillId="0" borderId="0" xfId="0" applyAlignment="1">
      <alignment horizontal="left"/>
    </xf>
    <xf numFmtId="4" fontId="0" fillId="0" borderId="0" xfId="0" applyNumberFormat="1"/>
    <xf numFmtId="167" fontId="0" fillId="0" borderId="0" xfId="0" applyNumberFormat="1"/>
    <xf numFmtId="16" fontId="0" fillId="0" borderId="0" xfId="1" applyNumberFormat="1" applyFont="1"/>
    <xf numFmtId="0" fontId="5" fillId="9" borderId="0" xfId="0" applyFont="1" applyFill="1" applyAlignment="1">
      <alignment horizontal="center" wrapText="1"/>
    </xf>
    <xf numFmtId="0" fontId="5" fillId="10" borderId="0" xfId="0" applyFont="1" applyFill="1" applyBorder="1" applyAlignment="1">
      <alignment horizontal="center" vertical="center" wrapText="1"/>
    </xf>
    <xf numFmtId="43" fontId="52" fillId="8" borderId="0" xfId="1" applyNumberFormat="1" applyFont="1" applyFill="1" applyBorder="1" applyAlignment="1">
      <alignment horizontal="right"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5" fillId="3" borderId="0" xfId="0" applyFont="1" applyFill="1" applyAlignment="1">
      <alignment horizontal="center" wrapText="1"/>
    </xf>
    <xf numFmtId="43" fontId="5" fillId="4" borderId="4" xfId="0" applyNumberFormat="1" applyFont="1" applyFill="1" applyBorder="1" applyAlignment="1">
      <alignment horizontal="center" wrapText="1"/>
    </xf>
    <xf numFmtId="0" fontId="6" fillId="0" borderId="5" xfId="0" applyFont="1" applyBorder="1"/>
    <xf numFmtId="0" fontId="43" fillId="8" borderId="38" xfId="0" applyFont="1" applyFill="1" applyBorder="1" applyAlignment="1">
      <alignment horizontal="center" wrapText="1"/>
    </xf>
    <xf numFmtId="0" fontId="43" fillId="8" borderId="39" xfId="0" applyFont="1" applyFill="1" applyBorder="1" applyAlignment="1">
      <alignment horizontal="center" wrapText="1"/>
    </xf>
    <xf numFmtId="0" fontId="5" fillId="8" borderId="0" xfId="0" applyFont="1" applyFill="1" applyAlignment="1">
      <alignment horizontal="left" wrapText="1"/>
    </xf>
    <xf numFmtId="0" fontId="5" fillId="9" borderId="0" xfId="0" applyFont="1" applyFill="1" applyAlignment="1">
      <alignment horizontal="center" wrapText="1"/>
    </xf>
    <xf numFmtId="43" fontId="5" fillId="10" borderId="23" xfId="0" applyNumberFormat="1" applyFont="1" applyFill="1" applyBorder="1" applyAlignment="1">
      <alignment horizontal="center" wrapText="1"/>
    </xf>
    <xf numFmtId="43" fontId="5" fillId="10" borderId="24" xfId="0" applyNumberFormat="1" applyFont="1" applyFill="1" applyBorder="1" applyAlignment="1">
      <alignment horizontal="center" wrapText="1"/>
    </xf>
  </cellXfs>
  <cellStyles count="6">
    <cellStyle name="Comma" xfId="1" builtinId="3"/>
    <cellStyle name="Comma 3" xfId="3"/>
    <cellStyle name="Comma 4" xfId="4"/>
    <cellStyle name="Hyperlink" xfId="5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_@%2026%20Working%20Days%20@%20Regular%208%20Hou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_@%2026%20Working%20Days%20@%20Regular%208%20Hou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_@%2026%20Working%20Days%20@%20Regular%208%20Hou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xSplit="3" ySplit="14" topLeftCell="H24" activePane="bottomRight" state="frozen"/>
      <selection pane="topRight" activeCell="D1" sqref="D1"/>
      <selection pane="bottomLeft" activeCell="A15" sqref="A15"/>
      <selection pane="bottomRight" activeCell="K35" sqref="K35"/>
    </sheetView>
  </sheetViews>
  <sheetFormatPr defaultColWidth="14.42578125" defaultRowHeight="15" x14ac:dyDescent="0.25"/>
  <cols>
    <col min="1" max="1" width="1.42578125" customWidth="1"/>
    <col min="2" max="2" width="67.5703125" bestFit="1" customWidth="1"/>
    <col min="4" max="4" width="1.42578125" customWidth="1"/>
    <col min="5" max="7" width="12.140625" bestFit="1" customWidth="1"/>
    <col min="8" max="8" width="11" bestFit="1" customWidth="1"/>
    <col min="9" max="9" width="12.140625" bestFit="1" customWidth="1"/>
    <col min="10" max="10" width="13.140625" bestFit="1" customWidth="1"/>
    <col min="11" max="11" width="13.85546875" bestFit="1" customWidth="1"/>
    <col min="12" max="12" width="13.140625" bestFit="1" customWidth="1"/>
    <col min="13" max="13" width="20.28515625" customWidth="1"/>
    <col min="14" max="14" width="19.140625" customWidth="1"/>
    <col min="15" max="15" width="2.140625" customWidth="1"/>
    <col min="16" max="16" width="19.5703125" customWidth="1"/>
    <col min="17" max="26" width="30" customWidth="1"/>
  </cols>
  <sheetData>
    <row r="1" spans="1:26" ht="11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5">
      <c r="A2" s="1"/>
      <c r="B2" s="3" t="s">
        <v>0</v>
      </c>
      <c r="C2" s="3" t="s">
        <v>1</v>
      </c>
      <c r="D2" s="395"/>
      <c r="E2" s="396"/>
      <c r="F2" s="396"/>
      <c r="G2" s="396"/>
      <c r="H2" s="396"/>
      <c r="I2" s="396"/>
      <c r="J2" s="396"/>
      <c r="K2" s="396"/>
      <c r="L2" s="396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5">
      <c r="A3" s="1"/>
      <c r="B3" s="3" t="s">
        <v>2</v>
      </c>
      <c r="C3" s="3"/>
      <c r="D3" s="395"/>
      <c r="E3" s="396"/>
      <c r="F3" s="396"/>
      <c r="G3" s="396"/>
      <c r="H3" s="396"/>
      <c r="I3" s="396"/>
      <c r="J3" s="396"/>
      <c r="K3" s="396"/>
      <c r="L3" s="396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5">
      <c r="A4" s="1"/>
      <c r="B4" s="3" t="s">
        <v>3</v>
      </c>
      <c r="C4" s="3"/>
      <c r="D4" s="395"/>
      <c r="E4" s="396"/>
      <c r="F4" s="396"/>
      <c r="G4" s="396"/>
      <c r="H4" s="396"/>
      <c r="I4" s="396"/>
      <c r="J4" s="396"/>
      <c r="K4" s="396"/>
      <c r="L4" s="396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hidden="1" customHeight="1" x14ac:dyDescent="0.25">
      <c r="A5" s="1"/>
      <c r="B5" s="3"/>
      <c r="C5" s="3"/>
      <c r="D5" s="395"/>
      <c r="E5" s="396"/>
      <c r="F5" s="396"/>
      <c r="G5" s="396"/>
      <c r="H5" s="396"/>
      <c r="I5" s="396"/>
      <c r="J5" s="396"/>
      <c r="K5" s="396"/>
      <c r="L5" s="396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hidden="1" customHeight="1" x14ac:dyDescent="0.25">
      <c r="A6" s="1"/>
      <c r="B6" s="5" t="s">
        <v>4</v>
      </c>
      <c r="C6" s="6" t="s">
        <v>5</v>
      </c>
      <c r="D6" s="395"/>
      <c r="E6" s="396"/>
      <c r="F6" s="396"/>
      <c r="G6" s="396"/>
      <c r="H6" s="396"/>
      <c r="I6" s="396"/>
      <c r="J6" s="396"/>
      <c r="K6" s="396"/>
      <c r="L6" s="396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hidden="1" customHeight="1" x14ac:dyDescent="0.25">
      <c r="A7" s="1"/>
      <c r="B7" s="5" t="s">
        <v>6</v>
      </c>
      <c r="C7" s="6" t="s">
        <v>7</v>
      </c>
      <c r="D7" s="395"/>
      <c r="E7" s="396"/>
      <c r="F7" s="396"/>
      <c r="G7" s="396"/>
      <c r="H7" s="396"/>
      <c r="I7" s="396"/>
      <c r="J7" s="396"/>
      <c r="K7" s="396"/>
      <c r="L7" s="396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hidden="1" customHeight="1" x14ac:dyDescent="0.25">
      <c r="A8" s="1"/>
      <c r="B8" s="5" t="s">
        <v>8</v>
      </c>
      <c r="C8" s="6" t="s">
        <v>9</v>
      </c>
      <c r="D8" s="395"/>
      <c r="E8" s="396"/>
      <c r="F8" s="396"/>
      <c r="G8" s="396"/>
      <c r="H8" s="396"/>
      <c r="I8" s="396"/>
      <c r="J8" s="396"/>
      <c r="K8" s="396"/>
      <c r="L8" s="396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hidden="1" customHeight="1" x14ac:dyDescent="0.25">
      <c r="A9" s="1"/>
      <c r="B9" s="5" t="s">
        <v>10</v>
      </c>
      <c r="C9" s="7">
        <f>9*30*8</f>
        <v>2160</v>
      </c>
      <c r="D9" s="395"/>
      <c r="E9" s="396"/>
      <c r="F9" s="396"/>
      <c r="G9" s="396"/>
      <c r="H9" s="396"/>
      <c r="I9" s="396"/>
      <c r="J9" s="396"/>
      <c r="K9" s="396"/>
      <c r="L9" s="396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hidden="1" customHeight="1" x14ac:dyDescent="0.25">
      <c r="A10" s="1"/>
      <c r="B10" s="3"/>
      <c r="C10" s="3"/>
      <c r="D10" s="395"/>
      <c r="E10" s="396"/>
      <c r="F10" s="396"/>
      <c r="G10" s="396"/>
      <c r="H10" s="396"/>
      <c r="I10" s="396"/>
      <c r="J10" s="396"/>
      <c r="K10" s="396"/>
      <c r="L10" s="396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25">
      <c r="A11" s="1"/>
      <c r="B11" s="3"/>
      <c r="C11" s="3"/>
      <c r="D11" s="3"/>
      <c r="E11" s="8"/>
      <c r="F11" s="8"/>
      <c r="G11" s="8"/>
      <c r="H11" s="8"/>
      <c r="I11" s="8"/>
      <c r="J11" s="8"/>
      <c r="K11" s="8"/>
      <c r="L11" s="8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thickBot="1" x14ac:dyDescent="0.3">
      <c r="A12" s="1"/>
      <c r="B12" s="397" t="s">
        <v>11</v>
      </c>
      <c r="C12" s="396"/>
      <c r="D12" s="396"/>
      <c r="E12" s="396"/>
      <c r="F12" s="10"/>
      <c r="G12" s="10"/>
      <c r="H12" s="10"/>
      <c r="I12" s="10"/>
      <c r="J12" s="10"/>
      <c r="K12" s="10"/>
      <c r="L12" s="10"/>
      <c r="M12" s="1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25">
      <c r="A13" s="1"/>
      <c r="B13" s="3"/>
      <c r="C13" s="11"/>
      <c r="D13" s="398" t="s">
        <v>12</v>
      </c>
      <c r="E13" s="399"/>
      <c r="F13" s="399"/>
      <c r="G13" s="399"/>
      <c r="H13" s="399"/>
      <c r="I13" s="399"/>
      <c r="J13" s="399"/>
      <c r="K13" s="399"/>
      <c r="L13" s="399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thickBot="1" x14ac:dyDescent="0.3">
      <c r="A14" s="13"/>
      <c r="B14" s="14" t="s">
        <v>13</v>
      </c>
      <c r="C14" s="15"/>
      <c r="D14" s="16"/>
      <c r="E14" s="17" t="s">
        <v>14</v>
      </c>
      <c r="F14" s="17" t="s">
        <v>15</v>
      </c>
      <c r="G14" s="17" t="s">
        <v>16</v>
      </c>
      <c r="H14" s="17" t="s">
        <v>17</v>
      </c>
      <c r="I14" s="17" t="s">
        <v>18</v>
      </c>
      <c r="J14" s="17" t="s">
        <v>19</v>
      </c>
      <c r="K14" s="17" t="s">
        <v>20</v>
      </c>
      <c r="L14" s="17" t="s">
        <v>21</v>
      </c>
      <c r="M14" s="18" t="s">
        <v>22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1"/>
      <c r="B15" s="20" t="s">
        <v>23</v>
      </c>
      <c r="C15" s="21"/>
      <c r="D15" s="22"/>
      <c r="E15" s="23">
        <f>SUM(E16:E17)*26</f>
        <v>17000.100000000002</v>
      </c>
      <c r="F15" s="23">
        <f t="shared" ref="F15:L15" si="0">SUM(F16:F17)*26</f>
        <v>13962</v>
      </c>
      <c r="G15" s="23">
        <f t="shared" si="0"/>
        <v>13962</v>
      </c>
      <c r="H15" s="23">
        <f t="shared" si="0"/>
        <v>13962</v>
      </c>
      <c r="I15" s="23">
        <f>SUM(I16:I17)*26</f>
        <v>13962</v>
      </c>
      <c r="J15" s="23">
        <f t="shared" si="0"/>
        <v>13962</v>
      </c>
      <c r="K15" s="23">
        <f t="shared" si="0"/>
        <v>13962</v>
      </c>
      <c r="L15" s="24">
        <f t="shared" si="0"/>
        <v>13962</v>
      </c>
      <c r="M15" s="25"/>
      <c r="N15" s="19"/>
      <c r="O15" s="19"/>
      <c r="P15" s="1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6" t="s">
        <v>24</v>
      </c>
      <c r="C16" s="27"/>
      <c r="D16" s="28"/>
      <c r="E16" s="29">
        <v>653.85</v>
      </c>
      <c r="F16" s="30">
        <v>537</v>
      </c>
      <c r="G16" s="30">
        <v>537</v>
      </c>
      <c r="H16" s="30">
        <v>537</v>
      </c>
      <c r="I16" s="30">
        <v>537</v>
      </c>
      <c r="J16" s="30">
        <v>537</v>
      </c>
      <c r="K16" s="30">
        <v>537</v>
      </c>
      <c r="L16" s="30">
        <v>537</v>
      </c>
      <c r="M16" s="31"/>
      <c r="N16" s="19"/>
      <c r="O16" s="19"/>
      <c r="P16" s="1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6" t="s">
        <v>25</v>
      </c>
      <c r="C17" s="27"/>
      <c r="D17" s="28"/>
      <c r="E17" s="29"/>
      <c r="F17" s="30"/>
      <c r="G17" s="30"/>
      <c r="H17" s="30"/>
      <c r="I17" s="30"/>
      <c r="J17" s="30"/>
      <c r="K17" s="30"/>
      <c r="L17" s="30"/>
      <c r="M17" s="31"/>
      <c r="N17" s="19"/>
      <c r="O17" s="19"/>
      <c r="P17" s="1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32"/>
      <c r="C18" s="33"/>
      <c r="D18" s="34"/>
      <c r="E18" s="35"/>
      <c r="F18" s="30"/>
      <c r="G18" s="30"/>
      <c r="H18" s="30"/>
      <c r="I18" s="30"/>
      <c r="J18" s="30"/>
      <c r="K18" s="30"/>
      <c r="L18" s="30"/>
      <c r="M18" s="31"/>
      <c r="N18" s="19"/>
      <c r="O18" s="19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6" t="s">
        <v>26</v>
      </c>
      <c r="C19" s="27"/>
      <c r="D19" s="28"/>
      <c r="E19" s="29">
        <f t="shared" ref="E19:L19" si="1">+E16/12</f>
        <v>54.487500000000004</v>
      </c>
      <c r="F19" s="29">
        <f t="shared" si="1"/>
        <v>44.75</v>
      </c>
      <c r="G19" s="29">
        <f t="shared" si="1"/>
        <v>44.75</v>
      </c>
      <c r="H19" s="29">
        <f t="shared" si="1"/>
        <v>44.75</v>
      </c>
      <c r="I19" s="29">
        <f t="shared" si="1"/>
        <v>44.75</v>
      </c>
      <c r="J19" s="29">
        <f t="shared" si="1"/>
        <v>44.75</v>
      </c>
      <c r="K19" s="29">
        <f t="shared" si="1"/>
        <v>44.75</v>
      </c>
      <c r="L19" s="30">
        <f t="shared" si="1"/>
        <v>44.75</v>
      </c>
      <c r="M19" s="31"/>
      <c r="N19" s="19"/>
      <c r="O19" s="19"/>
      <c r="P19" s="1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6" t="s">
        <v>27</v>
      </c>
      <c r="C20" s="27"/>
      <c r="D20" s="28"/>
      <c r="E20" s="29">
        <f t="shared" ref="E20:L20" si="2">SUM(E16:E17)*5/12/26</f>
        <v>10.478365384615385</v>
      </c>
      <c r="F20" s="29">
        <f t="shared" si="2"/>
        <v>8.6057692307692299</v>
      </c>
      <c r="G20" s="29">
        <f t="shared" si="2"/>
        <v>8.6057692307692299</v>
      </c>
      <c r="H20" s="29">
        <f t="shared" si="2"/>
        <v>8.6057692307692299</v>
      </c>
      <c r="I20" s="29">
        <f t="shared" si="2"/>
        <v>8.6057692307692299</v>
      </c>
      <c r="J20" s="29">
        <f t="shared" si="2"/>
        <v>8.6057692307692299</v>
      </c>
      <c r="K20" s="29">
        <f t="shared" si="2"/>
        <v>8.6057692307692299</v>
      </c>
      <c r="L20" s="30">
        <f t="shared" si="2"/>
        <v>8.6057692307692299</v>
      </c>
      <c r="M20" s="31"/>
      <c r="N20" s="19"/>
      <c r="O20" s="19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26" t="s">
        <v>28</v>
      </c>
      <c r="C21" s="27"/>
      <c r="D21" s="28"/>
      <c r="E21" s="29">
        <f>SUM(E16:E17)/12/2</f>
        <v>27.243750000000002</v>
      </c>
      <c r="F21" s="29">
        <f t="shared" ref="F21:L21" si="3">SUM(F16:F17)/12/2</f>
        <v>22.375</v>
      </c>
      <c r="G21" s="29">
        <f t="shared" si="3"/>
        <v>22.375</v>
      </c>
      <c r="H21" s="29">
        <f t="shared" si="3"/>
        <v>22.375</v>
      </c>
      <c r="I21" s="29">
        <f t="shared" si="3"/>
        <v>22.375</v>
      </c>
      <c r="J21" s="29">
        <f t="shared" si="3"/>
        <v>22.375</v>
      </c>
      <c r="K21" s="29">
        <f t="shared" si="3"/>
        <v>22.375</v>
      </c>
      <c r="L21" s="30">
        <f t="shared" si="3"/>
        <v>22.375</v>
      </c>
      <c r="M21" s="3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6" t="s">
        <v>29</v>
      </c>
      <c r="C22" s="27"/>
      <c r="D22" s="36"/>
      <c r="E22" s="29">
        <f t="shared" ref="E22:L22" si="4">(E16+E17)*14/12/26</f>
        <v>29.339423076923076</v>
      </c>
      <c r="F22" s="29">
        <f t="shared" si="4"/>
        <v>24.096153846153847</v>
      </c>
      <c r="G22" s="29">
        <f t="shared" si="4"/>
        <v>24.096153846153847</v>
      </c>
      <c r="H22" s="29">
        <f t="shared" si="4"/>
        <v>24.096153846153847</v>
      </c>
      <c r="I22" s="29">
        <f t="shared" si="4"/>
        <v>24.096153846153847</v>
      </c>
      <c r="J22" s="29">
        <f t="shared" si="4"/>
        <v>24.096153846153847</v>
      </c>
      <c r="K22" s="29">
        <f t="shared" si="4"/>
        <v>24.096153846153847</v>
      </c>
      <c r="L22" s="30">
        <f t="shared" si="4"/>
        <v>24.096153846153847</v>
      </c>
      <c r="M22" s="3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8"/>
      <c r="B23" s="26" t="s">
        <v>30</v>
      </c>
      <c r="C23" s="27"/>
      <c r="D23" s="28"/>
      <c r="E23" s="29">
        <f>600/26</f>
        <v>23.076923076923077</v>
      </c>
      <c r="F23" s="29">
        <f>600/26</f>
        <v>23.076923076923077</v>
      </c>
      <c r="G23" s="29"/>
      <c r="H23" s="29"/>
      <c r="I23" s="29"/>
      <c r="J23" s="29"/>
      <c r="K23" s="29"/>
      <c r="L23" s="30"/>
      <c r="M23" s="31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8"/>
      <c r="B24" s="39" t="s">
        <v>31</v>
      </c>
      <c r="C24" s="40"/>
      <c r="D24" s="28"/>
      <c r="E24" s="29"/>
      <c r="F24" s="29"/>
      <c r="G24" s="29"/>
      <c r="H24" s="29"/>
      <c r="I24" s="29"/>
      <c r="J24" s="29"/>
      <c r="K24" s="29"/>
      <c r="L24" s="30"/>
      <c r="M24" s="3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x14ac:dyDescent="0.25">
      <c r="A25" s="38"/>
      <c r="B25" s="26" t="s">
        <v>32</v>
      </c>
      <c r="C25" s="27"/>
      <c r="D25" s="28"/>
      <c r="E25" s="29">
        <f>1360/26</f>
        <v>52.307692307692307</v>
      </c>
      <c r="F25" s="29">
        <f>1120/26</f>
        <v>43.07692307692308</v>
      </c>
      <c r="G25" s="29">
        <f t="shared" ref="G25:L25" si="5">1120/26</f>
        <v>43.07692307692308</v>
      </c>
      <c r="H25" s="29">
        <f t="shared" si="5"/>
        <v>43.07692307692308</v>
      </c>
      <c r="I25" s="29">
        <f t="shared" si="5"/>
        <v>43.07692307692308</v>
      </c>
      <c r="J25" s="29">
        <f t="shared" si="5"/>
        <v>43.07692307692308</v>
      </c>
      <c r="K25" s="29">
        <f t="shared" si="5"/>
        <v>43.07692307692308</v>
      </c>
      <c r="L25" s="29">
        <f t="shared" si="5"/>
        <v>43.07692307692308</v>
      </c>
      <c r="M25" s="31"/>
      <c r="N25" s="41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8"/>
      <c r="B26" s="26" t="s">
        <v>33</v>
      </c>
      <c r="C26" s="27"/>
      <c r="D26" s="28"/>
      <c r="E26" s="29">
        <f>(17000*3%)/2/26</f>
        <v>9.8076923076923084</v>
      </c>
      <c r="F26" s="29">
        <f t="shared" ref="F26:L26" si="6">(17000*3%)/2/26</f>
        <v>9.8076923076923084</v>
      </c>
      <c r="G26" s="29">
        <f t="shared" si="6"/>
        <v>9.8076923076923084</v>
      </c>
      <c r="H26" s="29">
        <f t="shared" si="6"/>
        <v>9.8076923076923084</v>
      </c>
      <c r="I26" s="29">
        <f t="shared" si="6"/>
        <v>9.8076923076923084</v>
      </c>
      <c r="J26" s="29">
        <f t="shared" si="6"/>
        <v>9.8076923076923084</v>
      </c>
      <c r="K26" s="29">
        <f t="shared" si="6"/>
        <v>9.8076923076923084</v>
      </c>
      <c r="L26" s="29">
        <f t="shared" si="6"/>
        <v>9.8076923076923084</v>
      </c>
      <c r="M26" s="3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8"/>
      <c r="B27" s="26" t="s">
        <v>34</v>
      </c>
      <c r="C27" s="27"/>
      <c r="D27" s="28"/>
      <c r="E27" s="29">
        <f t="shared" ref="E27:L27" si="7">100/26</f>
        <v>3.8461538461538463</v>
      </c>
      <c r="F27" s="29">
        <f t="shared" si="7"/>
        <v>3.8461538461538463</v>
      </c>
      <c r="G27" s="29">
        <f t="shared" si="7"/>
        <v>3.8461538461538463</v>
      </c>
      <c r="H27" s="29">
        <f t="shared" si="7"/>
        <v>3.8461538461538463</v>
      </c>
      <c r="I27" s="29">
        <f t="shared" si="7"/>
        <v>3.8461538461538463</v>
      </c>
      <c r="J27" s="29">
        <f t="shared" si="7"/>
        <v>3.8461538461538463</v>
      </c>
      <c r="K27" s="29">
        <f t="shared" si="7"/>
        <v>3.8461538461538463</v>
      </c>
      <c r="L27" s="30">
        <f t="shared" si="7"/>
        <v>3.8461538461538463</v>
      </c>
      <c r="M27" s="31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8"/>
      <c r="B28" s="26" t="s">
        <v>35</v>
      </c>
      <c r="C28" s="27"/>
      <c r="D28" s="28"/>
      <c r="E28" s="29">
        <f>30/26</f>
        <v>1.1538461538461537</v>
      </c>
      <c r="F28" s="29">
        <f t="shared" ref="F28:L28" si="8">10/26</f>
        <v>0.38461538461538464</v>
      </c>
      <c r="G28" s="29">
        <f t="shared" si="8"/>
        <v>0.38461538461538464</v>
      </c>
      <c r="H28" s="29">
        <f t="shared" si="8"/>
        <v>0.38461538461538464</v>
      </c>
      <c r="I28" s="29">
        <f t="shared" si="8"/>
        <v>0.38461538461538464</v>
      </c>
      <c r="J28" s="29">
        <f t="shared" si="8"/>
        <v>0.38461538461538464</v>
      </c>
      <c r="K28" s="29">
        <f t="shared" si="8"/>
        <v>0.38461538461538464</v>
      </c>
      <c r="L28" s="30">
        <f t="shared" si="8"/>
        <v>0.38461538461538464</v>
      </c>
      <c r="M28" s="31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8"/>
      <c r="B29" s="26"/>
      <c r="C29" s="27"/>
      <c r="D29" s="28"/>
      <c r="E29" s="29"/>
      <c r="F29" s="29"/>
      <c r="G29" s="29"/>
      <c r="H29" s="29"/>
      <c r="I29" s="29"/>
      <c r="J29" s="29"/>
      <c r="K29" s="29"/>
      <c r="L29" s="30"/>
      <c r="M29" s="31"/>
      <c r="N29" s="38">
        <f>75*0.2</f>
        <v>15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8"/>
      <c r="B30" s="42" t="s">
        <v>36</v>
      </c>
      <c r="C30" s="43"/>
      <c r="D30" s="28"/>
      <c r="E30" s="29">
        <f t="shared" ref="E30:L30" si="9">SUM(E16:E29)</f>
        <v>865.59134615384596</v>
      </c>
      <c r="F30" s="29">
        <f t="shared" si="9"/>
        <v>717.01923076923072</v>
      </c>
      <c r="G30" s="29">
        <f t="shared" si="9"/>
        <v>693.94230769230762</v>
      </c>
      <c r="H30" s="29">
        <f t="shared" si="9"/>
        <v>693.94230769230762</v>
      </c>
      <c r="I30" s="29">
        <f t="shared" si="9"/>
        <v>693.94230769230762</v>
      </c>
      <c r="J30" s="29">
        <f t="shared" si="9"/>
        <v>693.94230769230762</v>
      </c>
      <c r="K30" s="29">
        <f t="shared" si="9"/>
        <v>693.94230769230762</v>
      </c>
      <c r="L30" s="29">
        <f t="shared" si="9"/>
        <v>693.94230769230762</v>
      </c>
      <c r="M30" s="31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8"/>
      <c r="B31" s="42" t="s">
        <v>37</v>
      </c>
      <c r="C31" s="43"/>
      <c r="D31" s="28"/>
      <c r="E31" s="29">
        <f>9200/26</f>
        <v>353.84615384615387</v>
      </c>
      <c r="F31" s="29">
        <f>4700/26</f>
        <v>180.76923076923077</v>
      </c>
      <c r="G31" s="29">
        <f>2700/26</f>
        <v>103.84615384615384</v>
      </c>
      <c r="H31" s="29">
        <f>2700/26</f>
        <v>103.84615384615384</v>
      </c>
      <c r="I31" s="29">
        <f>2700/26</f>
        <v>103.84615384615384</v>
      </c>
      <c r="J31" s="29">
        <f>1200/26</f>
        <v>46.153846153846153</v>
      </c>
      <c r="K31" s="29">
        <f>700/26</f>
        <v>26.923076923076923</v>
      </c>
      <c r="L31" s="30"/>
      <c r="M31" s="31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1"/>
      <c r="B32" s="42" t="s">
        <v>38</v>
      </c>
      <c r="C32" s="43"/>
      <c r="D32" s="44"/>
      <c r="E32" s="45">
        <f t="shared" ref="E32:L32" si="10">SUM(E30:E31)</f>
        <v>1219.4374999999998</v>
      </c>
      <c r="F32" s="45">
        <f t="shared" si="10"/>
        <v>897.78846153846143</v>
      </c>
      <c r="G32" s="45">
        <f t="shared" si="10"/>
        <v>797.78846153846143</v>
      </c>
      <c r="H32" s="45">
        <f t="shared" si="10"/>
        <v>797.78846153846143</v>
      </c>
      <c r="I32" s="45">
        <f t="shared" si="10"/>
        <v>797.78846153846143</v>
      </c>
      <c r="J32" s="45">
        <f t="shared" si="10"/>
        <v>740.09615384615381</v>
      </c>
      <c r="K32" s="45">
        <f t="shared" si="10"/>
        <v>720.86538461538453</v>
      </c>
      <c r="L32" s="46">
        <f t="shared" si="10"/>
        <v>693.94230769230762</v>
      </c>
      <c r="M32" s="4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42"/>
      <c r="C33" s="43"/>
      <c r="D33" s="44"/>
      <c r="E33" s="48"/>
      <c r="F33" s="49"/>
      <c r="G33" s="49"/>
      <c r="H33" s="49"/>
      <c r="I33" s="49"/>
      <c r="J33" s="49"/>
      <c r="K33" s="46"/>
      <c r="L33" s="46"/>
      <c r="M33" s="4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38"/>
      <c r="B34" s="50" t="s">
        <v>39</v>
      </c>
      <c r="C34" s="51">
        <f>SUM(D34:L34)</f>
        <v>81</v>
      </c>
      <c r="D34" s="52"/>
      <c r="E34" s="53">
        <v>1</v>
      </c>
      <c r="F34" s="54">
        <v>5</v>
      </c>
      <c r="G34" s="54">
        <v>5</v>
      </c>
      <c r="H34" s="54">
        <v>1</v>
      </c>
      <c r="I34" s="54">
        <v>6</v>
      </c>
      <c r="J34" s="55">
        <v>9</v>
      </c>
      <c r="K34" s="55">
        <f>32+3</f>
        <v>35</v>
      </c>
      <c r="L34" s="55">
        <v>19</v>
      </c>
      <c r="M34" s="56"/>
      <c r="N34" s="57">
        <v>50</v>
      </c>
      <c r="O34" s="38"/>
      <c r="P34" s="38" t="s">
        <v>40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1.25" customHeight="1" x14ac:dyDescent="0.25">
      <c r="A35" s="58"/>
      <c r="B35" s="42" t="s">
        <v>41</v>
      </c>
      <c r="C35" s="59"/>
      <c r="D35" s="60"/>
      <c r="E35" s="61">
        <v>26</v>
      </c>
      <c r="F35" s="61">
        <v>26</v>
      </c>
      <c r="G35" s="61">
        <v>26</v>
      </c>
      <c r="H35" s="61">
        <v>26</v>
      </c>
      <c r="I35" s="61">
        <v>26</v>
      </c>
      <c r="J35" s="61">
        <v>26</v>
      </c>
      <c r="K35" s="61">
        <v>26</v>
      </c>
      <c r="L35" s="62">
        <v>26</v>
      </c>
      <c r="M35" s="63"/>
      <c r="N35" s="58">
        <v>19</v>
      </c>
      <c r="O35" s="58"/>
      <c r="P35" s="58" t="s">
        <v>42</v>
      </c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1.25" customHeight="1" x14ac:dyDescent="0.25">
      <c r="A36" s="58"/>
      <c r="B36" s="42" t="s">
        <v>43</v>
      </c>
      <c r="C36" s="59"/>
      <c r="D36" s="44"/>
      <c r="E36" s="48">
        <f t="shared" ref="E36:L36" si="11">E32*E34*E35</f>
        <v>31705.374999999993</v>
      </c>
      <c r="F36" s="48">
        <f t="shared" si="11"/>
        <v>116712.49999999997</v>
      </c>
      <c r="G36" s="48">
        <f t="shared" si="11"/>
        <v>103712.49999999999</v>
      </c>
      <c r="H36" s="48">
        <f t="shared" si="11"/>
        <v>20742.499999999996</v>
      </c>
      <c r="I36" s="48">
        <f>I32*I34*I35</f>
        <v>124454.99999999999</v>
      </c>
      <c r="J36" s="48">
        <f>J32*J34*J35</f>
        <v>173182.5</v>
      </c>
      <c r="K36" s="48">
        <f t="shared" si="11"/>
        <v>655987.49999999988</v>
      </c>
      <c r="L36" s="49">
        <f t="shared" si="11"/>
        <v>342807.49999999994</v>
      </c>
      <c r="M36" s="47"/>
      <c r="N36" s="64">
        <f>+N34+N35</f>
        <v>69</v>
      </c>
      <c r="O36" s="58"/>
      <c r="P36" s="58" t="s">
        <v>44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1.25" customHeight="1" x14ac:dyDescent="0.25">
      <c r="A37" s="58"/>
      <c r="B37" s="42"/>
      <c r="C37" s="59"/>
      <c r="D37" s="60"/>
      <c r="E37" s="61"/>
      <c r="F37" s="61"/>
      <c r="G37" s="61"/>
      <c r="H37" s="61"/>
      <c r="I37" s="61"/>
      <c r="J37" s="61"/>
      <c r="K37" s="61"/>
      <c r="L37" s="62"/>
      <c r="M37" s="63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1.25" customHeight="1" x14ac:dyDescent="0.25">
      <c r="A38" s="58"/>
      <c r="B38" s="42" t="s">
        <v>45</v>
      </c>
      <c r="C38" s="59"/>
      <c r="D38" s="60"/>
      <c r="E38" s="61"/>
      <c r="F38" s="61"/>
      <c r="G38" s="61"/>
      <c r="H38" s="61"/>
      <c r="I38" s="61"/>
      <c r="J38" s="61"/>
      <c r="K38" s="61"/>
      <c r="L38" s="62"/>
      <c r="M38" s="63"/>
      <c r="N38" s="65">
        <v>56</v>
      </c>
      <c r="O38" s="58"/>
      <c r="P38" s="38" t="s">
        <v>40</v>
      </c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1.25" customHeight="1" x14ac:dyDescent="0.25">
      <c r="A39" s="58"/>
      <c r="B39" s="42" t="s">
        <v>46</v>
      </c>
      <c r="C39" s="66">
        <f>SUM(D39:L39)</f>
        <v>8</v>
      </c>
      <c r="D39" s="67"/>
      <c r="E39" s="68">
        <v>1</v>
      </c>
      <c r="F39" s="68">
        <v>1</v>
      </c>
      <c r="G39" s="68">
        <v>1</v>
      </c>
      <c r="H39" s="68">
        <v>1</v>
      </c>
      <c r="I39" s="68">
        <v>1</v>
      </c>
      <c r="J39" s="68">
        <v>1</v>
      </c>
      <c r="K39" s="68">
        <v>1</v>
      </c>
      <c r="L39" s="69">
        <v>1</v>
      </c>
      <c r="M39" s="70"/>
      <c r="N39" s="58">
        <v>19</v>
      </c>
      <c r="O39" s="58"/>
      <c r="P39" s="58" t="s">
        <v>42</v>
      </c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1.25" customHeight="1" x14ac:dyDescent="0.25">
      <c r="A40" s="58"/>
      <c r="B40" s="42" t="s">
        <v>47</v>
      </c>
      <c r="C40" s="59"/>
      <c r="D40" s="44"/>
      <c r="E40" s="45">
        <f t="shared" ref="E40:L40" si="12">E16/8*1.25</f>
        <v>102.1640625</v>
      </c>
      <c r="F40" s="45">
        <f t="shared" si="12"/>
        <v>83.90625</v>
      </c>
      <c r="G40" s="45">
        <f t="shared" si="12"/>
        <v>83.90625</v>
      </c>
      <c r="H40" s="45">
        <f t="shared" si="12"/>
        <v>83.90625</v>
      </c>
      <c r="I40" s="45">
        <f t="shared" si="12"/>
        <v>83.90625</v>
      </c>
      <c r="J40" s="45">
        <f t="shared" si="12"/>
        <v>83.90625</v>
      </c>
      <c r="K40" s="45">
        <f t="shared" si="12"/>
        <v>83.90625</v>
      </c>
      <c r="L40" s="46">
        <f t="shared" si="12"/>
        <v>83.90625</v>
      </c>
      <c r="M40" s="71"/>
      <c r="N40" s="65">
        <f>+N38+N39</f>
        <v>75</v>
      </c>
      <c r="O40" s="58"/>
      <c r="P40" s="58" t="s">
        <v>48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1.25" customHeight="1" x14ac:dyDescent="0.25">
      <c r="A41" s="58"/>
      <c r="B41" s="42" t="s">
        <v>49</v>
      </c>
      <c r="C41" s="59"/>
      <c r="D41" s="44"/>
      <c r="E41" s="45">
        <f t="shared" ref="E41:L41" si="13">E40*E39*E34</f>
        <v>102.1640625</v>
      </c>
      <c r="F41" s="45">
        <f t="shared" si="13"/>
        <v>419.53125</v>
      </c>
      <c r="G41" s="45">
        <f t="shared" si="13"/>
        <v>419.53125</v>
      </c>
      <c r="H41" s="45">
        <f t="shared" si="13"/>
        <v>83.90625</v>
      </c>
      <c r="I41" s="45">
        <f t="shared" si="13"/>
        <v>503.4375</v>
      </c>
      <c r="J41" s="45">
        <f t="shared" si="13"/>
        <v>755.15625</v>
      </c>
      <c r="K41" s="45">
        <f t="shared" si="13"/>
        <v>2936.71875</v>
      </c>
      <c r="L41" s="46">
        <f t="shared" si="13"/>
        <v>1594.21875</v>
      </c>
      <c r="M41" s="71"/>
      <c r="N41" s="65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1.25" customHeight="1" x14ac:dyDescent="0.25">
      <c r="A42" s="58"/>
      <c r="B42" s="42"/>
      <c r="C42" s="59"/>
      <c r="D42" s="60"/>
      <c r="E42" s="72"/>
      <c r="F42" s="72"/>
      <c r="G42" s="72"/>
      <c r="H42" s="72"/>
      <c r="I42" s="72"/>
      <c r="J42" s="72"/>
      <c r="K42" s="72"/>
      <c r="L42" s="73"/>
      <c r="M42" s="74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1.25" customHeight="1" x14ac:dyDescent="0.25">
      <c r="A43" s="58"/>
      <c r="B43" s="42" t="s">
        <v>50</v>
      </c>
      <c r="C43" s="59"/>
      <c r="D43" s="60"/>
      <c r="E43" s="72"/>
      <c r="F43" s="72"/>
      <c r="G43" s="72"/>
      <c r="H43" s="72"/>
      <c r="I43" s="72"/>
      <c r="J43" s="72"/>
      <c r="K43" s="72"/>
      <c r="L43" s="73"/>
      <c r="M43" s="74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1.25" customHeight="1" x14ac:dyDescent="0.25">
      <c r="A44" s="58"/>
      <c r="B44" s="42" t="s">
        <v>51</v>
      </c>
      <c r="C44" s="59"/>
      <c r="D44" s="60"/>
      <c r="E44" s="72"/>
      <c r="F44" s="72">
        <v>1</v>
      </c>
      <c r="G44" s="72">
        <v>1</v>
      </c>
      <c r="H44" s="72">
        <v>1</v>
      </c>
      <c r="I44" s="72">
        <v>1</v>
      </c>
      <c r="J44" s="72">
        <v>1</v>
      </c>
      <c r="K44" s="72">
        <v>6</v>
      </c>
      <c r="L44" s="73">
        <v>8</v>
      </c>
      <c r="M44" s="7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1.25" customHeight="1" x14ac:dyDescent="0.25">
      <c r="A45" s="58"/>
      <c r="B45" s="42" t="s">
        <v>52</v>
      </c>
      <c r="C45" s="59"/>
      <c r="D45" s="44"/>
      <c r="E45" s="45">
        <f t="shared" ref="E45:L45" si="14">E16*0.1</f>
        <v>65.385000000000005</v>
      </c>
      <c r="F45" s="45">
        <f t="shared" si="14"/>
        <v>53.7</v>
      </c>
      <c r="G45" s="45">
        <f t="shared" si="14"/>
        <v>53.7</v>
      </c>
      <c r="H45" s="45">
        <f t="shared" si="14"/>
        <v>53.7</v>
      </c>
      <c r="I45" s="45">
        <f t="shared" si="14"/>
        <v>53.7</v>
      </c>
      <c r="J45" s="45">
        <f t="shared" si="14"/>
        <v>53.7</v>
      </c>
      <c r="K45" s="45">
        <f t="shared" si="14"/>
        <v>53.7</v>
      </c>
      <c r="L45" s="46">
        <f t="shared" si="14"/>
        <v>53.7</v>
      </c>
      <c r="M45" s="71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1.25" customHeight="1" x14ac:dyDescent="0.25">
      <c r="A46" s="58"/>
      <c r="B46" s="42" t="s">
        <v>53</v>
      </c>
      <c r="C46" s="59"/>
      <c r="D46" s="60"/>
      <c r="E46" s="72">
        <v>26</v>
      </c>
      <c r="F46" s="72">
        <v>26</v>
      </c>
      <c r="G46" s="72">
        <v>26</v>
      </c>
      <c r="H46" s="72">
        <v>26</v>
      </c>
      <c r="I46" s="72">
        <v>26</v>
      </c>
      <c r="J46" s="72">
        <v>26</v>
      </c>
      <c r="K46" s="72">
        <v>26</v>
      </c>
      <c r="L46" s="73">
        <v>26</v>
      </c>
      <c r="M46" s="74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1.25" customHeight="1" x14ac:dyDescent="0.25">
      <c r="A47" s="58"/>
      <c r="B47" s="42" t="s">
        <v>54</v>
      </c>
      <c r="C47" s="59"/>
      <c r="D47" s="44"/>
      <c r="E47" s="45">
        <f t="shared" ref="E47:L47" si="15">E44*E45*E46</f>
        <v>0</v>
      </c>
      <c r="F47" s="45">
        <f t="shared" si="15"/>
        <v>1396.2</v>
      </c>
      <c r="G47" s="45">
        <f t="shared" si="15"/>
        <v>1396.2</v>
      </c>
      <c r="H47" s="45">
        <f t="shared" si="15"/>
        <v>1396.2</v>
      </c>
      <c r="I47" s="45">
        <f t="shared" si="15"/>
        <v>1396.2</v>
      </c>
      <c r="J47" s="45">
        <f t="shared" si="15"/>
        <v>1396.2</v>
      </c>
      <c r="K47" s="45">
        <f t="shared" si="15"/>
        <v>8377.2000000000007</v>
      </c>
      <c r="L47" s="46">
        <f t="shared" si="15"/>
        <v>11169.6</v>
      </c>
      <c r="M47" s="71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1.25" customHeight="1" x14ac:dyDescent="0.25">
      <c r="A48" s="58"/>
      <c r="B48" s="75"/>
      <c r="C48" s="59"/>
      <c r="D48" s="44"/>
      <c r="E48" s="45"/>
      <c r="F48" s="45"/>
      <c r="G48" s="45"/>
      <c r="H48" s="45"/>
      <c r="I48" s="45"/>
      <c r="J48" s="45"/>
      <c r="K48" s="45"/>
      <c r="L48" s="46"/>
      <c r="M48" s="71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21" customHeight="1" x14ac:dyDescent="0.25">
      <c r="A49" s="1"/>
      <c r="B49" s="42" t="s">
        <v>55</v>
      </c>
      <c r="C49" s="43"/>
      <c r="D49" s="76"/>
      <c r="E49" s="45">
        <f t="shared" ref="E49:K49" si="16">E36+E41+E47</f>
        <v>31807.539062499993</v>
      </c>
      <c r="F49" s="45">
        <f t="shared" si="16"/>
        <v>118528.23124999997</v>
      </c>
      <c r="G49" s="45">
        <f t="shared" si="16"/>
        <v>105528.23124999998</v>
      </c>
      <c r="H49" s="45">
        <f t="shared" si="16"/>
        <v>22222.606249999997</v>
      </c>
      <c r="I49" s="45">
        <f t="shared" si="16"/>
        <v>126354.63749999998</v>
      </c>
      <c r="J49" s="45">
        <f t="shared" si="16"/>
        <v>175333.85625000001</v>
      </c>
      <c r="K49" s="45">
        <f t="shared" si="16"/>
        <v>667301.41874999984</v>
      </c>
      <c r="L49" s="46">
        <f>L36+L41+L47</f>
        <v>355571.31874999992</v>
      </c>
      <c r="M49" s="71">
        <f>SUM(E49:L49)</f>
        <v>1602647.8390624996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42"/>
      <c r="C50" s="43"/>
      <c r="D50" s="60"/>
      <c r="E50" s="72"/>
      <c r="F50" s="72"/>
      <c r="G50" s="73"/>
      <c r="H50" s="73"/>
      <c r="I50" s="73"/>
      <c r="J50" s="73"/>
      <c r="K50" s="73"/>
      <c r="L50" s="73"/>
      <c r="M50" s="7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77"/>
      <c r="C51" s="78"/>
      <c r="D51" s="79"/>
      <c r="E51" s="80"/>
      <c r="F51" s="80"/>
      <c r="G51" s="81"/>
      <c r="H51" s="81"/>
      <c r="I51" s="81"/>
      <c r="J51" s="81"/>
      <c r="K51" s="81"/>
      <c r="L51" s="81"/>
      <c r="M51" s="8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83" t="s">
        <v>56</v>
      </c>
      <c r="C52" s="84"/>
      <c r="D52" s="85"/>
      <c r="E52" s="86" t="s">
        <v>22</v>
      </c>
      <c r="F52" s="87"/>
      <c r="G52" s="87"/>
      <c r="H52" s="87"/>
      <c r="I52" s="87"/>
      <c r="J52" s="87"/>
      <c r="K52" s="87"/>
      <c r="L52" s="87"/>
      <c r="M52" s="88" t="s">
        <v>22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89"/>
      <c r="B53" s="42" t="s">
        <v>57</v>
      </c>
      <c r="C53" s="90">
        <v>10000</v>
      </c>
      <c r="D53" s="91"/>
      <c r="E53" s="92">
        <v>10000</v>
      </c>
      <c r="F53" s="92"/>
      <c r="G53" s="92"/>
      <c r="H53" s="92"/>
      <c r="I53" s="92"/>
      <c r="J53" s="92"/>
      <c r="K53" s="92"/>
      <c r="L53" s="93"/>
      <c r="M53" s="94">
        <f>SUM(E53:L53)</f>
        <v>10000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ht="11.25" customHeight="1" x14ac:dyDescent="0.25">
      <c r="A54" s="89"/>
      <c r="B54" s="42" t="s">
        <v>58</v>
      </c>
      <c r="C54" s="90">
        <f>SUM(D54:L54)</f>
        <v>0</v>
      </c>
      <c r="D54" s="91"/>
      <c r="E54" s="92"/>
      <c r="F54" s="93"/>
      <c r="G54" s="93"/>
      <c r="H54" s="93"/>
      <c r="I54" s="93"/>
      <c r="J54" s="93"/>
      <c r="K54" s="93"/>
      <c r="L54" s="93"/>
      <c r="M54" s="94">
        <f>SUM(E54:L54)</f>
        <v>0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ht="11.25" customHeight="1" x14ac:dyDescent="0.25">
      <c r="A55" s="89"/>
      <c r="B55" s="42" t="s">
        <v>59</v>
      </c>
      <c r="C55" s="90">
        <v>12500</v>
      </c>
      <c r="D55" s="95"/>
      <c r="E55" s="93"/>
      <c r="F55" s="93"/>
      <c r="G55" s="93"/>
      <c r="H55" s="93"/>
      <c r="I55" s="93"/>
      <c r="J55" s="93"/>
      <c r="K55" s="93"/>
      <c r="L55" s="93"/>
      <c r="M55" s="94">
        <f>+C55</f>
        <v>12500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ht="11.25" customHeight="1" x14ac:dyDescent="0.25">
      <c r="A56" s="89"/>
      <c r="B56" s="42" t="s">
        <v>60</v>
      </c>
      <c r="C56" s="90">
        <v>10000</v>
      </c>
      <c r="D56" s="95"/>
      <c r="E56" s="93"/>
      <c r="F56" s="93"/>
      <c r="G56" s="93"/>
      <c r="H56" s="93"/>
      <c r="I56" s="93"/>
      <c r="J56" s="93"/>
      <c r="K56" s="93"/>
      <c r="L56" s="93"/>
      <c r="M56" s="94">
        <f>+C56</f>
        <v>10000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1.25" customHeight="1" x14ac:dyDescent="0.25">
      <c r="A57" s="89"/>
      <c r="B57" s="42" t="s">
        <v>61</v>
      </c>
      <c r="C57" s="90">
        <v>10000</v>
      </c>
      <c r="D57" s="95"/>
      <c r="E57" s="93">
        <v>5000</v>
      </c>
      <c r="F57" s="93">
        <v>5000</v>
      </c>
      <c r="G57" s="93"/>
      <c r="H57" s="93"/>
      <c r="I57" s="93"/>
      <c r="J57" s="93"/>
      <c r="K57" s="93"/>
      <c r="L57" s="93"/>
      <c r="M57" s="94">
        <f>SUM(E57:L57)</f>
        <v>10000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1.25" customHeight="1" x14ac:dyDescent="0.25">
      <c r="A58" s="89"/>
      <c r="B58" s="42" t="s">
        <v>62</v>
      </c>
      <c r="C58" s="43"/>
      <c r="D58" s="91"/>
      <c r="E58" s="92"/>
      <c r="F58" s="93"/>
      <c r="G58" s="93"/>
      <c r="H58" s="93"/>
      <c r="I58" s="93"/>
      <c r="J58" s="93"/>
      <c r="K58" s="93"/>
      <c r="L58" s="93"/>
      <c r="M58" s="94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x14ac:dyDescent="0.25">
      <c r="A59" s="89"/>
      <c r="B59" s="32" t="s">
        <v>63</v>
      </c>
      <c r="C59" s="96"/>
      <c r="D59" s="97"/>
      <c r="E59" s="98"/>
      <c r="F59" s="99"/>
      <c r="G59" s="99"/>
      <c r="H59" s="99"/>
      <c r="I59" s="99"/>
      <c r="J59" s="99"/>
      <c r="K59" s="99"/>
      <c r="L59" s="99"/>
      <c r="M59" s="100">
        <f>SUM(M53:M58)</f>
        <v>42500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ht="11.25" customHeight="1" x14ac:dyDescent="0.25">
      <c r="A60" s="1"/>
      <c r="B60" s="42"/>
      <c r="C60" s="43"/>
      <c r="D60" s="91"/>
      <c r="E60" s="101"/>
      <c r="F60" s="102"/>
      <c r="G60" s="102"/>
      <c r="H60" s="102"/>
      <c r="I60" s="102"/>
      <c r="J60" s="102"/>
      <c r="K60" s="102"/>
      <c r="L60" s="102"/>
      <c r="M60" s="10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04" t="s">
        <v>64</v>
      </c>
      <c r="C61" s="105" t="s">
        <v>65</v>
      </c>
      <c r="D61" s="85"/>
      <c r="E61" s="106" t="s">
        <v>22</v>
      </c>
      <c r="F61" s="107"/>
      <c r="G61" s="107"/>
      <c r="H61" s="107"/>
      <c r="I61" s="107"/>
      <c r="J61" s="107"/>
      <c r="K61" s="107"/>
      <c r="L61" s="107"/>
      <c r="M61" s="108" t="s">
        <v>22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89"/>
      <c r="B62" s="75" t="s">
        <v>66</v>
      </c>
      <c r="C62" s="78">
        <v>0</v>
      </c>
      <c r="D62" s="109"/>
      <c r="E62" s="110"/>
      <c r="F62" s="111"/>
      <c r="G62" s="111"/>
      <c r="H62" s="111"/>
      <c r="I62" s="111"/>
      <c r="J62" s="111"/>
      <c r="K62" s="111"/>
      <c r="L62" s="111"/>
      <c r="M62" s="11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spans="1:26" ht="11.25" customHeight="1" x14ac:dyDescent="0.25">
      <c r="A63" s="89"/>
      <c r="B63" s="75" t="s">
        <v>154</v>
      </c>
      <c r="C63" s="78">
        <f>3500*30</f>
        <v>105000</v>
      </c>
      <c r="D63" s="109"/>
      <c r="E63" s="110"/>
      <c r="F63" s="111"/>
      <c r="G63" s="111"/>
      <c r="H63" s="111"/>
      <c r="I63" s="111"/>
      <c r="J63" s="111"/>
      <c r="K63" s="111"/>
      <c r="L63" s="111"/>
      <c r="M63" s="113">
        <f>C63/12</f>
        <v>8750</v>
      </c>
      <c r="N63" s="114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spans="1:26" ht="11.25" customHeight="1" x14ac:dyDescent="0.25">
      <c r="A64" s="89"/>
      <c r="B64" s="75" t="s">
        <v>148</v>
      </c>
      <c r="C64" s="78">
        <v>15000</v>
      </c>
      <c r="D64" s="109"/>
      <c r="E64" s="110"/>
      <c r="F64" s="111"/>
      <c r="G64" s="111"/>
      <c r="H64" s="111"/>
      <c r="I64" s="111"/>
      <c r="J64" s="111"/>
      <c r="K64" s="111"/>
      <c r="L64" s="111"/>
      <c r="M64" s="113">
        <f>C64/12</f>
        <v>1250</v>
      </c>
      <c r="N64" s="114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ht="11.25" customHeight="1" x14ac:dyDescent="0.25">
      <c r="A65" s="1"/>
      <c r="B65" s="75"/>
      <c r="C65" s="78"/>
      <c r="D65" s="79"/>
      <c r="E65" s="115"/>
      <c r="F65" s="116"/>
      <c r="G65" s="116"/>
      <c r="H65" s="116"/>
      <c r="I65" s="116"/>
      <c r="J65" s="116"/>
      <c r="K65" s="116"/>
      <c r="L65" s="116"/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50" t="s">
        <v>67</v>
      </c>
      <c r="C66" s="118"/>
      <c r="D66" s="119"/>
      <c r="E66" s="120"/>
      <c r="F66" s="105"/>
      <c r="G66" s="105"/>
      <c r="H66" s="105"/>
      <c r="I66" s="105"/>
      <c r="J66" s="105"/>
      <c r="K66" s="105"/>
      <c r="L66" s="105"/>
      <c r="M66" s="12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42"/>
      <c r="C67" s="43"/>
      <c r="D67" s="60"/>
      <c r="E67" s="61"/>
      <c r="F67" s="62"/>
      <c r="G67" s="62"/>
      <c r="H67" s="62"/>
      <c r="I67" s="62"/>
      <c r="J67" s="62"/>
      <c r="K67" s="62"/>
      <c r="L67" s="62"/>
      <c r="M67" s="6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42" t="s">
        <v>68</v>
      </c>
      <c r="C68" s="43"/>
      <c r="D68" s="122"/>
      <c r="E68" s="123"/>
      <c r="F68" s="123"/>
      <c r="G68" s="123"/>
      <c r="H68" s="123"/>
      <c r="I68" s="123"/>
      <c r="J68" s="123"/>
      <c r="K68" s="123"/>
      <c r="L68" s="124"/>
      <c r="M68" s="103">
        <f>+M49*0.1</f>
        <v>160264.78390624997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25" t="s">
        <v>69</v>
      </c>
      <c r="C69" s="43"/>
      <c r="D69" s="126"/>
      <c r="E69" s="127"/>
      <c r="F69" s="127"/>
      <c r="G69" s="127"/>
      <c r="H69" s="127"/>
      <c r="I69" s="127"/>
      <c r="J69" s="127"/>
      <c r="K69" s="127"/>
      <c r="L69" s="128"/>
      <c r="M69" s="12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30" t="s">
        <v>70</v>
      </c>
      <c r="C70" s="43"/>
      <c r="D70" s="131"/>
      <c r="E70" s="132"/>
      <c r="F70" s="132"/>
      <c r="G70" s="132"/>
      <c r="H70" s="132"/>
      <c r="I70" s="132"/>
      <c r="J70" s="132"/>
      <c r="K70" s="132"/>
      <c r="L70" s="133"/>
      <c r="M70" s="134">
        <f>+M59*0.1</f>
        <v>4250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30" t="s">
        <v>71</v>
      </c>
      <c r="C71" s="43"/>
      <c r="D71" s="131"/>
      <c r="E71" s="132"/>
      <c r="F71" s="132"/>
      <c r="G71" s="132"/>
      <c r="H71" s="132"/>
      <c r="I71" s="132"/>
      <c r="J71" s="132"/>
      <c r="K71" s="132"/>
      <c r="L71" s="133"/>
      <c r="M71" s="134">
        <f>SUM(M63:M64)*0.1</f>
        <v>1000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42"/>
      <c r="C72" s="43"/>
      <c r="D72" s="126"/>
      <c r="E72" s="127"/>
      <c r="F72" s="127"/>
      <c r="G72" s="127"/>
      <c r="H72" s="127"/>
      <c r="I72" s="127"/>
      <c r="J72" s="127"/>
      <c r="K72" s="127"/>
      <c r="L72" s="128"/>
      <c r="M72" s="1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35" t="s">
        <v>72</v>
      </c>
      <c r="C73" s="136"/>
      <c r="D73" s="137"/>
      <c r="E73" s="138"/>
      <c r="F73" s="138"/>
      <c r="G73" s="138"/>
      <c r="H73" s="138"/>
      <c r="I73" s="138"/>
      <c r="J73" s="138"/>
      <c r="K73" s="138"/>
      <c r="L73" s="138"/>
      <c r="M73" s="139">
        <f>+M49+M59+M63+M64</f>
        <v>1655147.8390624996</v>
      </c>
      <c r="N73" s="140">
        <f>M49+M59+M63</f>
        <v>1653897.8390624996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38"/>
      <c r="B74" s="135"/>
      <c r="C74" s="136" t="s">
        <v>73</v>
      </c>
      <c r="D74" s="141"/>
      <c r="E74" s="138"/>
      <c r="F74" s="138"/>
      <c r="G74" s="138"/>
      <c r="H74" s="138"/>
      <c r="I74" s="138"/>
      <c r="J74" s="138"/>
      <c r="K74" s="138"/>
      <c r="L74" s="138"/>
      <c r="M74" s="142">
        <f>SUM(M68:M71)</f>
        <v>165514.78390624997</v>
      </c>
      <c r="N74" s="140">
        <f>N73*0.1</f>
        <v>165389.78390624997</v>
      </c>
      <c r="O74" s="1"/>
      <c r="P74" s="1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25">
      <c r="A75" s="1"/>
      <c r="B75" s="135" t="s">
        <v>74</v>
      </c>
      <c r="C75" s="136" t="s">
        <v>73</v>
      </c>
      <c r="D75" s="143"/>
      <c r="E75" s="144"/>
      <c r="F75" s="144"/>
      <c r="G75" s="144"/>
      <c r="H75" s="144"/>
      <c r="I75" s="144"/>
      <c r="J75" s="144"/>
      <c r="K75" s="144"/>
      <c r="L75" s="144"/>
      <c r="M75" s="139">
        <f>+M73+M74</f>
        <v>1820662.6229687496</v>
      </c>
      <c r="N75" s="140">
        <f>N73+N74</f>
        <v>1819287.6229687496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25"/>
      <c r="C76" s="145"/>
      <c r="D76" s="125"/>
      <c r="E76" s="146"/>
      <c r="F76" s="146"/>
      <c r="G76" s="146"/>
      <c r="H76" s="146"/>
      <c r="I76" s="146"/>
      <c r="J76" s="146"/>
      <c r="K76" s="146"/>
      <c r="L76" s="146"/>
      <c r="M76" s="147"/>
      <c r="N76" s="14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48"/>
      <c r="C77" s="149"/>
      <c r="D77" s="150"/>
      <c r="E77" s="151"/>
      <c r="F77" s="151"/>
      <c r="G77" s="151"/>
      <c r="H77" s="151"/>
      <c r="I77" s="151"/>
      <c r="J77" s="151"/>
      <c r="K77" s="151"/>
      <c r="L77" s="151"/>
      <c r="M77" s="1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25">
      <c r="A78" s="1"/>
      <c r="B78" s="153"/>
      <c r="C78" s="149" t="s">
        <v>75</v>
      </c>
      <c r="D78" s="154"/>
      <c r="E78" s="155"/>
      <c r="F78" s="155"/>
      <c r="G78" s="155"/>
      <c r="H78" s="155"/>
      <c r="I78" s="155"/>
      <c r="J78" s="155"/>
      <c r="K78" s="155"/>
      <c r="L78" s="155"/>
      <c r="M78" s="156"/>
      <c r="N78" s="140">
        <f>N75*0.1</f>
        <v>181928.76229687498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58"/>
      <c r="B79" s="157" t="s">
        <v>74</v>
      </c>
      <c r="C79" s="158" t="s">
        <v>75</v>
      </c>
      <c r="D79" s="159"/>
      <c r="E79" s="160"/>
      <c r="F79" s="160"/>
      <c r="G79" s="160"/>
      <c r="H79" s="160"/>
      <c r="I79" s="160"/>
      <c r="J79" s="160"/>
      <c r="K79" s="160"/>
      <c r="L79" s="160"/>
      <c r="M79" s="161">
        <f>+M75+M78</f>
        <v>1820662.6229687496</v>
      </c>
      <c r="N79" s="140">
        <f>N78+N75</f>
        <v>2001216.3852656246</v>
      </c>
      <c r="O79" s="1"/>
      <c r="P79" s="140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8.75" customHeight="1" x14ac:dyDescent="0.25">
      <c r="A80" s="58"/>
      <c r="B80" s="162"/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5"/>
      <c r="N80" s="166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 x14ac:dyDescent="0.25">
      <c r="A81" s="58"/>
      <c r="B81" s="167" t="s">
        <v>76</v>
      </c>
      <c r="C81" s="168"/>
      <c r="D81" s="168"/>
      <c r="E81" s="169"/>
      <c r="F81" s="169"/>
      <c r="G81" s="169"/>
      <c r="H81" s="169"/>
      <c r="I81" s="169"/>
      <c r="J81" s="169"/>
      <c r="K81" s="169"/>
      <c r="L81" s="169"/>
      <c r="M81" s="170">
        <f>+M79</f>
        <v>1820662.6229687496</v>
      </c>
      <c r="N81" s="171">
        <f>N79</f>
        <v>2001216.3852656246</v>
      </c>
      <c r="O81" s="58"/>
      <c r="P81" s="172">
        <f>N81-M81</f>
        <v>180553.76229687501</v>
      </c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20.25" customHeight="1" x14ac:dyDescent="0.25">
      <c r="A82" s="58"/>
      <c r="B82" s="167" t="s">
        <v>77</v>
      </c>
      <c r="C82" s="168"/>
      <c r="D82" s="168"/>
      <c r="E82" s="169"/>
      <c r="F82" s="169"/>
      <c r="G82" s="169"/>
      <c r="H82" s="169"/>
      <c r="I82" s="169"/>
      <c r="J82" s="169"/>
      <c r="K82" s="169"/>
      <c r="L82" s="169"/>
      <c r="M82" s="170">
        <f>+M81/C34</f>
        <v>22477.316332947525</v>
      </c>
      <c r="N82" s="166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1.25" customHeight="1" x14ac:dyDescent="0.25">
      <c r="A83" s="58"/>
      <c r="B83" s="167"/>
      <c r="C83" s="168"/>
      <c r="D83" s="168"/>
      <c r="E83" s="169"/>
      <c r="F83" s="169"/>
      <c r="G83" s="169"/>
      <c r="H83" s="169"/>
      <c r="I83" s="169"/>
      <c r="J83" s="169"/>
      <c r="K83" s="169"/>
      <c r="L83" s="169"/>
      <c r="M83" s="170"/>
      <c r="N83" s="166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1.25" customHeight="1" x14ac:dyDescent="0.25">
      <c r="A84" s="38"/>
      <c r="B84" s="173"/>
      <c r="C84" s="174"/>
      <c r="D84" s="174"/>
      <c r="E84" s="175"/>
      <c r="F84" s="175"/>
      <c r="G84" s="175"/>
      <c r="H84" s="175"/>
      <c r="I84" s="175"/>
      <c r="J84" s="175"/>
      <c r="K84" s="175"/>
      <c r="L84" s="176"/>
      <c r="M84" s="177"/>
      <c r="N84" s="166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25">
      <c r="A85" s="58"/>
      <c r="B85" s="178" t="s">
        <v>78</v>
      </c>
      <c r="C85" s="179"/>
      <c r="D85" s="179"/>
      <c r="E85" s="180"/>
      <c r="F85" s="180"/>
      <c r="G85" s="180"/>
      <c r="H85" s="180"/>
      <c r="I85" s="180"/>
      <c r="J85" s="180"/>
      <c r="K85" s="180"/>
      <c r="L85" s="181" t="s">
        <v>79</v>
      </c>
      <c r="M85" s="182">
        <v>1630000</v>
      </c>
      <c r="N85" s="181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1.25" hidden="1" customHeight="1" x14ac:dyDescent="0.25">
      <c r="A86" s="1"/>
      <c r="B86" s="183"/>
      <c r="C86" s="184"/>
      <c r="D86" s="185"/>
      <c r="E86" s="185"/>
      <c r="F86" s="185"/>
      <c r="G86" s="185"/>
      <c r="H86" s="185"/>
      <c r="I86" s="185"/>
      <c r="J86" s="185"/>
      <c r="K86" s="185"/>
      <c r="L86" s="1"/>
      <c r="M86" s="1"/>
      <c r="N86" s="1"/>
      <c r="O86" s="1"/>
      <c r="P86" s="186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hidden="1" customHeight="1" x14ac:dyDescent="0.25">
      <c r="A87" s="1"/>
      <c r="B87" s="183" t="s">
        <v>80</v>
      </c>
      <c r="C87" s="184">
        <v>0.06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87"/>
      <c r="P87" s="188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hidden="1" customHeight="1" x14ac:dyDescent="0.25">
      <c r="A88" s="1"/>
      <c r="B88" s="183" t="s">
        <v>81</v>
      </c>
      <c r="C88" s="184">
        <v>0.01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hidden="1" customHeight="1" x14ac:dyDescent="0.25">
      <c r="A89" s="1"/>
      <c r="B89" s="183"/>
      <c r="C89" s="189"/>
      <c r="D89" s="190"/>
      <c r="E89" s="190"/>
      <c r="F89" s="190"/>
      <c r="G89" s="190"/>
      <c r="H89" s="190"/>
      <c r="I89" s="190"/>
      <c r="J89" s="190"/>
      <c r="K89" s="190"/>
      <c r="L89" s="1"/>
      <c r="M89" s="1"/>
      <c r="N89" s="1"/>
      <c r="O89" s="19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hidden="1" customHeight="1" x14ac:dyDescent="0.25">
      <c r="A90" s="1"/>
      <c r="B90" s="183" t="s">
        <v>82</v>
      </c>
      <c r="C90" s="184">
        <f>SUM(C86:C89)</f>
        <v>6.9999999999999993E-2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92"/>
      <c r="P90" s="192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hidden="1" customHeight="1" x14ac:dyDescent="0.25">
      <c r="A91" s="1"/>
      <c r="D91" s="190"/>
      <c r="E91" s="190"/>
      <c r="F91" s="190"/>
      <c r="G91" s="190"/>
      <c r="H91" s="190"/>
      <c r="I91" s="190"/>
      <c r="J91" s="190"/>
      <c r="K91" s="190"/>
      <c r="L91" s="1"/>
      <c r="M91" s="1"/>
      <c r="N91" s="1"/>
      <c r="O91" s="193"/>
      <c r="P91" s="19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hidden="1" customHeight="1" x14ac:dyDescent="0.25">
      <c r="A92" s="1"/>
      <c r="B92" s="178" t="s">
        <v>78</v>
      </c>
      <c r="C92" s="179"/>
      <c r="D92" s="190"/>
      <c r="E92" s="190"/>
      <c r="F92" s="190"/>
      <c r="G92" s="190"/>
      <c r="H92" s="190"/>
      <c r="I92" s="190"/>
      <c r="J92" s="190"/>
      <c r="K92" s="190"/>
      <c r="L92" s="1"/>
      <c r="M92" s="1"/>
      <c r="N92" s="1"/>
      <c r="O92" s="193"/>
      <c r="P92" s="19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hidden="1" customHeight="1" x14ac:dyDescent="0.25">
      <c r="A93" s="1"/>
      <c r="B93" s="183"/>
      <c r="C93" s="18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95"/>
      <c r="P93" s="192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hidden="1" customHeight="1" x14ac:dyDescent="0.25">
      <c r="A94" s="1"/>
      <c r="B94" s="183" t="s">
        <v>80</v>
      </c>
      <c r="C94" s="184">
        <v>0.06</v>
      </c>
      <c r="D94" s="1"/>
      <c r="E94" s="1"/>
      <c r="F94" s="1"/>
      <c r="G94" s="1"/>
      <c r="H94" s="1"/>
      <c r="I94" s="1"/>
      <c r="J94" s="1"/>
      <c r="K94" s="1"/>
      <c r="L94" s="19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hidden="1" customHeight="1" x14ac:dyDescent="0.25">
      <c r="A95" s="1"/>
      <c r="B95" s="183" t="s">
        <v>81</v>
      </c>
      <c r="C95" s="184">
        <v>0.01</v>
      </c>
      <c r="D95" s="1"/>
      <c r="E95" s="1"/>
      <c r="F95" s="1"/>
      <c r="G95" s="1"/>
      <c r="H95" s="1"/>
      <c r="I95" s="1"/>
      <c r="J95" s="1"/>
      <c r="K95" s="1"/>
      <c r="L95" s="190"/>
      <c r="M95" s="1"/>
      <c r="N95" s="1"/>
      <c r="O95" s="19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hidden="1" customHeight="1" x14ac:dyDescent="0.25">
      <c r="A96" s="1"/>
      <c r="B96" s="183"/>
      <c r="C96" s="18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9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hidden="1" customHeight="1" x14ac:dyDescent="0.25">
      <c r="A97" s="1"/>
      <c r="B97" s="183" t="s">
        <v>82</v>
      </c>
      <c r="C97" s="184">
        <f>SUM(C93:C96)</f>
        <v>6.9999999999999993E-2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hidden="1" customHeight="1" x14ac:dyDescent="0.25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hidden="1" customHeight="1" x14ac:dyDescent="0.25">
      <c r="A99" s="1"/>
      <c r="B99" s="178" t="s">
        <v>78</v>
      </c>
      <c r="C99" s="17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83"/>
      <c r="C100" s="184"/>
      <c r="D100" s="1"/>
      <c r="E100" s="1"/>
      <c r="F100" s="1"/>
      <c r="G100" s="1"/>
      <c r="H100" s="1"/>
      <c r="I100" s="1"/>
      <c r="J100" s="1"/>
      <c r="K100" s="1"/>
      <c r="L100" s="184"/>
      <c r="M100" s="140">
        <f>M81-M85</f>
        <v>190662.62296874961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83" t="s">
        <v>80</v>
      </c>
      <c r="C101" s="184">
        <v>0.06</v>
      </c>
      <c r="D101" s="1"/>
      <c r="E101" s="1"/>
      <c r="F101" s="1"/>
      <c r="G101" s="1"/>
      <c r="H101" s="1"/>
      <c r="I101" s="1"/>
      <c r="J101" s="1"/>
      <c r="K101" s="1"/>
      <c r="L101" s="1"/>
      <c r="M101" s="16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83" t="s">
        <v>81</v>
      </c>
      <c r="C102" s="184">
        <v>0.01</v>
      </c>
      <c r="D102" s="1"/>
      <c r="E102" s="1"/>
      <c r="F102" s="1"/>
      <c r="G102" s="1"/>
      <c r="H102" s="1"/>
      <c r="I102" s="1"/>
      <c r="J102" s="1"/>
      <c r="K102" s="1"/>
      <c r="L102" s="1"/>
      <c r="M102" s="196">
        <f>+M100/M85</f>
        <v>0.1169709343366562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83"/>
      <c r="C103" s="18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83" t="s">
        <v>82</v>
      </c>
      <c r="C104" s="184">
        <f>SUM(C100:C103)</f>
        <v>6.9999999999999993E-2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 t="s">
        <v>83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 t="s">
        <v>84</v>
      </c>
      <c r="D110" s="1"/>
      <c r="E110" s="197">
        <f>+E16*26</f>
        <v>17000.100000000002</v>
      </c>
      <c r="F110" s="197">
        <f t="shared" ref="F110:L110" si="17">+F16*26</f>
        <v>13962</v>
      </c>
      <c r="G110" s="197">
        <f t="shared" si="17"/>
        <v>13962</v>
      </c>
      <c r="H110" s="197">
        <f t="shared" si="17"/>
        <v>13962</v>
      </c>
      <c r="I110" s="197">
        <f t="shared" si="17"/>
        <v>13962</v>
      </c>
      <c r="J110" s="197">
        <f t="shared" si="17"/>
        <v>13962</v>
      </c>
      <c r="K110" s="197">
        <f t="shared" si="17"/>
        <v>13962</v>
      </c>
      <c r="L110" s="197">
        <f t="shared" si="17"/>
        <v>13962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 t="s">
        <v>85</v>
      </c>
      <c r="D111" s="1"/>
      <c r="E111" s="197">
        <f>+E31*26</f>
        <v>9200</v>
      </c>
      <c r="F111" s="197">
        <f t="shared" ref="F111:L111" si="18">+F31*26</f>
        <v>4700</v>
      </c>
      <c r="G111" s="197">
        <f t="shared" si="18"/>
        <v>2700</v>
      </c>
      <c r="H111" s="197">
        <f t="shared" si="18"/>
        <v>2700</v>
      </c>
      <c r="I111" s="197">
        <f t="shared" si="18"/>
        <v>2700</v>
      </c>
      <c r="J111" s="197">
        <f t="shared" si="18"/>
        <v>1200</v>
      </c>
      <c r="K111" s="197">
        <f t="shared" si="18"/>
        <v>700</v>
      </c>
      <c r="L111" s="197">
        <f t="shared" si="18"/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 t="s">
        <v>55</v>
      </c>
      <c r="D112" s="1"/>
      <c r="E112" s="166">
        <f>SUM(E110:E111)</f>
        <v>26200.100000000002</v>
      </c>
      <c r="F112" s="166">
        <f t="shared" ref="F112:L112" si="19">SUM(F110:F111)</f>
        <v>18662</v>
      </c>
      <c r="G112" s="166">
        <f t="shared" si="19"/>
        <v>16662</v>
      </c>
      <c r="H112" s="166">
        <f t="shared" si="19"/>
        <v>16662</v>
      </c>
      <c r="I112" s="166">
        <f t="shared" si="19"/>
        <v>16662</v>
      </c>
      <c r="J112" s="166">
        <f t="shared" si="19"/>
        <v>15162</v>
      </c>
      <c r="K112" s="166">
        <f t="shared" si="19"/>
        <v>14662</v>
      </c>
      <c r="L112" s="166">
        <f t="shared" si="19"/>
        <v>13962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 t="s">
        <v>86</v>
      </c>
      <c r="D114" s="1"/>
      <c r="E114" s="197">
        <v>537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1">
    <mergeCell ref="D7:L7"/>
    <mergeCell ref="D2:L2"/>
    <mergeCell ref="D3:L3"/>
    <mergeCell ref="D4:L4"/>
    <mergeCell ref="D5:L5"/>
    <mergeCell ref="D6:L6"/>
    <mergeCell ref="D8:L8"/>
    <mergeCell ref="D9:L9"/>
    <mergeCell ref="D10:L10"/>
    <mergeCell ref="B12:E12"/>
    <mergeCell ref="D13:L13"/>
  </mergeCells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workbookViewId="0">
      <pane xSplit="3" ySplit="17" topLeftCell="D27" activePane="bottomRight" state="frozen"/>
      <selection pane="topRight" activeCell="D1" sqref="D1"/>
      <selection pane="bottomLeft" activeCell="A18" sqref="A18"/>
      <selection pane="bottomRight" activeCell="I37" sqref="I37"/>
    </sheetView>
  </sheetViews>
  <sheetFormatPr defaultColWidth="14.42578125" defaultRowHeight="15" x14ac:dyDescent="0.25"/>
  <cols>
    <col min="1" max="1" width="1.42578125" customWidth="1"/>
    <col min="2" max="2" width="49.28515625" customWidth="1"/>
    <col min="4" max="4" width="1.42578125" customWidth="1"/>
    <col min="5" max="5" width="12.42578125" bestFit="1" customWidth="1"/>
    <col min="6" max="7" width="12.140625" bestFit="1" customWidth="1"/>
    <col min="8" max="8" width="11" bestFit="1" customWidth="1"/>
    <col min="9" max="9" width="12.140625" bestFit="1" customWidth="1"/>
    <col min="10" max="12" width="13.85546875" bestFit="1" customWidth="1"/>
    <col min="13" max="13" width="20.28515625" customWidth="1"/>
    <col min="14" max="14" width="19.140625" customWidth="1"/>
    <col min="15" max="15" width="2.140625" customWidth="1"/>
    <col min="16" max="16" width="19.5703125" customWidth="1"/>
    <col min="17" max="26" width="30" customWidth="1"/>
  </cols>
  <sheetData>
    <row r="1" spans="1:26" ht="11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5">
      <c r="A2" s="1"/>
      <c r="B2" s="3" t="s">
        <v>0</v>
      </c>
      <c r="C2" s="3" t="s">
        <v>1</v>
      </c>
      <c r="D2" s="395"/>
      <c r="E2" s="396"/>
      <c r="F2" s="396"/>
      <c r="G2" s="396"/>
      <c r="H2" s="396"/>
      <c r="I2" s="396"/>
      <c r="J2" s="396"/>
      <c r="K2" s="396"/>
      <c r="L2" s="396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5">
      <c r="A3" s="1"/>
      <c r="B3" s="3" t="s">
        <v>2</v>
      </c>
      <c r="C3" s="3"/>
      <c r="D3" s="395" t="s">
        <v>87</v>
      </c>
      <c r="E3" s="396"/>
      <c r="F3" s="396"/>
      <c r="G3" s="396"/>
      <c r="H3" s="396"/>
      <c r="I3" s="396"/>
      <c r="J3" s="396"/>
      <c r="K3" s="396"/>
      <c r="L3" s="396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5">
      <c r="A4" s="1"/>
      <c r="B4" s="3" t="s">
        <v>88</v>
      </c>
      <c r="C4" s="3"/>
      <c r="D4" s="395"/>
      <c r="E4" s="396"/>
      <c r="F4" s="396"/>
      <c r="G4" s="396"/>
      <c r="H4" s="396"/>
      <c r="I4" s="396"/>
      <c r="J4" s="396"/>
      <c r="K4" s="396"/>
      <c r="L4" s="396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hidden="1" customHeight="1" x14ac:dyDescent="0.25">
      <c r="A5" s="1"/>
      <c r="B5" s="3"/>
      <c r="C5" s="3"/>
      <c r="D5" s="395"/>
      <c r="E5" s="396"/>
      <c r="F5" s="396"/>
      <c r="G5" s="396"/>
      <c r="H5" s="396"/>
      <c r="I5" s="396"/>
      <c r="J5" s="396"/>
      <c r="K5" s="396"/>
      <c r="L5" s="396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hidden="1" customHeight="1" x14ac:dyDescent="0.25">
      <c r="A6" s="1"/>
      <c r="B6" s="5" t="s">
        <v>4</v>
      </c>
      <c r="C6" s="6" t="s">
        <v>5</v>
      </c>
      <c r="D6" s="395"/>
      <c r="E6" s="396"/>
      <c r="F6" s="396"/>
      <c r="G6" s="396"/>
      <c r="H6" s="396"/>
      <c r="I6" s="396"/>
      <c r="J6" s="396"/>
      <c r="K6" s="396"/>
      <c r="L6" s="396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hidden="1" customHeight="1" x14ac:dyDescent="0.25">
      <c r="A7" s="1"/>
      <c r="B7" s="5" t="s">
        <v>6</v>
      </c>
      <c r="C7" s="6" t="s">
        <v>7</v>
      </c>
      <c r="D7" s="395"/>
      <c r="E7" s="396"/>
      <c r="F7" s="396"/>
      <c r="G7" s="396"/>
      <c r="H7" s="396"/>
      <c r="I7" s="396"/>
      <c r="J7" s="396"/>
      <c r="K7" s="396"/>
      <c r="L7" s="396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hidden="1" customHeight="1" x14ac:dyDescent="0.25">
      <c r="A8" s="1"/>
      <c r="B8" s="5" t="s">
        <v>8</v>
      </c>
      <c r="C8" s="6" t="s">
        <v>9</v>
      </c>
      <c r="D8" s="395"/>
      <c r="E8" s="396"/>
      <c r="F8" s="396"/>
      <c r="G8" s="396"/>
      <c r="H8" s="396"/>
      <c r="I8" s="396"/>
      <c r="J8" s="396"/>
      <c r="K8" s="396"/>
      <c r="L8" s="396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hidden="1" customHeight="1" x14ac:dyDescent="0.25">
      <c r="A9" s="1"/>
      <c r="B9" s="5" t="s">
        <v>10</v>
      </c>
      <c r="C9" s="7">
        <f>9*30*8</f>
        <v>2160</v>
      </c>
      <c r="D9" s="395"/>
      <c r="E9" s="396"/>
      <c r="F9" s="396"/>
      <c r="G9" s="396"/>
      <c r="H9" s="396"/>
      <c r="I9" s="396"/>
      <c r="J9" s="396"/>
      <c r="K9" s="396"/>
      <c r="L9" s="396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hidden="1" customHeight="1" x14ac:dyDescent="0.25">
      <c r="A10" s="1"/>
      <c r="B10" s="3"/>
      <c r="C10" s="3"/>
      <c r="D10" s="395"/>
      <c r="E10" s="396"/>
      <c r="F10" s="396"/>
      <c r="G10" s="396"/>
      <c r="H10" s="396"/>
      <c r="I10" s="396"/>
      <c r="J10" s="396"/>
      <c r="K10" s="396"/>
      <c r="L10" s="396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25">
      <c r="A11" s="1"/>
      <c r="B11" s="3"/>
      <c r="C11" s="3"/>
      <c r="D11" s="3"/>
      <c r="E11" s="8">
        <v>1</v>
      </c>
      <c r="F11" s="8">
        <v>5</v>
      </c>
      <c r="G11" s="8">
        <v>3</v>
      </c>
      <c r="H11" s="8">
        <v>1</v>
      </c>
      <c r="I11" s="8">
        <v>7</v>
      </c>
      <c r="J11" s="198">
        <v>43</v>
      </c>
      <c r="K11" s="198">
        <v>43</v>
      </c>
      <c r="L11" s="198">
        <v>37</v>
      </c>
      <c r="M11" s="9" t="s">
        <v>89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25">
      <c r="A12" s="1"/>
      <c r="B12" s="3"/>
      <c r="C12" s="3"/>
      <c r="D12" s="3"/>
      <c r="E12" s="8">
        <v>1</v>
      </c>
      <c r="F12" s="8">
        <v>5</v>
      </c>
      <c r="G12" s="8">
        <v>3</v>
      </c>
      <c r="H12" s="8">
        <v>1</v>
      </c>
      <c r="I12" s="8">
        <v>7</v>
      </c>
      <c r="J12" s="198">
        <v>37</v>
      </c>
      <c r="K12" s="198">
        <v>49</v>
      </c>
      <c r="L12" s="198">
        <v>37</v>
      </c>
      <c r="M12" s="9" t="s">
        <v>90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25">
      <c r="A13" s="1"/>
      <c r="B13" s="3"/>
      <c r="C13" s="3"/>
      <c r="D13" s="3"/>
      <c r="E13" s="198"/>
      <c r="F13" s="8">
        <v>550</v>
      </c>
      <c r="G13" s="8">
        <v>550</v>
      </c>
      <c r="H13" s="8">
        <v>550</v>
      </c>
      <c r="I13" s="8">
        <v>550</v>
      </c>
      <c r="J13" s="8">
        <v>550</v>
      </c>
      <c r="K13" s="8">
        <v>550</v>
      </c>
      <c r="L13" s="8">
        <v>550</v>
      </c>
      <c r="M13" s="9" t="s">
        <v>91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5">
      <c r="A14" s="1"/>
      <c r="B14" s="3"/>
      <c r="C14" s="3"/>
      <c r="D14" s="3"/>
      <c r="E14" s="8"/>
      <c r="F14" s="8"/>
      <c r="G14" s="8"/>
      <c r="H14" s="8"/>
      <c r="I14" s="8"/>
      <c r="J14" s="8"/>
      <c r="K14" s="8"/>
      <c r="L14" s="8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thickBot="1" x14ac:dyDescent="0.3">
      <c r="A15" s="1"/>
      <c r="B15" s="397" t="s">
        <v>11</v>
      </c>
      <c r="C15" s="396"/>
      <c r="D15" s="396"/>
      <c r="E15" s="396"/>
      <c r="F15" s="10"/>
      <c r="G15" s="10"/>
      <c r="H15" s="10"/>
      <c r="I15" s="10"/>
      <c r="J15" s="10"/>
      <c r="K15" s="10"/>
      <c r="L15" s="10"/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25">
      <c r="A16" s="1"/>
      <c r="B16" s="3"/>
      <c r="C16" s="11"/>
      <c r="D16" s="398" t="s">
        <v>12</v>
      </c>
      <c r="E16" s="399"/>
      <c r="F16" s="399"/>
      <c r="G16" s="399"/>
      <c r="H16" s="399"/>
      <c r="I16" s="399"/>
      <c r="J16" s="399"/>
      <c r="K16" s="399"/>
      <c r="L16" s="399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thickBot="1" x14ac:dyDescent="0.3">
      <c r="A17" s="13"/>
      <c r="B17" s="14" t="s">
        <v>13</v>
      </c>
      <c r="C17" s="15"/>
      <c r="D17" s="16"/>
      <c r="E17" s="17" t="s">
        <v>14</v>
      </c>
      <c r="F17" s="17" t="s">
        <v>15</v>
      </c>
      <c r="G17" s="17" t="s">
        <v>16</v>
      </c>
      <c r="H17" s="17" t="s">
        <v>17</v>
      </c>
      <c r="I17" s="17" t="s">
        <v>18</v>
      </c>
      <c r="J17" s="17" t="s">
        <v>19</v>
      </c>
      <c r="K17" s="17" t="s">
        <v>20</v>
      </c>
      <c r="L17" s="17" t="s">
        <v>21</v>
      </c>
      <c r="M17" s="18" t="s">
        <v>22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1"/>
      <c r="B18" s="20" t="s">
        <v>23</v>
      </c>
      <c r="C18" s="21"/>
      <c r="D18" s="22"/>
      <c r="E18" s="23">
        <f t="shared" ref="E18:L18" si="0">SUM(E19:E20)*26</f>
        <v>17850</v>
      </c>
      <c r="F18" s="23">
        <f t="shared" si="0"/>
        <v>14690</v>
      </c>
      <c r="G18" s="23">
        <f t="shared" si="0"/>
        <v>14690</v>
      </c>
      <c r="H18" s="23">
        <f t="shared" si="0"/>
        <v>14690</v>
      </c>
      <c r="I18" s="23">
        <f t="shared" si="0"/>
        <v>14690</v>
      </c>
      <c r="J18" s="23">
        <f t="shared" si="0"/>
        <v>14690</v>
      </c>
      <c r="K18" s="23">
        <f t="shared" si="0"/>
        <v>14690</v>
      </c>
      <c r="L18" s="24">
        <f t="shared" si="0"/>
        <v>14690</v>
      </c>
      <c r="M18" s="25"/>
      <c r="N18" s="19"/>
      <c r="O18" s="19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6" t="s">
        <v>24</v>
      </c>
      <c r="C19" s="27"/>
      <c r="D19" s="28"/>
      <c r="E19" s="29">
        <f>17850/26</f>
        <v>686.53846153846155</v>
      </c>
      <c r="F19" s="30">
        <v>565</v>
      </c>
      <c r="G19" s="30">
        <v>565</v>
      </c>
      <c r="H19" s="30">
        <v>565</v>
      </c>
      <c r="I19" s="30">
        <v>565</v>
      </c>
      <c r="J19" s="30">
        <v>565</v>
      </c>
      <c r="K19" s="30">
        <v>565</v>
      </c>
      <c r="L19" s="30">
        <v>565</v>
      </c>
      <c r="M19" s="31"/>
      <c r="N19" s="19"/>
      <c r="O19" s="19"/>
      <c r="P19" s="1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6" t="s">
        <v>25</v>
      </c>
      <c r="C20" s="27"/>
      <c r="D20" s="28"/>
      <c r="E20" s="29"/>
      <c r="F20" s="30"/>
      <c r="G20" s="30"/>
      <c r="H20" s="30"/>
      <c r="I20" s="30"/>
      <c r="J20" s="30"/>
      <c r="K20" s="30"/>
      <c r="L20" s="30"/>
      <c r="M20" s="31"/>
      <c r="N20" s="19"/>
      <c r="O20" s="19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99"/>
      <c r="C21" s="200"/>
      <c r="D21" s="34"/>
      <c r="E21" s="35"/>
      <c r="F21" s="30"/>
      <c r="G21" s="30"/>
      <c r="H21" s="30"/>
      <c r="I21" s="30"/>
      <c r="J21" s="30"/>
      <c r="K21" s="30"/>
      <c r="L21" s="30"/>
      <c r="M21" s="31"/>
      <c r="N21" s="19"/>
      <c r="O21" s="19"/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6" t="s">
        <v>26</v>
      </c>
      <c r="C22" s="27"/>
      <c r="D22" s="28"/>
      <c r="E22" s="29">
        <f>+E19/12</f>
        <v>57.21153846153846</v>
      </c>
      <c r="F22" s="29">
        <f t="shared" ref="F22:L22" si="1">+F19/12</f>
        <v>47.083333333333336</v>
      </c>
      <c r="G22" s="29">
        <f t="shared" si="1"/>
        <v>47.083333333333336</v>
      </c>
      <c r="H22" s="29">
        <f t="shared" si="1"/>
        <v>47.083333333333336</v>
      </c>
      <c r="I22" s="29">
        <f t="shared" si="1"/>
        <v>47.083333333333336</v>
      </c>
      <c r="J22" s="29">
        <f t="shared" si="1"/>
        <v>47.083333333333336</v>
      </c>
      <c r="K22" s="29">
        <f t="shared" si="1"/>
        <v>47.083333333333336</v>
      </c>
      <c r="L22" s="29">
        <f t="shared" si="1"/>
        <v>47.083333333333336</v>
      </c>
      <c r="M22" s="31"/>
      <c r="N22" s="19"/>
      <c r="O22" s="19"/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26" t="s">
        <v>27</v>
      </c>
      <c r="C23" s="27"/>
      <c r="D23" s="28"/>
      <c r="E23" s="29">
        <f t="shared" ref="E23:L23" si="2">SUM(E19:E20)*5/12/26</f>
        <v>11.002218934911243</v>
      </c>
      <c r="F23" s="29">
        <f t="shared" si="2"/>
        <v>9.0544871794871788</v>
      </c>
      <c r="G23" s="29">
        <f t="shared" si="2"/>
        <v>9.0544871794871788</v>
      </c>
      <c r="H23" s="29">
        <f t="shared" si="2"/>
        <v>9.0544871794871788</v>
      </c>
      <c r="I23" s="29">
        <f t="shared" si="2"/>
        <v>9.0544871794871788</v>
      </c>
      <c r="J23" s="29">
        <f t="shared" si="2"/>
        <v>9.0544871794871788</v>
      </c>
      <c r="K23" s="29">
        <f t="shared" si="2"/>
        <v>9.0544871794871788</v>
      </c>
      <c r="L23" s="30">
        <f t="shared" si="2"/>
        <v>9.0544871794871788</v>
      </c>
      <c r="M23" s="31"/>
      <c r="N23" s="19"/>
      <c r="O23" s="19"/>
      <c r="P23" s="19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26" t="s">
        <v>28</v>
      </c>
      <c r="C24" s="27"/>
      <c r="D24" s="28"/>
      <c r="E24" s="29">
        <f>SUM(E19:E20)/12/2</f>
        <v>28.60576923076923</v>
      </c>
      <c r="F24" s="29">
        <f t="shared" ref="F24:L24" si="3">SUM(F19:F20)/12/2</f>
        <v>23.541666666666668</v>
      </c>
      <c r="G24" s="29">
        <f t="shared" si="3"/>
        <v>23.541666666666668</v>
      </c>
      <c r="H24" s="29">
        <f t="shared" si="3"/>
        <v>23.541666666666668</v>
      </c>
      <c r="I24" s="29">
        <f t="shared" si="3"/>
        <v>23.541666666666668</v>
      </c>
      <c r="J24" s="29">
        <f t="shared" si="3"/>
        <v>23.541666666666668</v>
      </c>
      <c r="K24" s="29">
        <f t="shared" si="3"/>
        <v>23.541666666666668</v>
      </c>
      <c r="L24" s="29">
        <f t="shared" si="3"/>
        <v>23.541666666666668</v>
      </c>
      <c r="M24" s="3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26" t="s">
        <v>29</v>
      </c>
      <c r="C25" s="27"/>
      <c r="D25" s="36"/>
      <c r="E25" s="29">
        <f>(E19+E20)*14/12/26</f>
        <v>30.806213017751478</v>
      </c>
      <c r="F25" s="29">
        <f t="shared" ref="F25:L25" si="4">(F19+F20)*14/12/26</f>
        <v>25.352564102564102</v>
      </c>
      <c r="G25" s="29">
        <f t="shared" si="4"/>
        <v>25.352564102564102</v>
      </c>
      <c r="H25" s="29">
        <f t="shared" si="4"/>
        <v>25.352564102564102</v>
      </c>
      <c r="I25" s="29">
        <f t="shared" si="4"/>
        <v>25.352564102564102</v>
      </c>
      <c r="J25" s="29">
        <f t="shared" si="4"/>
        <v>25.352564102564102</v>
      </c>
      <c r="K25" s="29">
        <f t="shared" si="4"/>
        <v>25.352564102564102</v>
      </c>
      <c r="L25" s="29">
        <f t="shared" si="4"/>
        <v>25.352564102564102</v>
      </c>
      <c r="M25" s="3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8"/>
      <c r="B26" s="26" t="s">
        <v>30</v>
      </c>
      <c r="C26" s="27"/>
      <c r="D26" s="28"/>
      <c r="E26" s="29">
        <f>600/26</f>
        <v>23.076923076923077</v>
      </c>
      <c r="F26" s="29">
        <f>600/26</f>
        <v>23.076923076923077</v>
      </c>
      <c r="G26" s="29"/>
      <c r="H26" s="29"/>
      <c r="I26" s="29"/>
      <c r="J26" s="29"/>
      <c r="K26" s="29"/>
      <c r="L26" s="30"/>
      <c r="M26" s="3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8"/>
      <c r="B27" s="39" t="s">
        <v>31</v>
      </c>
      <c r="C27" s="40"/>
      <c r="D27" s="28"/>
      <c r="E27" s="29"/>
      <c r="F27" s="29"/>
      <c r="G27" s="29"/>
      <c r="H27" s="29"/>
      <c r="I27" s="29"/>
      <c r="J27" s="29"/>
      <c r="K27" s="29"/>
      <c r="L27" s="30"/>
      <c r="M27" s="31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x14ac:dyDescent="0.25">
      <c r="A28" s="38"/>
      <c r="B28" s="26" t="s">
        <v>32</v>
      </c>
      <c r="C28" s="27"/>
      <c r="D28" s="28"/>
      <c r="E28" s="29">
        <f>1440/26</f>
        <v>55.384615384615387</v>
      </c>
      <c r="F28" s="29">
        <f>1160/26</f>
        <v>44.615384615384613</v>
      </c>
      <c r="G28" s="29">
        <f t="shared" ref="G28:L28" si="5">1160/26</f>
        <v>44.615384615384613</v>
      </c>
      <c r="H28" s="29">
        <f t="shared" si="5"/>
        <v>44.615384615384613</v>
      </c>
      <c r="I28" s="29">
        <f t="shared" si="5"/>
        <v>44.615384615384613</v>
      </c>
      <c r="J28" s="29">
        <f t="shared" si="5"/>
        <v>44.615384615384613</v>
      </c>
      <c r="K28" s="29">
        <f t="shared" si="5"/>
        <v>44.615384615384613</v>
      </c>
      <c r="L28" s="29">
        <f t="shared" si="5"/>
        <v>44.615384615384613</v>
      </c>
      <c r="M28" s="31"/>
      <c r="N28" s="41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8"/>
      <c r="B29" s="26" t="s">
        <v>33</v>
      </c>
      <c r="C29" s="27"/>
      <c r="D29" s="28"/>
      <c r="E29" s="29">
        <f t="shared" ref="E29:L29" si="6">(E18*3%)/2/26</f>
        <v>10.298076923076923</v>
      </c>
      <c r="F29" s="29">
        <f t="shared" si="6"/>
        <v>8.4749999999999996</v>
      </c>
      <c r="G29" s="29">
        <f t="shared" si="6"/>
        <v>8.4749999999999996</v>
      </c>
      <c r="H29" s="29">
        <f t="shared" si="6"/>
        <v>8.4749999999999996</v>
      </c>
      <c r="I29" s="29">
        <f t="shared" si="6"/>
        <v>8.4749999999999996</v>
      </c>
      <c r="J29" s="29">
        <f t="shared" si="6"/>
        <v>8.4749999999999996</v>
      </c>
      <c r="K29" s="29">
        <f t="shared" si="6"/>
        <v>8.4749999999999996</v>
      </c>
      <c r="L29" s="29">
        <f t="shared" si="6"/>
        <v>8.4749999999999996</v>
      </c>
      <c r="M29" s="31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8"/>
      <c r="B30" s="26" t="s">
        <v>34</v>
      </c>
      <c r="C30" s="27"/>
      <c r="D30" s="28"/>
      <c r="E30" s="29">
        <f t="shared" ref="E30:L30" si="7">100/26</f>
        <v>3.8461538461538463</v>
      </c>
      <c r="F30" s="29">
        <f t="shared" si="7"/>
        <v>3.8461538461538463</v>
      </c>
      <c r="G30" s="29">
        <f t="shared" si="7"/>
        <v>3.8461538461538463</v>
      </c>
      <c r="H30" s="29">
        <f t="shared" si="7"/>
        <v>3.8461538461538463</v>
      </c>
      <c r="I30" s="29">
        <f t="shared" si="7"/>
        <v>3.8461538461538463</v>
      </c>
      <c r="J30" s="29">
        <f t="shared" si="7"/>
        <v>3.8461538461538463</v>
      </c>
      <c r="K30" s="29">
        <f t="shared" si="7"/>
        <v>3.8461538461538463</v>
      </c>
      <c r="L30" s="30">
        <f t="shared" si="7"/>
        <v>3.8461538461538463</v>
      </c>
      <c r="M30" s="31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8"/>
      <c r="B31" s="26" t="s">
        <v>35</v>
      </c>
      <c r="C31" s="27"/>
      <c r="D31" s="28"/>
      <c r="E31" s="29">
        <f>30/26</f>
        <v>1.1538461538461537</v>
      </c>
      <c r="F31" s="29">
        <f>10/26</f>
        <v>0.38461538461538464</v>
      </c>
      <c r="G31" s="29">
        <f t="shared" ref="G31:L31" si="8">10/26</f>
        <v>0.38461538461538464</v>
      </c>
      <c r="H31" s="29">
        <f t="shared" si="8"/>
        <v>0.38461538461538464</v>
      </c>
      <c r="I31" s="29">
        <f t="shared" si="8"/>
        <v>0.38461538461538464</v>
      </c>
      <c r="J31" s="29">
        <f t="shared" si="8"/>
        <v>0.38461538461538464</v>
      </c>
      <c r="K31" s="29">
        <f t="shared" si="8"/>
        <v>0.38461538461538464</v>
      </c>
      <c r="L31" s="29">
        <f t="shared" si="8"/>
        <v>0.38461538461538464</v>
      </c>
      <c r="M31" s="31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8"/>
      <c r="B32" s="199"/>
      <c r="C32" s="201"/>
      <c r="D32" s="34"/>
      <c r="E32" s="29"/>
      <c r="F32" s="29"/>
      <c r="G32" s="29"/>
      <c r="H32" s="29"/>
      <c r="I32" s="29"/>
      <c r="J32" s="29"/>
      <c r="K32" s="29"/>
      <c r="L32" s="30"/>
      <c r="M32" s="31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8"/>
      <c r="B33" s="42" t="s">
        <v>36</v>
      </c>
      <c r="C33" s="43"/>
      <c r="D33" s="28"/>
      <c r="E33" s="29">
        <f>SUM(E19:E32)</f>
        <v>907.92381656804741</v>
      </c>
      <c r="F33" s="29">
        <f t="shared" ref="F33:L33" si="9">SUM(F19:F32)</f>
        <v>750.4301282051282</v>
      </c>
      <c r="G33" s="29">
        <f t="shared" si="9"/>
        <v>727.3532051282051</v>
      </c>
      <c r="H33" s="29">
        <f t="shared" si="9"/>
        <v>727.3532051282051</v>
      </c>
      <c r="I33" s="29">
        <f t="shared" si="9"/>
        <v>727.3532051282051</v>
      </c>
      <c r="J33" s="29">
        <f t="shared" si="9"/>
        <v>727.3532051282051</v>
      </c>
      <c r="K33" s="29">
        <f t="shared" si="9"/>
        <v>727.3532051282051</v>
      </c>
      <c r="L33" s="29">
        <f t="shared" si="9"/>
        <v>727.3532051282051</v>
      </c>
      <c r="M33" s="31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8"/>
      <c r="B34" s="42" t="s">
        <v>37</v>
      </c>
      <c r="C34" s="43"/>
      <c r="D34" s="28"/>
      <c r="E34" s="29">
        <f>9200/26</f>
        <v>353.84615384615387</v>
      </c>
      <c r="F34" s="29">
        <f>4700/26</f>
        <v>180.76923076923077</v>
      </c>
      <c r="G34" s="29">
        <f>2700/26</f>
        <v>103.84615384615384</v>
      </c>
      <c r="H34" s="29">
        <f>2700/26</f>
        <v>103.84615384615384</v>
      </c>
      <c r="I34" s="29">
        <f>2700/26</f>
        <v>103.84615384615384</v>
      </c>
      <c r="J34" s="29">
        <f>1200/26</f>
        <v>46.153846153846153</v>
      </c>
      <c r="K34" s="29">
        <f>700/26</f>
        <v>26.923076923076923</v>
      </c>
      <c r="L34" s="29">
        <v>0</v>
      </c>
      <c r="M34" s="31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1"/>
      <c r="B35" s="42" t="s">
        <v>38</v>
      </c>
      <c r="C35" s="43"/>
      <c r="D35" s="44"/>
      <c r="E35" s="45">
        <f t="shared" ref="E35:L35" si="10">SUM(E33:E34)</f>
        <v>1261.7699704142012</v>
      </c>
      <c r="F35" s="45">
        <f t="shared" si="10"/>
        <v>931.19935897435903</v>
      </c>
      <c r="G35" s="45">
        <f t="shared" si="10"/>
        <v>831.19935897435892</v>
      </c>
      <c r="H35" s="45">
        <f t="shared" si="10"/>
        <v>831.19935897435892</v>
      </c>
      <c r="I35" s="45">
        <f t="shared" si="10"/>
        <v>831.19935897435892</v>
      </c>
      <c r="J35" s="45">
        <f t="shared" si="10"/>
        <v>773.50705128205129</v>
      </c>
      <c r="K35" s="45">
        <f t="shared" si="10"/>
        <v>754.27628205128201</v>
      </c>
      <c r="L35" s="46">
        <f t="shared" si="10"/>
        <v>727.3532051282051</v>
      </c>
      <c r="M35" s="4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42"/>
      <c r="C36" s="43"/>
      <c r="D36" s="44"/>
      <c r="E36" s="48"/>
      <c r="F36" s="49"/>
      <c r="G36" s="49"/>
      <c r="H36" s="49"/>
      <c r="I36" s="49"/>
      <c r="J36" s="49"/>
      <c r="K36" s="46"/>
      <c r="L36" s="46"/>
      <c r="M36" s="4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38"/>
      <c r="B37" s="50" t="s">
        <v>39</v>
      </c>
      <c r="C37" s="51">
        <f>SUM(D37:L37)</f>
        <v>119</v>
      </c>
      <c r="D37" s="52"/>
      <c r="E37" s="53">
        <v>1</v>
      </c>
      <c r="F37" s="54">
        <v>5</v>
      </c>
      <c r="G37" s="54">
        <v>5</v>
      </c>
      <c r="H37" s="54">
        <v>2</v>
      </c>
      <c r="I37" s="54">
        <v>7</v>
      </c>
      <c r="J37" s="55">
        <v>20</v>
      </c>
      <c r="K37" s="55">
        <v>35</v>
      </c>
      <c r="L37" s="55">
        <v>44</v>
      </c>
      <c r="M37" s="56"/>
      <c r="N37" s="57" t="s">
        <v>92</v>
      </c>
      <c r="O37" s="38"/>
      <c r="P37" s="38" t="s">
        <v>48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1.25" customHeight="1" x14ac:dyDescent="0.25">
      <c r="A38" s="58"/>
      <c r="B38" s="42" t="s">
        <v>41</v>
      </c>
      <c r="C38" s="59"/>
      <c r="D38" s="60"/>
      <c r="E38" s="61">
        <v>26</v>
      </c>
      <c r="F38" s="61">
        <v>26</v>
      </c>
      <c r="G38" s="61">
        <v>26</v>
      </c>
      <c r="H38" s="61">
        <v>26</v>
      </c>
      <c r="I38" s="61">
        <v>26</v>
      </c>
      <c r="J38" s="61">
        <v>26</v>
      </c>
      <c r="K38" s="61">
        <v>26</v>
      </c>
      <c r="L38" s="62">
        <v>26</v>
      </c>
      <c r="M38" s="63"/>
      <c r="N38" s="58" t="s">
        <v>93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1.25" customHeight="1" x14ac:dyDescent="0.25">
      <c r="A39" s="58"/>
      <c r="B39" s="42" t="s">
        <v>43</v>
      </c>
      <c r="C39" s="59"/>
      <c r="D39" s="44"/>
      <c r="E39" s="48">
        <f>E35*E37*E38</f>
        <v>32806.019230769234</v>
      </c>
      <c r="F39" s="48">
        <f t="shared" ref="F39:L39" si="11">F35*F37*F38</f>
        <v>121055.91666666667</v>
      </c>
      <c r="G39" s="48">
        <f t="shared" si="11"/>
        <v>108055.91666666667</v>
      </c>
      <c r="H39" s="48">
        <f t="shared" si="11"/>
        <v>43222.366666666661</v>
      </c>
      <c r="I39" s="48">
        <f t="shared" si="11"/>
        <v>151278.28333333333</v>
      </c>
      <c r="J39" s="48">
        <f t="shared" si="11"/>
        <v>402223.66666666669</v>
      </c>
      <c r="K39" s="48">
        <f t="shared" si="11"/>
        <v>686391.41666666663</v>
      </c>
      <c r="L39" s="48">
        <f t="shared" si="11"/>
        <v>832092.06666666665</v>
      </c>
      <c r="M39" s="47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1.25" customHeight="1" x14ac:dyDescent="0.25">
      <c r="A40" s="58"/>
      <c r="B40" s="42"/>
      <c r="C40" s="59"/>
      <c r="D40" s="60"/>
      <c r="E40" s="61"/>
      <c r="F40" s="61"/>
      <c r="G40" s="61"/>
      <c r="H40" s="61"/>
      <c r="I40" s="61"/>
      <c r="J40" s="61"/>
      <c r="K40" s="61"/>
      <c r="L40" s="62"/>
      <c r="M40" s="63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1.25" customHeight="1" x14ac:dyDescent="0.25">
      <c r="A41" s="58"/>
      <c r="B41" s="42" t="s">
        <v>45</v>
      </c>
      <c r="C41" s="59"/>
      <c r="D41" s="60"/>
      <c r="E41" s="61"/>
      <c r="F41" s="61"/>
      <c r="G41" s="61"/>
      <c r="H41" s="61"/>
      <c r="I41" s="61"/>
      <c r="J41" s="61"/>
      <c r="K41" s="61"/>
      <c r="L41" s="62"/>
      <c r="M41" s="63"/>
      <c r="N41" s="65">
        <v>83</v>
      </c>
      <c r="O41" s="58"/>
      <c r="P41" s="58" t="s">
        <v>40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1.25" customHeight="1" x14ac:dyDescent="0.25">
      <c r="A42" s="58"/>
      <c r="B42" s="42" t="s">
        <v>46</v>
      </c>
      <c r="C42" s="66">
        <f>SUM(D42:L42)</f>
        <v>15</v>
      </c>
      <c r="D42" s="67"/>
      <c r="E42" s="68">
        <v>1</v>
      </c>
      <c r="F42" s="68">
        <v>1</v>
      </c>
      <c r="G42" s="68">
        <v>1</v>
      </c>
      <c r="H42" s="68">
        <v>1</v>
      </c>
      <c r="I42" s="68">
        <v>2</v>
      </c>
      <c r="J42" s="68">
        <v>3</v>
      </c>
      <c r="K42" s="68">
        <v>3</v>
      </c>
      <c r="L42" s="69">
        <v>3</v>
      </c>
      <c r="M42" s="70"/>
      <c r="N42" s="65">
        <v>8</v>
      </c>
      <c r="O42" s="58"/>
      <c r="P42" s="58" t="s">
        <v>42</v>
      </c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1.25" customHeight="1" x14ac:dyDescent="0.25">
      <c r="A43" s="58"/>
      <c r="B43" s="42" t="s">
        <v>47</v>
      </c>
      <c r="C43" s="59"/>
      <c r="D43" s="44"/>
      <c r="E43" s="45">
        <f t="shared" ref="E43:L43" si="12">E19/8*1.25</f>
        <v>107.27163461538461</v>
      </c>
      <c r="F43" s="45">
        <f t="shared" si="12"/>
        <v>88.28125</v>
      </c>
      <c r="G43" s="45">
        <f t="shared" si="12"/>
        <v>88.28125</v>
      </c>
      <c r="H43" s="45">
        <f t="shared" si="12"/>
        <v>88.28125</v>
      </c>
      <c r="I43" s="45">
        <f t="shared" si="12"/>
        <v>88.28125</v>
      </c>
      <c r="J43" s="45">
        <f t="shared" si="12"/>
        <v>88.28125</v>
      </c>
      <c r="K43" s="45">
        <f t="shared" si="12"/>
        <v>88.28125</v>
      </c>
      <c r="L43" s="46">
        <f t="shared" si="12"/>
        <v>88.28125</v>
      </c>
      <c r="M43" s="71"/>
      <c r="N43" s="65">
        <f>+N41+N42</f>
        <v>91</v>
      </c>
      <c r="O43" s="58"/>
      <c r="P43" s="58" t="s">
        <v>94</v>
      </c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1.25" customHeight="1" x14ac:dyDescent="0.25">
      <c r="A44" s="58"/>
      <c r="B44" s="42" t="s">
        <v>49</v>
      </c>
      <c r="C44" s="59"/>
      <c r="D44" s="44"/>
      <c r="E44" s="45">
        <f t="shared" ref="E44:L44" si="13">E43*E42*E37</f>
        <v>107.27163461538461</v>
      </c>
      <c r="F44" s="45">
        <f t="shared" si="13"/>
        <v>441.40625</v>
      </c>
      <c r="G44" s="45">
        <f t="shared" si="13"/>
        <v>441.40625</v>
      </c>
      <c r="H44" s="45">
        <f t="shared" si="13"/>
        <v>176.5625</v>
      </c>
      <c r="I44" s="45">
        <f t="shared" si="13"/>
        <v>1235.9375</v>
      </c>
      <c r="J44" s="45">
        <f t="shared" si="13"/>
        <v>5296.875</v>
      </c>
      <c r="K44" s="45">
        <f t="shared" si="13"/>
        <v>9269.53125</v>
      </c>
      <c r="L44" s="46">
        <f t="shared" si="13"/>
        <v>11653.125</v>
      </c>
      <c r="M44" s="71"/>
      <c r="N44" s="65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1.25" customHeight="1" x14ac:dyDescent="0.25">
      <c r="A45" s="58"/>
      <c r="B45" s="42"/>
      <c r="C45" s="59"/>
      <c r="D45" s="60"/>
      <c r="E45" s="72"/>
      <c r="F45" s="72"/>
      <c r="G45" s="72"/>
      <c r="H45" s="72"/>
      <c r="I45" s="72"/>
      <c r="J45" s="72"/>
      <c r="K45" s="72"/>
      <c r="L45" s="73"/>
      <c r="M45" s="74"/>
      <c r="N45" s="58">
        <v>5</v>
      </c>
      <c r="O45" s="58"/>
      <c r="P45" s="58" t="s">
        <v>95</v>
      </c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1.25" customHeight="1" x14ac:dyDescent="0.25">
      <c r="A46" s="58"/>
      <c r="B46" s="42" t="s">
        <v>50</v>
      </c>
      <c r="C46" s="59"/>
      <c r="D46" s="60"/>
      <c r="E46" s="72"/>
      <c r="F46" s="72"/>
      <c r="G46" s="72"/>
      <c r="H46" s="72"/>
      <c r="I46" s="72"/>
      <c r="J46" s="72"/>
      <c r="K46" s="72"/>
      <c r="L46" s="73"/>
      <c r="M46" s="74"/>
      <c r="N46" s="65">
        <v>83</v>
      </c>
      <c r="O46" s="58"/>
      <c r="P46" s="58" t="s">
        <v>40</v>
      </c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1.25" customHeight="1" x14ac:dyDescent="0.25">
      <c r="A47" s="58"/>
      <c r="B47" s="42" t="s">
        <v>51</v>
      </c>
      <c r="C47" s="59"/>
      <c r="D47" s="60"/>
      <c r="E47" s="72"/>
      <c r="F47" s="72">
        <v>1</v>
      </c>
      <c r="G47" s="72">
        <v>1</v>
      </c>
      <c r="H47" s="72">
        <v>1</v>
      </c>
      <c r="I47" s="72">
        <v>1</v>
      </c>
      <c r="J47" s="72">
        <v>1</v>
      </c>
      <c r="K47" s="72">
        <v>6</v>
      </c>
      <c r="L47" s="73">
        <v>8</v>
      </c>
      <c r="M47" s="74"/>
      <c r="N47" s="65">
        <v>8</v>
      </c>
      <c r="O47" s="58"/>
      <c r="P47" s="58" t="s">
        <v>42</v>
      </c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1.25" customHeight="1" x14ac:dyDescent="0.25">
      <c r="A48" s="58"/>
      <c r="B48" s="42" t="s">
        <v>52</v>
      </c>
      <c r="C48" s="59"/>
      <c r="D48" s="44"/>
      <c r="E48" s="45">
        <f t="shared" ref="E48:L48" si="14">E19*0.1</f>
        <v>68.65384615384616</v>
      </c>
      <c r="F48" s="45">
        <f t="shared" si="14"/>
        <v>56.5</v>
      </c>
      <c r="G48" s="45">
        <f t="shared" si="14"/>
        <v>56.5</v>
      </c>
      <c r="H48" s="45">
        <f t="shared" si="14"/>
        <v>56.5</v>
      </c>
      <c r="I48" s="45">
        <f t="shared" si="14"/>
        <v>56.5</v>
      </c>
      <c r="J48" s="45">
        <f t="shared" si="14"/>
        <v>56.5</v>
      </c>
      <c r="K48" s="45">
        <f t="shared" si="14"/>
        <v>56.5</v>
      </c>
      <c r="L48" s="46">
        <f t="shared" si="14"/>
        <v>56.5</v>
      </c>
      <c r="M48" s="71"/>
      <c r="N48" s="65">
        <v>1</v>
      </c>
      <c r="O48" s="58"/>
      <c r="P48" s="58" t="s">
        <v>96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1.25" customHeight="1" x14ac:dyDescent="0.25">
      <c r="A49" s="58"/>
      <c r="B49" s="42" t="s">
        <v>53</v>
      </c>
      <c r="C49" s="59"/>
      <c r="D49" s="60"/>
      <c r="E49" s="72">
        <v>26</v>
      </c>
      <c r="F49" s="72">
        <v>26</v>
      </c>
      <c r="G49" s="72">
        <v>26</v>
      </c>
      <c r="H49" s="72">
        <v>26</v>
      </c>
      <c r="I49" s="72">
        <v>26</v>
      </c>
      <c r="J49" s="72">
        <v>26</v>
      </c>
      <c r="K49" s="72">
        <v>26</v>
      </c>
      <c r="L49" s="73">
        <v>26</v>
      </c>
      <c r="M49" s="74"/>
      <c r="N49" s="58">
        <v>1</v>
      </c>
      <c r="O49" s="58"/>
      <c r="P49" s="58" t="s">
        <v>97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1.25" customHeight="1" x14ac:dyDescent="0.25">
      <c r="A50" s="58"/>
      <c r="B50" s="42" t="s">
        <v>54</v>
      </c>
      <c r="C50" s="59"/>
      <c r="D50" s="44"/>
      <c r="E50" s="45">
        <f t="shared" ref="E50:L50" si="15">E47*E48*E49</f>
        <v>0</v>
      </c>
      <c r="F50" s="45">
        <f t="shared" si="15"/>
        <v>1469</v>
      </c>
      <c r="G50" s="45">
        <f t="shared" si="15"/>
        <v>1469</v>
      </c>
      <c r="H50" s="45">
        <f t="shared" si="15"/>
        <v>1469</v>
      </c>
      <c r="I50" s="45">
        <f t="shared" si="15"/>
        <v>1469</v>
      </c>
      <c r="J50" s="45">
        <f t="shared" si="15"/>
        <v>1469</v>
      </c>
      <c r="K50" s="45">
        <f t="shared" si="15"/>
        <v>8814</v>
      </c>
      <c r="L50" s="46">
        <f t="shared" si="15"/>
        <v>11752</v>
      </c>
      <c r="M50" s="71"/>
      <c r="N50" s="58">
        <v>1</v>
      </c>
      <c r="O50" s="58"/>
      <c r="P50" s="58" t="s">
        <v>98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1.25" customHeight="1" x14ac:dyDescent="0.25">
      <c r="A51" s="58"/>
      <c r="B51" s="75"/>
      <c r="C51" s="59"/>
      <c r="D51" s="44"/>
      <c r="E51" s="45"/>
      <c r="F51" s="45"/>
      <c r="G51" s="45"/>
      <c r="H51" s="45"/>
      <c r="I51" s="45"/>
      <c r="J51" s="45"/>
      <c r="K51" s="45"/>
      <c r="L51" s="46"/>
      <c r="M51" s="71"/>
      <c r="N51" s="58">
        <f>SUM(N45:N50)</f>
        <v>99</v>
      </c>
      <c r="O51" s="58"/>
      <c r="P51" s="58" t="s">
        <v>48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21" customHeight="1" x14ac:dyDescent="0.25">
      <c r="A52" s="1"/>
      <c r="B52" s="42" t="s">
        <v>55</v>
      </c>
      <c r="C52" s="43"/>
      <c r="D52" s="76"/>
      <c r="E52" s="45">
        <f t="shared" ref="E52:L52" si="16">E39+E44+E50</f>
        <v>32913.290865384617</v>
      </c>
      <c r="F52" s="45">
        <f t="shared" si="16"/>
        <v>122966.32291666667</v>
      </c>
      <c r="G52" s="45">
        <f t="shared" si="16"/>
        <v>109966.32291666667</v>
      </c>
      <c r="H52" s="45">
        <f t="shared" si="16"/>
        <v>44867.929166666661</v>
      </c>
      <c r="I52" s="45">
        <f t="shared" si="16"/>
        <v>153983.22083333333</v>
      </c>
      <c r="J52" s="45">
        <f t="shared" si="16"/>
        <v>408989.54166666669</v>
      </c>
      <c r="K52" s="45">
        <f t="shared" si="16"/>
        <v>704474.94791666663</v>
      </c>
      <c r="L52" s="45">
        <f t="shared" si="16"/>
        <v>855497.19166666665</v>
      </c>
      <c r="M52" s="71">
        <f>SUM(E52:L52)</f>
        <v>2433658.7679487178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42"/>
      <c r="C53" s="43"/>
      <c r="D53" s="60"/>
      <c r="E53" s="72"/>
      <c r="F53" s="72"/>
      <c r="G53" s="73"/>
      <c r="H53" s="73"/>
      <c r="I53" s="73"/>
      <c r="J53" s="73"/>
      <c r="K53" s="73"/>
      <c r="L53" s="73"/>
      <c r="M53" s="7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77"/>
      <c r="C54" s="78"/>
      <c r="D54" s="79"/>
      <c r="E54" s="80"/>
      <c r="F54" s="80"/>
      <c r="G54" s="81"/>
      <c r="H54" s="81"/>
      <c r="I54" s="81"/>
      <c r="J54" s="81"/>
      <c r="K54" s="81"/>
      <c r="L54" s="81"/>
      <c r="M54" s="8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83" t="s">
        <v>56</v>
      </c>
      <c r="C55" s="84"/>
      <c r="D55" s="85"/>
      <c r="E55" s="86" t="s">
        <v>22</v>
      </c>
      <c r="F55" s="87"/>
      <c r="G55" s="87"/>
      <c r="H55" s="87"/>
      <c r="I55" s="87"/>
      <c r="J55" s="87"/>
      <c r="K55" s="87"/>
      <c r="L55" s="87"/>
      <c r="M55" s="88" t="s">
        <v>22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89"/>
      <c r="B56" s="42" t="s">
        <v>57</v>
      </c>
      <c r="C56" s="90">
        <v>10000</v>
      </c>
      <c r="D56" s="91"/>
      <c r="E56" s="92">
        <v>10000</v>
      </c>
      <c r="F56" s="92"/>
      <c r="G56" s="92"/>
      <c r="H56" s="92"/>
      <c r="I56" s="92"/>
      <c r="J56" s="92"/>
      <c r="K56" s="92"/>
      <c r="L56" s="93"/>
      <c r="M56" s="94">
        <f>SUM(E56:L56)</f>
        <v>10000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1.25" customHeight="1" x14ac:dyDescent="0.25">
      <c r="A57" s="89"/>
      <c r="B57" s="42" t="s">
        <v>58</v>
      </c>
      <c r="C57" s="90">
        <v>0</v>
      </c>
      <c r="D57" s="91"/>
      <c r="E57" s="92"/>
      <c r="F57" s="93"/>
      <c r="G57" s="93"/>
      <c r="H57" s="93"/>
      <c r="I57" s="93"/>
      <c r="J57" s="93"/>
      <c r="K57" s="93"/>
      <c r="L57" s="93"/>
      <c r="M57" s="94">
        <f>SUM(E57:L57)</f>
        <v>0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1.25" customHeight="1" x14ac:dyDescent="0.25">
      <c r="A58" s="89"/>
      <c r="B58" s="42" t="s">
        <v>59</v>
      </c>
      <c r="C58" s="90">
        <v>12500</v>
      </c>
      <c r="D58" s="95"/>
      <c r="E58" s="93"/>
      <c r="F58" s="93"/>
      <c r="G58" s="93"/>
      <c r="H58" s="93"/>
      <c r="I58" s="93"/>
      <c r="J58" s="93"/>
      <c r="K58" s="93"/>
      <c r="L58" s="93"/>
      <c r="M58" s="94">
        <f>+C58</f>
        <v>12500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ht="11.25" customHeight="1" x14ac:dyDescent="0.25">
      <c r="A59" s="89"/>
      <c r="B59" s="42" t="s">
        <v>60</v>
      </c>
      <c r="C59" s="90">
        <v>10000</v>
      </c>
      <c r="D59" s="95"/>
      <c r="E59" s="93"/>
      <c r="F59" s="93"/>
      <c r="G59" s="93"/>
      <c r="H59" s="93"/>
      <c r="I59" s="93"/>
      <c r="J59" s="93"/>
      <c r="K59" s="93"/>
      <c r="L59" s="93"/>
      <c r="M59" s="94">
        <f>+C59</f>
        <v>10000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ht="11.25" customHeight="1" x14ac:dyDescent="0.25">
      <c r="A60" s="89"/>
      <c r="B60" s="42" t="s">
        <v>61</v>
      </c>
      <c r="C60" s="90">
        <v>10000</v>
      </c>
      <c r="D60" s="95"/>
      <c r="E60" s="93">
        <v>5000</v>
      </c>
      <c r="F60" s="93">
        <v>5000</v>
      </c>
      <c r="G60" s="93"/>
      <c r="H60" s="93"/>
      <c r="I60" s="93"/>
      <c r="J60" s="93"/>
      <c r="K60" s="93"/>
      <c r="L60" s="93"/>
      <c r="M60" s="94">
        <f>SUM(E60:L60)</f>
        <v>10000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ht="11.25" customHeight="1" x14ac:dyDescent="0.25">
      <c r="A61" s="89"/>
      <c r="B61" s="42" t="s">
        <v>62</v>
      </c>
      <c r="C61" s="43"/>
      <c r="D61" s="91"/>
      <c r="E61" s="92"/>
      <c r="F61" s="93"/>
      <c r="G61" s="93"/>
      <c r="H61" s="93"/>
      <c r="I61" s="93"/>
      <c r="J61" s="93"/>
      <c r="K61" s="93"/>
      <c r="L61" s="93"/>
      <c r="M61" s="94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ht="11.25" customHeight="1" x14ac:dyDescent="0.25">
      <c r="A62" s="1"/>
      <c r="B62" s="32" t="s">
        <v>63</v>
      </c>
      <c r="C62" s="43"/>
      <c r="D62" s="91"/>
      <c r="E62" s="101"/>
      <c r="F62" s="102"/>
      <c r="G62" s="102"/>
      <c r="H62" s="102"/>
      <c r="I62" s="102"/>
      <c r="J62" s="102"/>
      <c r="K62" s="102"/>
      <c r="L62" s="102"/>
      <c r="M62" s="202">
        <f>SUM(M56:M61)</f>
        <v>42500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04" t="s">
        <v>64</v>
      </c>
      <c r="C63" s="105" t="s">
        <v>65</v>
      </c>
      <c r="D63" s="85"/>
      <c r="E63" s="106" t="s">
        <v>22</v>
      </c>
      <c r="F63" s="107"/>
      <c r="G63" s="107"/>
      <c r="H63" s="107"/>
      <c r="I63" s="107"/>
      <c r="J63" s="107"/>
      <c r="K63" s="107"/>
      <c r="L63" s="107"/>
      <c r="M63" s="108" t="s">
        <v>22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89"/>
      <c r="B64" s="75" t="s">
        <v>66</v>
      </c>
      <c r="C64" s="78">
        <v>0</v>
      </c>
      <c r="D64" s="79"/>
      <c r="E64" s="115"/>
      <c r="F64" s="116"/>
      <c r="G64" s="116"/>
      <c r="H64" s="116"/>
      <c r="I64" s="116"/>
      <c r="J64" s="116"/>
      <c r="K64" s="116"/>
      <c r="L64" s="116"/>
      <c r="M64" s="117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ht="11.25" customHeight="1" x14ac:dyDescent="0.25">
      <c r="A65" s="89"/>
      <c r="B65" s="75" t="s">
        <v>153</v>
      </c>
      <c r="C65" s="78">
        <f>3500*30</f>
        <v>105000</v>
      </c>
      <c r="D65" s="79"/>
      <c r="E65" s="115"/>
      <c r="F65" s="116"/>
      <c r="G65" s="116"/>
      <c r="H65" s="116"/>
      <c r="I65" s="116"/>
      <c r="J65" s="116"/>
      <c r="K65" s="116"/>
      <c r="L65" s="116"/>
      <c r="M65" s="203">
        <f>+C65/12</f>
        <v>8750</v>
      </c>
      <c r="N65" s="114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ht="11.25" customHeight="1" x14ac:dyDescent="0.25">
      <c r="A66" s="89"/>
      <c r="B66" s="75" t="s">
        <v>148</v>
      </c>
      <c r="C66" s="78">
        <v>15000</v>
      </c>
      <c r="D66" s="79"/>
      <c r="E66" s="115"/>
      <c r="F66" s="116"/>
      <c r="G66" s="116"/>
      <c r="H66" s="116"/>
      <c r="I66" s="116"/>
      <c r="J66" s="116"/>
      <c r="K66" s="116"/>
      <c r="L66" s="116"/>
      <c r="M66" s="203">
        <f>+C66/12</f>
        <v>1250</v>
      </c>
      <c r="N66" s="114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11.25" customHeight="1" x14ac:dyDescent="0.25">
      <c r="A67" s="1"/>
      <c r="B67" s="75"/>
      <c r="C67" s="78"/>
      <c r="D67" s="79"/>
      <c r="E67" s="115"/>
      <c r="F67" s="116"/>
      <c r="G67" s="116"/>
      <c r="H67" s="116"/>
      <c r="I67" s="116"/>
      <c r="J67" s="116"/>
      <c r="K67" s="116"/>
      <c r="L67" s="116"/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50" t="s">
        <v>67</v>
      </c>
      <c r="C68" s="118"/>
      <c r="D68" s="119"/>
      <c r="E68" s="120"/>
      <c r="F68" s="105"/>
      <c r="G68" s="105"/>
      <c r="H68" s="105"/>
      <c r="I68" s="105"/>
      <c r="J68" s="105"/>
      <c r="K68" s="105"/>
      <c r="L68" s="105"/>
      <c r="M68" s="12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42"/>
      <c r="C69" s="43"/>
      <c r="D69" s="60"/>
      <c r="E69" s="61"/>
      <c r="F69" s="62"/>
      <c r="G69" s="62"/>
      <c r="H69" s="62"/>
      <c r="I69" s="62"/>
      <c r="J69" s="62"/>
      <c r="K69" s="62"/>
      <c r="L69" s="62"/>
      <c r="M69" s="6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42" t="s">
        <v>99</v>
      </c>
      <c r="C70" s="43"/>
      <c r="D70" s="122"/>
      <c r="E70" s="123"/>
      <c r="F70" s="123"/>
      <c r="G70" s="123"/>
      <c r="H70" s="123"/>
      <c r="I70" s="123"/>
      <c r="J70" s="123"/>
      <c r="K70" s="123"/>
      <c r="L70" s="123"/>
      <c r="M70" s="103">
        <f>+M52*0.1</f>
        <v>243365.87679487179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25" t="s">
        <v>69</v>
      </c>
      <c r="C71" s="43"/>
      <c r="D71" s="126"/>
      <c r="E71" s="127"/>
      <c r="F71" s="127"/>
      <c r="G71" s="127"/>
      <c r="H71" s="127"/>
      <c r="I71" s="127"/>
      <c r="J71" s="127"/>
      <c r="K71" s="127"/>
      <c r="L71" s="128"/>
      <c r="M71" s="1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30" t="s">
        <v>100</v>
      </c>
      <c r="C72" s="43"/>
      <c r="D72" s="131"/>
      <c r="E72" s="132"/>
      <c r="F72" s="132"/>
      <c r="G72" s="132"/>
      <c r="H72" s="132"/>
      <c r="I72" s="132"/>
      <c r="J72" s="132"/>
      <c r="K72" s="132"/>
      <c r="L72" s="132"/>
      <c r="M72" s="134">
        <f>+M62*0.1</f>
        <v>4250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30" t="s">
        <v>101</v>
      </c>
      <c r="C73" s="43"/>
      <c r="D73" s="131"/>
      <c r="E73" s="132"/>
      <c r="F73" s="132"/>
      <c r="G73" s="132"/>
      <c r="H73" s="132"/>
      <c r="I73" s="132"/>
      <c r="J73" s="132"/>
      <c r="K73" s="132"/>
      <c r="L73" s="133"/>
      <c r="M73" s="134">
        <f>SUM(M65:M66)*0.1</f>
        <v>1000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42"/>
      <c r="C74" s="43"/>
      <c r="D74" s="126"/>
      <c r="E74" s="127"/>
      <c r="F74" s="127"/>
      <c r="G74" s="127"/>
      <c r="H74" s="127"/>
      <c r="I74" s="127"/>
      <c r="J74" s="127"/>
      <c r="K74" s="127"/>
      <c r="L74" s="128"/>
      <c r="M74" s="1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35" t="s">
        <v>72</v>
      </c>
      <c r="C75" s="136"/>
      <c r="D75" s="137"/>
      <c r="E75" s="138"/>
      <c r="F75" s="138"/>
      <c r="G75" s="138"/>
      <c r="H75" s="138"/>
      <c r="I75" s="138"/>
      <c r="J75" s="138"/>
      <c r="K75" s="138"/>
      <c r="L75" s="138"/>
      <c r="M75" s="139">
        <f>+M52+M62+M65+M66</f>
        <v>2486158.7679487178</v>
      </c>
      <c r="N75" s="16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38"/>
      <c r="B76" s="135"/>
      <c r="C76" s="136" t="s">
        <v>73</v>
      </c>
      <c r="D76" s="141"/>
      <c r="E76" s="138"/>
      <c r="F76" s="138"/>
      <c r="G76" s="138"/>
      <c r="H76" s="138"/>
      <c r="I76" s="138"/>
      <c r="J76" s="138"/>
      <c r="K76" s="138"/>
      <c r="L76" s="138"/>
      <c r="M76" s="142">
        <f>SUM(M70:M73)</f>
        <v>248615.87679487179</v>
      </c>
      <c r="N76" s="1"/>
      <c r="O76" s="1"/>
      <c r="P76" s="1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1.25" customHeight="1" x14ac:dyDescent="0.25">
      <c r="A77" s="1"/>
      <c r="B77" s="135" t="s">
        <v>74</v>
      </c>
      <c r="C77" s="136" t="s">
        <v>73</v>
      </c>
      <c r="D77" s="143"/>
      <c r="E77" s="144"/>
      <c r="F77" s="144"/>
      <c r="G77" s="144"/>
      <c r="H77" s="144"/>
      <c r="I77" s="144"/>
      <c r="J77" s="144"/>
      <c r="K77" s="144"/>
      <c r="L77" s="144"/>
      <c r="M77" s="139">
        <f>+M75+M76</f>
        <v>2734774.6447435897</v>
      </c>
      <c r="N77" s="16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25"/>
      <c r="C78" s="145"/>
      <c r="D78" s="125"/>
      <c r="E78" s="146"/>
      <c r="F78" s="146"/>
      <c r="G78" s="146"/>
      <c r="H78" s="146"/>
      <c r="I78" s="146"/>
      <c r="J78" s="146"/>
      <c r="K78" s="146"/>
      <c r="L78" s="146"/>
      <c r="M78" s="14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48"/>
      <c r="C79" s="149"/>
      <c r="D79" s="150"/>
      <c r="E79" s="151"/>
      <c r="F79" s="151"/>
      <c r="G79" s="151"/>
      <c r="H79" s="151"/>
      <c r="I79" s="151"/>
      <c r="J79" s="151"/>
      <c r="K79" s="151"/>
      <c r="L79" s="151"/>
      <c r="M79" s="1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5">
      <c r="A80" s="1"/>
      <c r="B80" s="153"/>
      <c r="C80" s="149" t="s">
        <v>75</v>
      </c>
      <c r="D80" s="154"/>
      <c r="E80" s="155"/>
      <c r="F80" s="155"/>
      <c r="G80" s="155"/>
      <c r="H80" s="155"/>
      <c r="I80" s="155"/>
      <c r="J80" s="155"/>
      <c r="K80" s="155"/>
      <c r="L80" s="155"/>
      <c r="M80" s="20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 thickBot="1" x14ac:dyDescent="0.3">
      <c r="A81" s="58"/>
      <c r="B81" s="157" t="s">
        <v>74</v>
      </c>
      <c r="C81" s="158" t="s">
        <v>75</v>
      </c>
      <c r="D81" s="159"/>
      <c r="E81" s="160"/>
      <c r="F81" s="160"/>
      <c r="G81" s="160"/>
      <c r="H81" s="160"/>
      <c r="I81" s="160"/>
      <c r="J81" s="160"/>
      <c r="K81" s="160"/>
      <c r="L81" s="160"/>
      <c r="M81" s="205">
        <f>+M77+M80</f>
        <v>2734774.6447435897</v>
      </c>
      <c r="N81" s="166"/>
      <c r="O81" s="1"/>
      <c r="P81" s="1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8.75" customHeight="1" x14ac:dyDescent="0.25">
      <c r="A82" s="58"/>
      <c r="B82" s="162"/>
      <c r="C82" s="163"/>
      <c r="D82" s="163"/>
      <c r="E82" s="164"/>
      <c r="F82" s="164"/>
      <c r="G82" s="164"/>
      <c r="H82" s="164"/>
      <c r="I82" s="164"/>
      <c r="J82" s="164"/>
      <c r="K82" s="164"/>
      <c r="L82" s="164"/>
      <c r="M82" s="165"/>
      <c r="N82" s="166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 x14ac:dyDescent="0.25">
      <c r="A83" s="58"/>
      <c r="B83" s="167" t="s">
        <v>76</v>
      </c>
      <c r="C83" s="168"/>
      <c r="D83" s="168"/>
      <c r="E83" s="169"/>
      <c r="F83" s="169"/>
      <c r="G83" s="169"/>
      <c r="H83" s="169"/>
      <c r="I83" s="169"/>
      <c r="J83" s="169"/>
      <c r="K83" s="169"/>
      <c r="L83" s="169"/>
      <c r="M83" s="170">
        <f>+M81</f>
        <v>2734774.6447435897</v>
      </c>
      <c r="N83" s="206"/>
      <c r="O83" s="58"/>
      <c r="P83" s="207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20.25" customHeight="1" x14ac:dyDescent="0.25">
      <c r="A84" s="58"/>
      <c r="B84" s="167" t="s">
        <v>77</v>
      </c>
      <c r="C84" s="168"/>
      <c r="D84" s="168"/>
      <c r="E84" s="169"/>
      <c r="F84" s="169"/>
      <c r="G84" s="169"/>
      <c r="H84" s="169"/>
      <c r="I84" s="169"/>
      <c r="J84" s="169"/>
      <c r="K84" s="169"/>
      <c r="L84" s="169"/>
      <c r="M84" s="170">
        <f>+M83/C37</f>
        <v>22981.299535660419</v>
      </c>
      <c r="N84" s="166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1.25" customHeight="1" x14ac:dyDescent="0.25">
      <c r="A85" s="58"/>
      <c r="B85" s="167"/>
      <c r="C85" s="168"/>
      <c r="D85" s="168"/>
      <c r="E85" s="169"/>
      <c r="F85" s="169"/>
      <c r="G85" s="169"/>
      <c r="H85" s="169"/>
      <c r="I85" s="169"/>
      <c r="J85" s="169"/>
      <c r="K85" s="169"/>
      <c r="L85" s="169"/>
      <c r="M85" s="170"/>
      <c r="N85" s="166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x14ac:dyDescent="0.25">
      <c r="A86" s="38"/>
      <c r="B86" s="173"/>
      <c r="C86" s="174"/>
      <c r="D86" s="174"/>
      <c r="E86" s="175"/>
      <c r="F86" s="175"/>
      <c r="G86" s="175"/>
      <c r="H86" s="175"/>
      <c r="I86" s="175"/>
      <c r="J86" s="175"/>
      <c r="K86" s="175"/>
      <c r="L86" s="208" t="s">
        <v>102</v>
      </c>
      <c r="M86" s="209">
        <v>2020000</v>
      </c>
      <c r="N86" s="166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x14ac:dyDescent="0.25">
      <c r="A87" s="38"/>
      <c r="B87" s="178" t="s">
        <v>78</v>
      </c>
      <c r="C87" s="179"/>
      <c r="D87" s="174"/>
      <c r="E87" s="175"/>
      <c r="F87" s="175"/>
      <c r="G87" s="175"/>
      <c r="H87" s="175"/>
      <c r="I87" s="175"/>
      <c r="J87" s="175"/>
      <c r="K87" s="175"/>
      <c r="L87" s="210"/>
      <c r="M87" s="211">
        <f>M83-M86</f>
        <v>714774.64474358968</v>
      </c>
      <c r="N87" s="166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x14ac:dyDescent="0.25">
      <c r="A88" s="38"/>
      <c r="B88" s="183"/>
      <c r="C88" s="184"/>
      <c r="D88" s="174"/>
      <c r="E88" s="175"/>
      <c r="F88" s="175"/>
      <c r="G88" s="175"/>
      <c r="H88" s="175"/>
      <c r="I88" s="175"/>
      <c r="J88" s="175"/>
      <c r="K88" s="175"/>
      <c r="L88" s="208"/>
      <c r="M88" s="212">
        <f>M87/M86</f>
        <v>0.35384883403148004</v>
      </c>
      <c r="N88" s="166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25">
      <c r="A89" s="1"/>
      <c r="B89" s="183" t="s">
        <v>80</v>
      </c>
      <c r="C89" s="184">
        <v>0.06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83" t="s">
        <v>81</v>
      </c>
      <c r="C90" s="184">
        <v>0.01</v>
      </c>
      <c r="D90" s="190"/>
      <c r="E90" s="190"/>
      <c r="F90" s="190"/>
      <c r="G90" s="190"/>
      <c r="H90" s="190"/>
      <c r="I90" s="190"/>
      <c r="J90" s="190"/>
      <c r="K90" s="190"/>
      <c r="L90" s="1"/>
      <c r="M90" s="1"/>
      <c r="N90" s="1"/>
      <c r="O90" s="19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83"/>
      <c r="C91" s="18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92"/>
      <c r="P91" s="192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83" t="s">
        <v>82</v>
      </c>
      <c r="C92" s="184">
        <f>SUM(C88:C91)</f>
        <v>6.9999999999999993E-2</v>
      </c>
      <c r="D92" s="190"/>
      <c r="E92" s="190"/>
      <c r="F92" s="190"/>
      <c r="G92" s="190"/>
      <c r="H92" s="190"/>
      <c r="I92" s="190"/>
      <c r="J92" s="190"/>
      <c r="K92" s="190"/>
      <c r="L92" s="1"/>
      <c r="M92" s="1"/>
      <c r="N92" s="1"/>
      <c r="O92" s="193"/>
      <c r="P92" s="19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D93" s="190"/>
      <c r="E93" s="190"/>
      <c r="F93" s="190"/>
      <c r="G93" s="190"/>
      <c r="H93" s="190"/>
      <c r="I93" s="190"/>
      <c r="J93" s="190"/>
      <c r="K93" s="190"/>
      <c r="L93" s="1"/>
      <c r="M93" s="1"/>
      <c r="N93" s="1"/>
      <c r="O93" s="193"/>
      <c r="P93" s="19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 t="s">
        <v>83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 t="s">
        <v>84</v>
      </c>
      <c r="D97" s="1"/>
      <c r="E97" s="197">
        <f>+E19*26</f>
        <v>17850</v>
      </c>
      <c r="F97" s="197">
        <f t="shared" ref="F97:L97" si="17">+F19*26</f>
        <v>14690</v>
      </c>
      <c r="G97" s="197">
        <f t="shared" si="17"/>
        <v>14690</v>
      </c>
      <c r="H97" s="197">
        <f t="shared" si="17"/>
        <v>14690</v>
      </c>
      <c r="I97" s="197">
        <f t="shared" si="17"/>
        <v>14690</v>
      </c>
      <c r="J97" s="197">
        <f t="shared" si="17"/>
        <v>14690</v>
      </c>
      <c r="K97" s="197">
        <f t="shared" si="17"/>
        <v>14690</v>
      </c>
      <c r="L97" s="197">
        <f t="shared" si="17"/>
        <v>14690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 t="s">
        <v>85</v>
      </c>
      <c r="D98" s="1"/>
      <c r="E98" s="197">
        <f>+E34*26</f>
        <v>9200</v>
      </c>
      <c r="F98" s="197">
        <f t="shared" ref="F98:L98" si="18">+F34*26</f>
        <v>4700</v>
      </c>
      <c r="G98" s="197">
        <f t="shared" si="18"/>
        <v>2700</v>
      </c>
      <c r="H98" s="197">
        <f t="shared" si="18"/>
        <v>2700</v>
      </c>
      <c r="I98" s="197">
        <f t="shared" si="18"/>
        <v>2700</v>
      </c>
      <c r="J98" s="197">
        <f t="shared" si="18"/>
        <v>1200</v>
      </c>
      <c r="K98" s="197">
        <f t="shared" si="18"/>
        <v>700</v>
      </c>
      <c r="L98" s="197">
        <f t="shared" si="18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 t="s">
        <v>55</v>
      </c>
      <c r="D99" s="1"/>
      <c r="E99" s="166">
        <f>+E97+E98</f>
        <v>27050</v>
      </c>
      <c r="F99" s="166">
        <f t="shared" ref="F99:L99" si="19">+F97+F98</f>
        <v>19390</v>
      </c>
      <c r="G99" s="166">
        <f t="shared" si="19"/>
        <v>17390</v>
      </c>
      <c r="H99" s="166">
        <f t="shared" si="19"/>
        <v>17390</v>
      </c>
      <c r="I99" s="166">
        <f t="shared" si="19"/>
        <v>17390</v>
      </c>
      <c r="J99" s="166">
        <f t="shared" si="19"/>
        <v>15890</v>
      </c>
      <c r="K99" s="166">
        <f t="shared" si="19"/>
        <v>15390</v>
      </c>
      <c r="L99" s="166">
        <f t="shared" si="19"/>
        <v>14690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 t="s">
        <v>86</v>
      </c>
      <c r="D101" s="1"/>
      <c r="E101" s="1">
        <v>537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1">
    <mergeCell ref="D7:L7"/>
    <mergeCell ref="D2:L2"/>
    <mergeCell ref="D3:L3"/>
    <mergeCell ref="D4:L4"/>
    <mergeCell ref="D5:L5"/>
    <mergeCell ref="D6:L6"/>
    <mergeCell ref="D8:L8"/>
    <mergeCell ref="D9:L9"/>
    <mergeCell ref="D10:L10"/>
    <mergeCell ref="B15:E15"/>
    <mergeCell ref="D16:L16"/>
  </mergeCells>
  <hyperlinks>
    <hyperlink ref="B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11" workbookViewId="0">
      <selection activeCell="F33" sqref="F33"/>
    </sheetView>
  </sheetViews>
  <sheetFormatPr defaultRowHeight="15" x14ac:dyDescent="0.25"/>
  <cols>
    <col min="2" max="2" width="35.5703125" customWidth="1"/>
    <col min="3" max="3" width="9.5703125" bestFit="1" customWidth="1"/>
    <col min="5" max="5" width="10.28515625" bestFit="1" customWidth="1"/>
    <col min="6" max="6" width="10.7109375" bestFit="1" customWidth="1"/>
    <col min="7" max="7" width="10.28515625" customWidth="1"/>
    <col min="8" max="8" width="11.28515625" bestFit="1" customWidth="1"/>
    <col min="9" max="9" width="14.85546875" bestFit="1" customWidth="1"/>
  </cols>
  <sheetData>
    <row r="1" spans="1:9" s="213" customFormat="1" ht="11.25" x14ac:dyDescent="0.2">
      <c r="B1" s="214"/>
      <c r="C1" s="214"/>
      <c r="D1" s="214"/>
      <c r="E1" s="214"/>
      <c r="F1" s="214"/>
      <c r="G1" s="214"/>
      <c r="H1" s="214"/>
      <c r="I1" s="214"/>
    </row>
    <row r="2" spans="1:9" s="213" customFormat="1" ht="22.5" x14ac:dyDescent="0.2">
      <c r="B2" s="215" t="s">
        <v>0</v>
      </c>
      <c r="C2" s="215" t="s">
        <v>1</v>
      </c>
      <c r="D2" s="402"/>
      <c r="E2" s="402"/>
      <c r="F2" s="402"/>
      <c r="G2" s="402"/>
      <c r="H2" s="402"/>
      <c r="I2" s="216"/>
    </row>
    <row r="3" spans="1:9" s="213" customFormat="1" ht="11.25" x14ac:dyDescent="0.2">
      <c r="B3" s="215" t="s">
        <v>103</v>
      </c>
      <c r="C3" s="215"/>
      <c r="D3" s="402"/>
      <c r="E3" s="402"/>
      <c r="F3" s="402"/>
      <c r="G3" s="402"/>
      <c r="H3" s="402"/>
      <c r="I3" s="216"/>
    </row>
    <row r="4" spans="1:9" s="213" customFormat="1" ht="11.25" x14ac:dyDescent="0.2">
      <c r="B4" s="215"/>
      <c r="C4" s="215"/>
      <c r="D4" s="402"/>
      <c r="E4" s="402"/>
      <c r="F4" s="402"/>
      <c r="G4" s="402"/>
      <c r="H4" s="402"/>
      <c r="I4" s="216"/>
    </row>
    <row r="5" spans="1:9" s="213" customFormat="1" ht="11.25" x14ac:dyDescent="0.2">
      <c r="B5" s="215"/>
      <c r="C5" s="215"/>
      <c r="D5" s="402"/>
      <c r="E5" s="402"/>
      <c r="F5" s="402"/>
      <c r="G5" s="402"/>
      <c r="H5" s="402"/>
      <c r="I5" s="216"/>
    </row>
    <row r="6" spans="1:9" s="213" customFormat="1" ht="11.25" x14ac:dyDescent="0.2">
      <c r="B6" s="215"/>
      <c r="C6" s="215"/>
      <c r="D6" s="402"/>
      <c r="E6" s="402"/>
      <c r="F6" s="402"/>
      <c r="G6" s="402"/>
      <c r="H6" s="402"/>
      <c r="I6" s="216"/>
    </row>
    <row r="7" spans="1:9" s="213" customFormat="1" ht="11.25" x14ac:dyDescent="0.2">
      <c r="B7" s="215"/>
      <c r="C7" s="215"/>
      <c r="D7" s="402"/>
      <c r="E7" s="402"/>
      <c r="F7" s="402"/>
      <c r="G7" s="402"/>
      <c r="H7" s="402"/>
      <c r="I7" s="216"/>
    </row>
    <row r="8" spans="1:9" s="213" customFormat="1" ht="11.25" x14ac:dyDescent="0.2">
      <c r="B8" s="215"/>
      <c r="C8" s="215"/>
      <c r="D8" s="402"/>
      <c r="E8" s="402"/>
      <c r="F8" s="402"/>
      <c r="G8" s="402"/>
      <c r="H8" s="402"/>
      <c r="I8" s="216"/>
    </row>
    <row r="9" spans="1:9" s="213" customFormat="1" ht="11.25" x14ac:dyDescent="0.2">
      <c r="B9" s="215"/>
      <c r="C9" s="215"/>
      <c r="D9" s="402"/>
      <c r="E9" s="402"/>
      <c r="F9" s="402"/>
      <c r="G9" s="402"/>
      <c r="H9" s="402"/>
      <c r="I9" s="216"/>
    </row>
    <row r="10" spans="1:9" s="213" customFormat="1" ht="11.25" x14ac:dyDescent="0.2">
      <c r="B10" s="215"/>
      <c r="C10" s="215"/>
      <c r="D10" s="402"/>
      <c r="E10" s="402"/>
      <c r="F10" s="402"/>
      <c r="G10" s="402"/>
      <c r="H10" s="402"/>
      <c r="I10" s="216"/>
    </row>
    <row r="11" spans="1:9" s="213" customFormat="1" ht="11.25" x14ac:dyDescent="0.2">
      <c r="B11" s="215"/>
      <c r="C11" s="215"/>
      <c r="D11" s="215"/>
      <c r="E11" s="217"/>
      <c r="F11" s="217"/>
      <c r="G11" s="217"/>
      <c r="H11" s="217"/>
      <c r="I11" s="218"/>
    </row>
    <row r="12" spans="1:9" s="213" customFormat="1" ht="12" thickBot="1" x14ac:dyDescent="0.25">
      <c r="B12" s="403" t="s">
        <v>11</v>
      </c>
      <c r="C12" s="403"/>
      <c r="D12" s="403"/>
      <c r="E12" s="403"/>
      <c r="F12" s="392"/>
      <c r="G12" s="392"/>
      <c r="H12" s="219"/>
      <c r="I12" s="219"/>
    </row>
    <row r="13" spans="1:9" s="213" customFormat="1" ht="11.25" x14ac:dyDescent="0.2">
      <c r="B13" s="215"/>
      <c r="C13" s="220"/>
      <c r="D13" s="404" t="s">
        <v>104</v>
      </c>
      <c r="E13" s="405"/>
      <c r="F13" s="405"/>
      <c r="G13" s="405"/>
      <c r="H13" s="405"/>
      <c r="I13" s="221"/>
    </row>
    <row r="14" spans="1:9" s="229" customFormat="1" ht="34.5" thickBot="1" x14ac:dyDescent="0.3">
      <c r="A14" s="222"/>
      <c r="B14" s="223" t="s">
        <v>13</v>
      </c>
      <c r="C14" s="224"/>
      <c r="D14" s="225"/>
      <c r="E14" s="226" t="s">
        <v>105</v>
      </c>
      <c r="F14" s="17" t="s">
        <v>16</v>
      </c>
      <c r="G14" s="17" t="s">
        <v>18</v>
      </c>
      <c r="H14" s="227" t="s">
        <v>21</v>
      </c>
      <c r="I14" s="228" t="s">
        <v>22</v>
      </c>
    </row>
    <row r="15" spans="1:9" s="213" customFormat="1" ht="12" x14ac:dyDescent="0.2">
      <c r="B15" s="230" t="s">
        <v>23</v>
      </c>
      <c r="C15" s="231"/>
      <c r="D15" s="232"/>
      <c r="E15" s="233">
        <v>3500</v>
      </c>
      <c r="F15" s="23">
        <f t="shared" ref="F15:G15" si="0">SUM(F16:F17)*26</f>
        <v>14690</v>
      </c>
      <c r="G15" s="23">
        <f t="shared" si="0"/>
        <v>14690</v>
      </c>
      <c r="H15" s="233">
        <f>SUM(H16:H17)*26</f>
        <v>14690</v>
      </c>
      <c r="I15" s="234"/>
    </row>
    <row r="16" spans="1:9" s="213" customFormat="1" ht="12" x14ac:dyDescent="0.2">
      <c r="B16" s="235" t="s">
        <v>24</v>
      </c>
      <c r="C16" s="236"/>
      <c r="D16" s="237"/>
      <c r="E16" s="238"/>
      <c r="F16" s="30">
        <v>565</v>
      </c>
      <c r="G16" s="30">
        <v>565</v>
      </c>
      <c r="H16" s="238">
        <v>565</v>
      </c>
      <c r="I16" s="239"/>
    </row>
    <row r="17" spans="2:11" s="213" customFormat="1" ht="12" x14ac:dyDescent="0.2">
      <c r="B17" s="235" t="s">
        <v>25</v>
      </c>
      <c r="C17" s="236"/>
      <c r="D17" s="237"/>
      <c r="E17" s="238"/>
      <c r="F17" s="30"/>
      <c r="G17" s="30"/>
      <c r="H17" s="238">
        <v>0</v>
      </c>
      <c r="I17" s="239"/>
    </row>
    <row r="18" spans="2:11" s="213" customFormat="1" ht="12" x14ac:dyDescent="0.2">
      <c r="B18" s="235" t="s">
        <v>26</v>
      </c>
      <c r="C18" s="236"/>
      <c r="D18" s="237"/>
      <c r="E18" s="238"/>
      <c r="F18" s="30"/>
      <c r="G18" s="30"/>
      <c r="H18" s="238">
        <f>+H16/12</f>
        <v>47.083333333333336</v>
      </c>
      <c r="I18" s="239"/>
    </row>
    <row r="19" spans="2:11" s="213" customFormat="1" ht="12" x14ac:dyDescent="0.2">
      <c r="B19" s="235" t="s">
        <v>27</v>
      </c>
      <c r="C19" s="236"/>
      <c r="D19" s="237"/>
      <c r="E19" s="238"/>
      <c r="F19" s="29">
        <f t="shared" ref="F19:G19" si="1">+F16/12</f>
        <v>47.083333333333336</v>
      </c>
      <c r="G19" s="29">
        <f t="shared" si="1"/>
        <v>47.083333333333336</v>
      </c>
      <c r="H19" s="238">
        <f>SUM(H16:H17)*5/12/26</f>
        <v>9.0544871794871788</v>
      </c>
      <c r="I19" s="239"/>
    </row>
    <row r="20" spans="2:11" s="213" customFormat="1" ht="12" x14ac:dyDescent="0.2">
      <c r="B20" s="235" t="s">
        <v>28</v>
      </c>
      <c r="C20" s="236"/>
      <c r="D20" s="237"/>
      <c r="E20" s="238"/>
      <c r="F20" s="29">
        <f t="shared" ref="F20:G20" si="2">SUM(F16:F17)*5/12/26</f>
        <v>9.0544871794871788</v>
      </c>
      <c r="G20" s="29">
        <f t="shared" si="2"/>
        <v>9.0544871794871788</v>
      </c>
      <c r="H20" s="238">
        <f>SUM(H16:H17)/12/2</f>
        <v>23.541666666666668</v>
      </c>
      <c r="I20" s="239"/>
    </row>
    <row r="21" spans="2:11" s="213" customFormat="1" ht="12" x14ac:dyDescent="0.2">
      <c r="B21" s="235" t="s">
        <v>29</v>
      </c>
      <c r="C21" s="236"/>
      <c r="D21" s="240"/>
      <c r="E21" s="238"/>
      <c r="F21" s="29">
        <f t="shared" ref="F21:G21" si="3">SUM(F16:F17)/12/2</f>
        <v>23.541666666666668</v>
      </c>
      <c r="G21" s="29">
        <f t="shared" si="3"/>
        <v>23.541666666666668</v>
      </c>
      <c r="H21" s="238">
        <f>(H16+H17)*14/6/26</f>
        <v>50.705128205128204</v>
      </c>
      <c r="I21" s="241"/>
    </row>
    <row r="22" spans="2:11" s="242" customFormat="1" ht="12" x14ac:dyDescent="0.2">
      <c r="B22" s="235" t="s">
        <v>30</v>
      </c>
      <c r="C22" s="236"/>
      <c r="D22" s="237"/>
      <c r="E22" s="238"/>
      <c r="F22" s="29"/>
      <c r="G22" s="29"/>
      <c r="H22" s="238"/>
      <c r="I22" s="239"/>
    </row>
    <row r="23" spans="2:11" s="242" customFormat="1" ht="12.75" x14ac:dyDescent="0.25">
      <c r="B23" s="243" t="s">
        <v>31</v>
      </c>
      <c r="C23" s="244"/>
      <c r="D23" s="237"/>
      <c r="E23" s="238"/>
      <c r="F23" s="29"/>
      <c r="G23" s="29"/>
      <c r="H23" s="238"/>
      <c r="I23" s="239"/>
    </row>
    <row r="24" spans="2:11" s="242" customFormat="1" ht="12" x14ac:dyDescent="0.2">
      <c r="B24" s="235" t="s">
        <v>32</v>
      </c>
      <c r="C24" s="236"/>
      <c r="D24" s="237"/>
      <c r="E24" s="238"/>
      <c r="F24" s="29">
        <f t="shared" ref="F24" si="4">1160/26</f>
        <v>44.615384615384613</v>
      </c>
      <c r="G24" s="29">
        <f t="shared" ref="G24" si="5">1160/26</f>
        <v>44.615384615384613</v>
      </c>
      <c r="H24" s="238">
        <f>+'16211-PEAK'!L28</f>
        <v>44.615384615384613</v>
      </c>
      <c r="I24" s="239"/>
    </row>
    <row r="25" spans="2:11" s="242" customFormat="1" ht="12" x14ac:dyDescent="0.2">
      <c r="B25" s="235" t="s">
        <v>33</v>
      </c>
      <c r="C25" s="236"/>
      <c r="D25" s="237"/>
      <c r="E25" s="238"/>
      <c r="F25" s="29">
        <f>(F15*3%)/2/26</f>
        <v>8.4749999999999996</v>
      </c>
      <c r="G25" s="29">
        <f>(G15*3%)/2/26</f>
        <v>8.4749999999999996</v>
      </c>
      <c r="H25" s="238">
        <f>+'16211-PEAK'!L29</f>
        <v>8.4749999999999996</v>
      </c>
      <c r="I25" s="239"/>
    </row>
    <row r="26" spans="2:11" s="242" customFormat="1" ht="12" x14ac:dyDescent="0.2">
      <c r="B26" s="235" t="s">
        <v>34</v>
      </c>
      <c r="C26" s="236"/>
      <c r="D26" s="237"/>
      <c r="E26" s="238"/>
      <c r="F26" s="29">
        <f t="shared" ref="F26" si="6">100/26</f>
        <v>3.8461538461538463</v>
      </c>
      <c r="G26" s="29">
        <f t="shared" ref="G26" si="7">100/26</f>
        <v>3.8461538461538463</v>
      </c>
      <c r="H26" s="238">
        <f>+'16211-PEAK'!L30</f>
        <v>3.8461538461538463</v>
      </c>
      <c r="I26" s="239"/>
    </row>
    <row r="27" spans="2:11" s="242" customFormat="1" ht="12" x14ac:dyDescent="0.2">
      <c r="B27" s="235" t="s">
        <v>35</v>
      </c>
      <c r="C27" s="236"/>
      <c r="D27" s="237"/>
      <c r="E27" s="238"/>
      <c r="F27" s="29">
        <f t="shared" ref="F27" si="8">10/26</f>
        <v>0.38461538461538464</v>
      </c>
      <c r="G27" s="29">
        <f t="shared" ref="G27" si="9">10/26</f>
        <v>0.38461538461538464</v>
      </c>
      <c r="H27" s="238">
        <f>+'16211-PEAK'!L31</f>
        <v>0.38461538461538464</v>
      </c>
      <c r="I27" s="239"/>
    </row>
    <row r="28" spans="2:11" s="242" customFormat="1" ht="12" x14ac:dyDescent="0.2">
      <c r="B28" s="235"/>
      <c r="C28" s="236"/>
      <c r="D28" s="237"/>
      <c r="E28" s="238"/>
      <c r="F28" s="29"/>
      <c r="G28" s="29"/>
      <c r="H28" s="238"/>
      <c r="I28" s="239"/>
    </row>
    <row r="29" spans="2:11" s="242" customFormat="1" ht="12" x14ac:dyDescent="0.2">
      <c r="B29" s="245" t="s">
        <v>36</v>
      </c>
      <c r="C29" s="246"/>
      <c r="D29" s="237"/>
      <c r="E29" s="238">
        <f>E15/26</f>
        <v>134.61538461538461</v>
      </c>
      <c r="F29" s="29">
        <f>SUM(F16:F28)</f>
        <v>702.00064102564102</v>
      </c>
      <c r="G29" s="29">
        <f>SUM(G16:G28)</f>
        <v>702.00064102564102</v>
      </c>
      <c r="H29" s="238">
        <f>SUM(H16:H27)</f>
        <v>752.70576923076919</v>
      </c>
      <c r="I29" s="239"/>
    </row>
    <row r="30" spans="2:11" s="242" customFormat="1" ht="12" x14ac:dyDescent="0.2">
      <c r="B30" s="247" t="s">
        <v>37</v>
      </c>
      <c r="C30" s="248"/>
      <c r="D30" s="237"/>
      <c r="E30" s="238"/>
      <c r="F30" s="29">
        <f>2700/26</f>
        <v>103.84615384615384</v>
      </c>
      <c r="G30" s="29">
        <f>2700/26</f>
        <v>103.84615384615384</v>
      </c>
      <c r="H30" s="238">
        <v>0</v>
      </c>
      <c r="I30" s="239"/>
    </row>
    <row r="31" spans="2:11" s="213" customFormat="1" ht="12" x14ac:dyDescent="0.2">
      <c r="B31" s="247" t="s">
        <v>38</v>
      </c>
      <c r="C31" s="248"/>
      <c r="D31" s="249"/>
      <c r="E31" s="250">
        <f>SUM(E29:E30)</f>
        <v>134.61538461538461</v>
      </c>
      <c r="F31" s="45">
        <f t="shared" ref="F31" si="10">SUM(F29:F30)</f>
        <v>805.84679487179483</v>
      </c>
      <c r="G31" s="45">
        <f t="shared" ref="G31" si="11">SUM(G29:G30)</f>
        <v>805.84679487179483</v>
      </c>
      <c r="H31" s="250">
        <f>SUM(H29:H30)</f>
        <v>752.70576923076919</v>
      </c>
      <c r="I31" s="251"/>
      <c r="J31" s="400" t="s">
        <v>106</v>
      </c>
      <c r="K31" s="401"/>
    </row>
    <row r="32" spans="2:11" s="213" customFormat="1" ht="11.25" x14ac:dyDescent="0.2">
      <c r="B32" s="247"/>
      <c r="C32" s="248"/>
      <c r="D32" s="249"/>
      <c r="E32" s="250"/>
      <c r="F32" s="49"/>
      <c r="G32" s="49"/>
      <c r="H32" s="250"/>
      <c r="I32" s="251"/>
      <c r="J32" s="252" t="s">
        <v>18</v>
      </c>
      <c r="K32" s="253" t="s">
        <v>107</v>
      </c>
    </row>
    <row r="33" spans="2:11" s="242" customFormat="1" ht="11.25" x14ac:dyDescent="0.2">
      <c r="B33" s="254" t="s">
        <v>39</v>
      </c>
      <c r="C33" s="255">
        <f>SUM(D33:H33)</f>
        <v>39</v>
      </c>
      <c r="D33" s="256"/>
      <c r="E33" s="257">
        <v>4</v>
      </c>
      <c r="F33" s="54">
        <v>4</v>
      </c>
      <c r="G33" s="54">
        <v>1</v>
      </c>
      <c r="H33" s="257">
        <v>30</v>
      </c>
      <c r="I33" s="258"/>
      <c r="J33" s="259">
        <f>E33</f>
        <v>4</v>
      </c>
      <c r="K33" s="260">
        <f>SUM(H33:H33)</f>
        <v>30</v>
      </c>
    </row>
    <row r="34" spans="2:11" s="58" customFormat="1" ht="11.25" x14ac:dyDescent="0.2">
      <c r="B34" s="245" t="s">
        <v>41</v>
      </c>
      <c r="C34" s="261"/>
      <c r="D34" s="262"/>
      <c r="E34" s="263">
        <v>26</v>
      </c>
      <c r="F34" s="61">
        <v>26</v>
      </c>
      <c r="G34" s="61">
        <v>26</v>
      </c>
      <c r="H34" s="263">
        <v>26</v>
      </c>
      <c r="I34" s="264"/>
      <c r="J34" s="265">
        <v>7.5</v>
      </c>
      <c r="K34" s="266"/>
    </row>
    <row r="35" spans="2:11" s="58" customFormat="1" ht="11.25" x14ac:dyDescent="0.2">
      <c r="B35" s="245" t="s">
        <v>43</v>
      </c>
      <c r="C35" s="261"/>
      <c r="D35" s="249"/>
      <c r="E35" s="250">
        <f>E31*E33*E34</f>
        <v>14000</v>
      </c>
      <c r="F35" s="48">
        <f t="shared" ref="F35:G35" si="12">F31*F33*F34</f>
        <v>83808.066666666666</v>
      </c>
      <c r="G35" s="48">
        <f t="shared" si="12"/>
        <v>20952.016666666666</v>
      </c>
      <c r="H35" s="250">
        <f>H31*H33*H34</f>
        <v>587110.49999999988</v>
      </c>
      <c r="I35" s="251"/>
      <c r="J35" s="265">
        <v>30</v>
      </c>
      <c r="K35" s="266">
        <f>K33*J34</f>
        <v>225</v>
      </c>
    </row>
    <row r="36" spans="2:11" s="58" customFormat="1" ht="11.25" x14ac:dyDescent="0.2">
      <c r="B36" s="245"/>
      <c r="C36" s="261"/>
      <c r="D36" s="262"/>
      <c r="E36" s="263"/>
      <c r="F36" s="61"/>
      <c r="G36" s="61"/>
      <c r="H36" s="263"/>
      <c r="I36" s="264"/>
      <c r="J36" s="265">
        <f>J33*J35</f>
        <v>120</v>
      </c>
      <c r="K36" s="266">
        <f>K35*J35</f>
        <v>6750</v>
      </c>
    </row>
    <row r="37" spans="2:11" s="58" customFormat="1" ht="11.25" x14ac:dyDescent="0.2">
      <c r="B37" s="245" t="s">
        <v>45</v>
      </c>
      <c r="C37" s="261"/>
      <c r="D37" s="262"/>
      <c r="E37" s="263"/>
      <c r="F37" s="61"/>
      <c r="G37" s="61"/>
      <c r="H37" s="263"/>
      <c r="I37" s="264"/>
      <c r="J37" s="267"/>
      <c r="K37" s="268">
        <f>J36+K36</f>
        <v>6870</v>
      </c>
    </row>
    <row r="38" spans="2:11" s="58" customFormat="1" ht="11.25" x14ac:dyDescent="0.2">
      <c r="B38" s="245" t="s">
        <v>46</v>
      </c>
      <c r="C38" s="269">
        <f>SUM(D38:H38)</f>
        <v>10</v>
      </c>
      <c r="D38" s="270"/>
      <c r="E38" s="271">
        <v>2</v>
      </c>
      <c r="F38" s="68">
        <v>1</v>
      </c>
      <c r="G38" s="68">
        <v>2</v>
      </c>
      <c r="H38" s="271">
        <v>5</v>
      </c>
      <c r="I38" s="272"/>
      <c r="J38" s="65"/>
      <c r="K38" s="273" t="s">
        <v>108</v>
      </c>
    </row>
    <row r="39" spans="2:11" s="58" customFormat="1" ht="12" x14ac:dyDescent="0.2">
      <c r="B39" s="245" t="s">
        <v>47</v>
      </c>
      <c r="C39" s="261"/>
      <c r="D39" s="249"/>
      <c r="E39" s="250">
        <f>+H39</f>
        <v>88.28125</v>
      </c>
      <c r="F39" s="45">
        <f>F16/8*1.25</f>
        <v>88.28125</v>
      </c>
      <c r="G39" s="45">
        <f t="shared" ref="G39" si="13">G15/8*1.25</f>
        <v>2295.3125</v>
      </c>
      <c r="H39" s="250">
        <f>H16/8*1.25</f>
        <v>88.28125</v>
      </c>
      <c r="I39" s="251"/>
    </row>
    <row r="40" spans="2:11" s="58" customFormat="1" ht="12" x14ac:dyDescent="0.2">
      <c r="B40" s="245" t="s">
        <v>49</v>
      </c>
      <c r="C40" s="261"/>
      <c r="D40" s="249"/>
      <c r="E40" s="250">
        <f>E39*E38*E33</f>
        <v>706.25</v>
      </c>
      <c r="F40" s="45">
        <f t="shared" ref="F40:G40" si="14">F39*F38*F33</f>
        <v>353.125</v>
      </c>
      <c r="G40" s="45">
        <f t="shared" si="14"/>
        <v>4590.625</v>
      </c>
      <c r="H40" s="250">
        <f>H39*H38*H33</f>
        <v>13242.1875</v>
      </c>
      <c r="I40" s="251"/>
      <c r="J40" s="65"/>
    </row>
    <row r="41" spans="2:11" s="58" customFormat="1" ht="12" x14ac:dyDescent="0.2">
      <c r="B41" s="245"/>
      <c r="C41" s="261"/>
      <c r="D41" s="262"/>
      <c r="E41" s="263"/>
      <c r="F41" s="72"/>
      <c r="G41" s="72"/>
      <c r="H41" s="263"/>
      <c r="I41" s="264"/>
    </row>
    <row r="42" spans="2:11" s="58" customFormat="1" ht="12" x14ac:dyDescent="0.2">
      <c r="B42" s="245" t="s">
        <v>50</v>
      </c>
      <c r="C42" s="261"/>
      <c r="D42" s="262"/>
      <c r="E42" s="263"/>
      <c r="F42" s="72"/>
      <c r="G42" s="72"/>
      <c r="H42" s="263"/>
      <c r="I42" s="264"/>
    </row>
    <row r="43" spans="2:11" s="58" customFormat="1" ht="12" x14ac:dyDescent="0.2">
      <c r="B43" s="245" t="s">
        <v>51</v>
      </c>
      <c r="C43" s="261"/>
      <c r="D43" s="262"/>
      <c r="E43" s="263">
        <v>1</v>
      </c>
      <c r="F43" s="72">
        <v>1</v>
      </c>
      <c r="G43" s="72">
        <v>1</v>
      </c>
      <c r="H43" s="263">
        <v>5</v>
      </c>
      <c r="I43" s="264"/>
      <c r="K43" s="274"/>
    </row>
    <row r="44" spans="2:11" s="58" customFormat="1" ht="12" x14ac:dyDescent="0.2">
      <c r="B44" s="245" t="s">
        <v>52</v>
      </c>
      <c r="C44" s="261"/>
      <c r="D44" s="249"/>
      <c r="E44" s="250">
        <f>+H44</f>
        <v>56.5</v>
      </c>
      <c r="F44" s="45">
        <f>F16*0.1</f>
        <v>56.5</v>
      </c>
      <c r="G44" s="45">
        <f t="shared" ref="G44" si="15">G15*0.1</f>
        <v>1469</v>
      </c>
      <c r="H44" s="250">
        <f>H16*0.1</f>
        <v>56.5</v>
      </c>
      <c r="I44" s="251"/>
    </row>
    <row r="45" spans="2:11" s="58" customFormat="1" ht="12" x14ac:dyDescent="0.2">
      <c r="B45" s="245" t="s">
        <v>53</v>
      </c>
      <c r="C45" s="261"/>
      <c r="D45" s="262"/>
      <c r="E45" s="263">
        <v>26</v>
      </c>
      <c r="F45" s="72">
        <v>26</v>
      </c>
      <c r="G45" s="72">
        <v>26</v>
      </c>
      <c r="H45" s="263">
        <v>26</v>
      </c>
      <c r="I45" s="264"/>
      <c r="K45" s="275"/>
    </row>
    <row r="46" spans="2:11" s="58" customFormat="1" ht="12" x14ac:dyDescent="0.2">
      <c r="B46" s="245" t="s">
        <v>54</v>
      </c>
      <c r="C46" s="261"/>
      <c r="D46" s="249"/>
      <c r="E46" s="250">
        <f>E43*E44*E45</f>
        <v>1469</v>
      </c>
      <c r="F46" s="45">
        <f t="shared" ref="F46:G46" si="16">F43*F44*F45</f>
        <v>1469</v>
      </c>
      <c r="G46" s="45">
        <f t="shared" si="16"/>
        <v>38194</v>
      </c>
      <c r="H46" s="250">
        <f>H43*H44*H45</f>
        <v>7345</v>
      </c>
      <c r="I46" s="251"/>
    </row>
    <row r="47" spans="2:11" s="58" customFormat="1" ht="12" x14ac:dyDescent="0.2">
      <c r="B47" s="276"/>
      <c r="C47" s="261"/>
      <c r="D47" s="249"/>
      <c r="E47" s="250"/>
      <c r="F47" s="45"/>
      <c r="G47" s="45"/>
      <c r="H47" s="250"/>
      <c r="I47" s="251"/>
    </row>
    <row r="48" spans="2:11" s="213" customFormat="1" ht="12.75" x14ac:dyDescent="0.2">
      <c r="B48" s="245" t="s">
        <v>55</v>
      </c>
      <c r="C48" s="246"/>
      <c r="D48" s="277"/>
      <c r="E48" s="278">
        <f>E35+E40+E46</f>
        <v>16175.25</v>
      </c>
      <c r="F48" s="45">
        <f t="shared" ref="F48:G48" si="17">F35+F40+F46</f>
        <v>85630.191666666666</v>
      </c>
      <c r="G48" s="45">
        <f t="shared" si="17"/>
        <v>63736.641666666663</v>
      </c>
      <c r="H48" s="278">
        <f>H35+H40+H46</f>
        <v>607697.68749999988</v>
      </c>
      <c r="I48" s="279">
        <f>SUM(E48:H48)</f>
        <v>773239.77083333326</v>
      </c>
    </row>
    <row r="49" spans="2:10" s="213" customFormat="1" ht="12" x14ac:dyDescent="0.2">
      <c r="B49" s="245"/>
      <c r="C49" s="246"/>
      <c r="D49" s="262"/>
      <c r="E49" s="263"/>
      <c r="F49" s="73"/>
      <c r="G49" s="73"/>
      <c r="H49" s="263"/>
      <c r="I49" s="264"/>
    </row>
    <row r="50" spans="2:10" s="213" customFormat="1" ht="12" x14ac:dyDescent="0.2">
      <c r="B50" s="280"/>
      <c r="C50" s="281"/>
      <c r="D50" s="282"/>
      <c r="E50" s="283"/>
      <c r="F50" s="81"/>
      <c r="G50" s="81"/>
      <c r="H50" s="283"/>
      <c r="I50" s="284"/>
    </row>
    <row r="51" spans="2:10" s="213" customFormat="1" ht="12" x14ac:dyDescent="0.2">
      <c r="B51" s="285" t="s">
        <v>56</v>
      </c>
      <c r="C51" s="286"/>
      <c r="D51" s="287"/>
      <c r="E51" s="288" t="s">
        <v>22</v>
      </c>
      <c r="F51" s="87"/>
      <c r="G51" s="87"/>
      <c r="H51" s="288"/>
      <c r="I51" s="289" t="s">
        <v>22</v>
      </c>
    </row>
    <row r="52" spans="2:10" s="295" customFormat="1" ht="12" x14ac:dyDescent="0.2">
      <c r="B52" s="290" t="s">
        <v>57</v>
      </c>
      <c r="C52" s="291">
        <v>500</v>
      </c>
      <c r="D52" s="292"/>
      <c r="E52" s="293"/>
      <c r="F52" s="92"/>
      <c r="G52" s="293"/>
      <c r="H52" s="293"/>
      <c r="I52" s="294">
        <f>SUM(C52:H52)</f>
        <v>500</v>
      </c>
    </row>
    <row r="53" spans="2:10" s="295" customFormat="1" ht="22.5" x14ac:dyDescent="0.2">
      <c r="B53" s="290" t="s">
        <v>58</v>
      </c>
      <c r="C53" s="291">
        <v>500</v>
      </c>
      <c r="D53" s="292"/>
      <c r="E53" s="293"/>
      <c r="F53" s="93"/>
      <c r="G53" s="293"/>
      <c r="H53" s="293"/>
      <c r="I53" s="294">
        <f>SUM(C53:H53)</f>
        <v>500</v>
      </c>
    </row>
    <row r="54" spans="2:10" s="295" customFormat="1" ht="22.5" x14ac:dyDescent="0.2">
      <c r="B54" s="290" t="s">
        <v>109</v>
      </c>
      <c r="C54" s="291">
        <v>10000</v>
      </c>
      <c r="D54" s="296"/>
      <c r="E54" s="297"/>
      <c r="F54" s="93"/>
      <c r="G54" s="297"/>
      <c r="H54" s="293"/>
      <c r="I54" s="294">
        <f>SUM(C54:H54)</f>
        <v>10000</v>
      </c>
    </row>
    <row r="55" spans="2:10" s="295" customFormat="1" ht="12" x14ac:dyDescent="0.2">
      <c r="B55" s="290" t="s">
        <v>60</v>
      </c>
      <c r="C55" s="291">
        <v>2000</v>
      </c>
      <c r="D55" s="296"/>
      <c r="E55" s="297"/>
      <c r="F55" s="93"/>
      <c r="G55" s="297"/>
      <c r="H55" s="293"/>
      <c r="I55" s="294">
        <f>SUM(C55:H55)</f>
        <v>2000</v>
      </c>
    </row>
    <row r="56" spans="2:10" s="295" customFormat="1" ht="12" x14ac:dyDescent="0.2">
      <c r="B56" s="290" t="s">
        <v>110</v>
      </c>
      <c r="C56" s="298">
        <f>SUM(C52:C55)</f>
        <v>13000</v>
      </c>
      <c r="D56" s="296"/>
      <c r="E56" s="297"/>
      <c r="F56" s="93"/>
      <c r="G56" s="297"/>
      <c r="H56" s="293"/>
      <c r="I56" s="298">
        <f>SUM(I52:I55)</f>
        <v>13000</v>
      </c>
    </row>
    <row r="57" spans="2:10" s="295" customFormat="1" ht="12" x14ac:dyDescent="0.2">
      <c r="B57" s="290"/>
      <c r="C57" s="299"/>
      <c r="D57" s="292"/>
      <c r="E57" s="293"/>
      <c r="F57" s="93"/>
      <c r="G57" s="293"/>
      <c r="H57" s="293"/>
      <c r="I57" s="294"/>
    </row>
    <row r="58" spans="2:10" s="213" customFormat="1" ht="11.25" x14ac:dyDescent="0.2">
      <c r="B58" s="247"/>
      <c r="C58" s="248"/>
      <c r="D58" s="300"/>
      <c r="E58" s="301"/>
      <c r="F58" s="102"/>
      <c r="G58" s="301"/>
      <c r="H58" s="301"/>
      <c r="I58" s="302"/>
    </row>
    <row r="59" spans="2:10" s="213" customFormat="1" ht="22.5" x14ac:dyDescent="0.2">
      <c r="B59" s="303" t="s">
        <v>64</v>
      </c>
      <c r="C59" s="304" t="s">
        <v>65</v>
      </c>
      <c r="D59" s="287"/>
      <c r="E59" s="288" t="s">
        <v>22</v>
      </c>
      <c r="F59" s="107"/>
      <c r="G59" s="288"/>
      <c r="H59" s="288"/>
      <c r="I59" s="289" t="s">
        <v>22</v>
      </c>
    </row>
    <row r="60" spans="2:10" s="295" customFormat="1" ht="11.25" x14ac:dyDescent="0.2">
      <c r="B60" s="305"/>
      <c r="C60" s="306">
        <v>0</v>
      </c>
      <c r="D60" s="307"/>
      <c r="E60" s="308"/>
      <c r="F60" s="116"/>
      <c r="G60" s="308"/>
      <c r="H60" s="308"/>
      <c r="I60" s="309"/>
    </row>
    <row r="61" spans="2:10" s="295" customFormat="1" ht="22.5" x14ac:dyDescent="0.2">
      <c r="B61" s="305" t="s">
        <v>149</v>
      </c>
      <c r="C61" s="306">
        <f>3500*30</f>
        <v>105000</v>
      </c>
      <c r="D61" s="307"/>
      <c r="E61" s="308"/>
      <c r="F61" s="116"/>
      <c r="G61" s="308"/>
      <c r="H61" s="308"/>
      <c r="I61" s="310">
        <f>+C61/6</f>
        <v>17500</v>
      </c>
      <c r="J61" s="311">
        <f>I48+I56+I61</f>
        <v>803739.77083333326</v>
      </c>
    </row>
    <row r="62" spans="2:10" s="213" customFormat="1" ht="11.25" x14ac:dyDescent="0.2">
      <c r="B62" s="312"/>
      <c r="C62" s="281"/>
      <c r="D62" s="282"/>
      <c r="E62" s="283"/>
      <c r="F62" s="116"/>
      <c r="G62" s="283"/>
      <c r="H62" s="283"/>
      <c r="I62" s="284"/>
    </row>
    <row r="63" spans="2:10" s="213" customFormat="1" ht="11.25" x14ac:dyDescent="0.2">
      <c r="B63" s="313" t="s">
        <v>67</v>
      </c>
      <c r="C63" s="314"/>
      <c r="D63" s="315"/>
      <c r="E63" s="316"/>
      <c r="F63" s="105"/>
      <c r="G63" s="316"/>
      <c r="H63" s="316"/>
      <c r="I63" s="317"/>
    </row>
    <row r="64" spans="2:10" s="213" customFormat="1" ht="11.25" x14ac:dyDescent="0.2">
      <c r="B64" s="245"/>
      <c r="C64" s="246"/>
      <c r="D64" s="262"/>
      <c r="E64" s="263"/>
      <c r="F64" s="62"/>
      <c r="G64" s="263"/>
      <c r="H64" s="263"/>
      <c r="I64" s="264"/>
    </row>
    <row r="65" spans="2:12" s="213" customFormat="1" ht="22.5" x14ac:dyDescent="0.2">
      <c r="B65" s="247" t="s">
        <v>111</v>
      </c>
      <c r="C65" s="248"/>
      <c r="D65" s="318"/>
      <c r="E65" s="319">
        <f>+E48</f>
        <v>16175.25</v>
      </c>
      <c r="F65" s="319">
        <f>+F48</f>
        <v>85630.191666666666</v>
      </c>
      <c r="G65" s="319">
        <f>+G48</f>
        <v>63736.641666666663</v>
      </c>
      <c r="H65" s="319">
        <f>+H48</f>
        <v>607697.68749999988</v>
      </c>
      <c r="I65" s="302">
        <f>SUM(E65:H65)*1.1</f>
        <v>850563.74791666667</v>
      </c>
    </row>
    <row r="66" spans="2:12" s="213" customFormat="1" ht="11.25" x14ac:dyDescent="0.2">
      <c r="B66" s="320" t="s">
        <v>69</v>
      </c>
      <c r="C66" s="248"/>
      <c r="D66" s="321"/>
      <c r="E66" s="322"/>
      <c r="F66" s="127"/>
      <c r="G66" s="322"/>
      <c r="H66" s="322"/>
      <c r="I66" s="323"/>
    </row>
    <row r="67" spans="2:12" s="213" customFormat="1" ht="11.25" x14ac:dyDescent="0.2">
      <c r="B67" s="324" t="s">
        <v>100</v>
      </c>
      <c r="C67" s="248"/>
      <c r="D67" s="325"/>
      <c r="E67" s="322"/>
      <c r="F67" s="132"/>
      <c r="G67" s="322"/>
      <c r="H67" s="322"/>
      <c r="I67" s="323">
        <f>+I56*1.1</f>
        <v>14300.000000000002</v>
      </c>
    </row>
    <row r="68" spans="2:12" s="213" customFormat="1" ht="11.25" x14ac:dyDescent="0.2">
      <c r="B68" s="324" t="s">
        <v>101</v>
      </c>
      <c r="C68" s="248"/>
      <c r="D68" s="325"/>
      <c r="E68" s="322"/>
      <c r="F68" s="132"/>
      <c r="G68" s="322"/>
      <c r="H68" s="322"/>
      <c r="I68" s="323">
        <f>+I61*1.1</f>
        <v>19250</v>
      </c>
    </row>
    <row r="69" spans="2:12" s="213" customFormat="1" ht="11.25" x14ac:dyDescent="0.2">
      <c r="B69" s="247"/>
      <c r="C69" s="248"/>
      <c r="D69" s="321"/>
      <c r="E69" s="322"/>
      <c r="F69" s="127"/>
      <c r="G69" s="322"/>
      <c r="H69" s="322"/>
      <c r="I69" s="323"/>
    </row>
    <row r="70" spans="2:12" s="242" customFormat="1" ht="11.25" x14ac:dyDescent="0.2">
      <c r="B70" s="313" t="s">
        <v>112</v>
      </c>
      <c r="C70" s="314"/>
      <c r="D70" s="326"/>
      <c r="E70" s="327"/>
      <c r="F70" s="327"/>
      <c r="G70" s="327"/>
      <c r="H70" s="327"/>
      <c r="I70" s="328">
        <f>SUM(I65:I68)*1.1</f>
        <v>972525.12270833342</v>
      </c>
    </row>
    <row r="71" spans="2:12" s="213" customFormat="1" ht="11.25" x14ac:dyDescent="0.2">
      <c r="B71" s="320"/>
      <c r="C71" s="329"/>
      <c r="D71" s="320"/>
      <c r="E71" s="330"/>
      <c r="F71" s="330"/>
      <c r="G71" s="330"/>
      <c r="H71" s="330"/>
      <c r="I71" s="323"/>
    </row>
    <row r="72" spans="2:12" s="213" customFormat="1" ht="11.25" x14ac:dyDescent="0.2">
      <c r="B72" s="331" t="s">
        <v>75</v>
      </c>
      <c r="C72" s="332"/>
      <c r="D72" s="333"/>
      <c r="E72" s="334">
        <f>+E70*10%</f>
        <v>0</v>
      </c>
      <c r="F72" s="335">
        <f>+F70*10%</f>
        <v>0</v>
      </c>
      <c r="G72" s="335">
        <f>+G70*10%</f>
        <v>0</v>
      </c>
      <c r="H72" s="335">
        <f>+H70*10%</f>
        <v>0</v>
      </c>
      <c r="I72" s="336"/>
    </row>
    <row r="73" spans="2:12" s="213" customFormat="1" ht="11.25" x14ac:dyDescent="0.2">
      <c r="B73" s="337"/>
      <c r="C73" s="338"/>
      <c r="D73" s="337"/>
      <c r="E73" s="301"/>
      <c r="F73" s="146"/>
      <c r="G73" s="301"/>
      <c r="H73" s="301"/>
      <c r="I73" s="251"/>
    </row>
    <row r="74" spans="2:12" s="58" customFormat="1" ht="12" thickBot="1" x14ac:dyDescent="0.25">
      <c r="B74" s="339"/>
      <c r="C74" s="340"/>
      <c r="D74" s="339"/>
      <c r="E74" s="341"/>
      <c r="F74" s="341"/>
      <c r="G74" s="341"/>
      <c r="H74" s="341"/>
      <c r="I74" s="342"/>
      <c r="K74" s="343"/>
    </row>
    <row r="75" spans="2:12" s="58" customFormat="1" ht="32.25" thickBot="1" x14ac:dyDescent="0.3">
      <c r="B75" s="344" t="s">
        <v>113</v>
      </c>
      <c r="C75" s="345"/>
      <c r="D75" s="346"/>
      <c r="E75" s="346">
        <f>E70+E72</f>
        <v>0</v>
      </c>
      <c r="F75" s="346">
        <f>F70+F72</f>
        <v>0</v>
      </c>
      <c r="G75" s="346">
        <f>G70+G72</f>
        <v>0</v>
      </c>
      <c r="H75" s="346">
        <f>H70+H72</f>
        <v>0</v>
      </c>
      <c r="I75" s="347">
        <f>I70+I72</f>
        <v>972525.12270833342</v>
      </c>
      <c r="J75" s="348" t="s">
        <v>114</v>
      </c>
      <c r="K75" s="349"/>
      <c r="L75" s="275"/>
    </row>
    <row r="76" spans="2:12" s="213" customFormat="1" ht="12.75" x14ac:dyDescent="0.2">
      <c r="I76" s="350">
        <f>835000-I75</f>
        <v>-137525.12270833342</v>
      </c>
      <c r="J76" s="351"/>
      <c r="K76" s="352"/>
    </row>
    <row r="77" spans="2:12" s="213" customFormat="1" ht="31.5" x14ac:dyDescent="0.25">
      <c r="B77" s="344" t="s">
        <v>115</v>
      </c>
      <c r="C77" s="353"/>
      <c r="D77" s="354"/>
      <c r="E77" s="354">
        <f>E75*1.12</f>
        <v>0</v>
      </c>
      <c r="G77" s="354"/>
      <c r="H77" s="354">
        <f>H75*1.12</f>
        <v>0</v>
      </c>
      <c r="I77" s="58"/>
      <c r="J77" s="58"/>
      <c r="K77" s="355"/>
    </row>
    <row r="78" spans="2:12" s="58" customFormat="1" ht="12" thickBot="1" x14ac:dyDescent="0.25">
      <c r="B78" s="356"/>
      <c r="C78" s="357"/>
      <c r="D78" s="357"/>
    </row>
    <row r="79" spans="2:12" s="58" customFormat="1" ht="57.75" thickBot="1" x14ac:dyDescent="0.3">
      <c r="B79" s="356"/>
      <c r="C79" s="357"/>
      <c r="D79" s="357"/>
      <c r="I79" s="358">
        <v>780000</v>
      </c>
      <c r="J79" s="359" t="s">
        <v>116</v>
      </c>
      <c r="K79" s="58" t="s">
        <v>117</v>
      </c>
    </row>
    <row r="80" spans="2:12" s="58" customFormat="1" ht="16.5" thickBot="1" x14ac:dyDescent="0.3">
      <c r="B80" s="356"/>
      <c r="C80" s="357"/>
      <c r="D80" s="357"/>
      <c r="I80" s="360"/>
      <c r="J80" s="361"/>
    </row>
    <row r="81" spans="1:13" s="364" customFormat="1" ht="46.5" thickBot="1" x14ac:dyDescent="0.3">
      <c r="A81" s="362"/>
      <c r="B81" s="363"/>
      <c r="C81" s="363"/>
      <c r="D81" s="363"/>
      <c r="E81" s="363"/>
      <c r="F81" s="363"/>
      <c r="G81" s="363"/>
      <c r="H81" s="363"/>
      <c r="I81" s="358">
        <f>I79*1.12</f>
        <v>873600.00000000012</v>
      </c>
      <c r="J81" s="359" t="s">
        <v>118</v>
      </c>
      <c r="K81" s="355"/>
      <c r="L81" s="213"/>
    </row>
    <row r="82" spans="1:13" s="369" customFormat="1" ht="16.5" thickBot="1" x14ac:dyDescent="0.3">
      <c r="A82" s="365"/>
      <c r="B82" s="366"/>
      <c r="C82" s="366"/>
      <c r="D82" s="366"/>
      <c r="E82" s="366"/>
      <c r="F82" s="366"/>
      <c r="G82" s="366"/>
      <c r="H82" s="366"/>
      <c r="I82" s="360"/>
      <c r="J82" s="361"/>
      <c r="K82" s="367"/>
      <c r="L82" s="368"/>
    </row>
    <row r="83" spans="1:13" s="364" customFormat="1" ht="16.5" thickBot="1" x14ac:dyDescent="0.3">
      <c r="A83" s="362"/>
      <c r="B83" s="363"/>
      <c r="C83" s="363"/>
      <c r="D83" s="363"/>
      <c r="E83" s="363"/>
      <c r="F83" s="363"/>
      <c r="G83" s="363"/>
      <c r="H83" s="363"/>
      <c r="I83" s="370">
        <f>I79-I75</f>
        <v>-192525.12270833342</v>
      </c>
      <c r="J83" s="371" t="s">
        <v>119</v>
      </c>
      <c r="K83" s="355"/>
      <c r="L83" s="213"/>
    </row>
    <row r="84" spans="1:13" s="364" customFormat="1" ht="15.75" x14ac:dyDescent="0.25">
      <c r="A84" s="362"/>
      <c r="B84" s="363"/>
      <c r="C84" s="363"/>
      <c r="D84" s="363"/>
      <c r="E84" s="363"/>
      <c r="F84" s="363"/>
      <c r="G84" s="363"/>
      <c r="H84" s="363"/>
      <c r="I84" s="360"/>
      <c r="J84" s="361"/>
      <c r="K84" s="355"/>
      <c r="L84" s="213"/>
    </row>
    <row r="85" spans="1:13" s="364" customFormat="1" ht="22.5" x14ac:dyDescent="0.2">
      <c r="A85" s="362"/>
      <c r="B85" s="372"/>
      <c r="C85" s="372"/>
      <c r="D85" s="373"/>
      <c r="E85" s="374" t="str">
        <f>H14</f>
        <v>Agents Level A</v>
      </c>
      <c r="F85" s="393"/>
      <c r="G85" s="393"/>
      <c r="I85" s="58"/>
      <c r="J85" s="213"/>
      <c r="K85" s="355"/>
      <c r="L85" s="213"/>
      <c r="M85" s="213"/>
    </row>
    <row r="86" spans="1:13" s="364" customFormat="1" ht="12.75" x14ac:dyDescent="0.2">
      <c r="A86" s="362"/>
      <c r="B86" s="375" t="s">
        <v>77</v>
      </c>
      <c r="C86" s="376"/>
      <c r="D86" s="377"/>
      <c r="E86" s="377">
        <f>+I79/30</f>
        <v>26000</v>
      </c>
      <c r="F86" s="394"/>
      <c r="G86" s="394"/>
      <c r="I86" s="58"/>
      <c r="J86" s="213"/>
      <c r="K86" s="355"/>
      <c r="L86" s="213"/>
      <c r="M86" s="213"/>
    </row>
  </sheetData>
  <mergeCells count="12">
    <mergeCell ref="J31:K3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B12:E12"/>
    <mergeCell ref="D13:H13"/>
  </mergeCells>
  <hyperlinks>
    <hyperlink ref="B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C1" workbookViewId="0">
      <selection activeCell="I25" sqref="I25"/>
    </sheetView>
  </sheetViews>
  <sheetFormatPr defaultRowHeight="15" x14ac:dyDescent="0.25"/>
  <cols>
    <col min="2" max="2" width="43" bestFit="1" customWidth="1"/>
    <col min="3" max="3" width="15.42578125" style="379" bestFit="1" customWidth="1"/>
    <col min="4" max="4" width="15.140625" style="380" bestFit="1" customWidth="1"/>
    <col min="5" max="5" width="14" bestFit="1" customWidth="1"/>
    <col min="6" max="6" width="20.42578125" bestFit="1" customWidth="1"/>
    <col min="7" max="8" width="13.28515625" style="380" bestFit="1" customWidth="1"/>
    <col min="9" max="9" width="13.28515625" bestFit="1" customWidth="1"/>
    <col min="10" max="10" width="12.28515625" bestFit="1" customWidth="1"/>
    <col min="11" max="11" width="10.5703125" bestFit="1" customWidth="1"/>
    <col min="12" max="12" width="14.28515625" bestFit="1" customWidth="1"/>
  </cols>
  <sheetData>
    <row r="1" spans="1:11" x14ac:dyDescent="0.25">
      <c r="A1" s="378" t="s">
        <v>120</v>
      </c>
    </row>
    <row r="4" spans="1:11" x14ac:dyDescent="0.25">
      <c r="B4" s="378" t="s">
        <v>121</v>
      </c>
    </row>
    <row r="5" spans="1:11" x14ac:dyDescent="0.25">
      <c r="A5">
        <v>1</v>
      </c>
      <c r="B5" t="s">
        <v>122</v>
      </c>
    </row>
    <row r="6" spans="1:11" x14ac:dyDescent="0.25">
      <c r="A6">
        <v>2</v>
      </c>
      <c r="B6" t="s">
        <v>123</v>
      </c>
    </row>
    <row r="7" spans="1:11" x14ac:dyDescent="0.25">
      <c r="A7">
        <v>3</v>
      </c>
      <c r="B7" t="s">
        <v>124</v>
      </c>
    </row>
    <row r="11" spans="1:11" x14ac:dyDescent="0.25">
      <c r="B11" s="378"/>
      <c r="C11" s="381"/>
      <c r="D11" s="382" t="s">
        <v>125</v>
      </c>
      <c r="E11" s="383" t="s">
        <v>126</v>
      </c>
      <c r="H11" s="380" t="s">
        <v>150</v>
      </c>
    </row>
    <row r="12" spans="1:11" x14ac:dyDescent="0.25">
      <c r="A12" s="383" t="s">
        <v>127</v>
      </c>
      <c r="B12" s="383" t="s">
        <v>128</v>
      </c>
      <c r="C12" s="381" t="s">
        <v>129</v>
      </c>
      <c r="D12" s="382" t="s">
        <v>130</v>
      </c>
      <c r="E12" s="383" t="s">
        <v>131</v>
      </c>
      <c r="H12" s="380" t="s">
        <v>151</v>
      </c>
      <c r="I12" t="s">
        <v>152</v>
      </c>
    </row>
    <row r="13" spans="1:11" x14ac:dyDescent="0.25">
      <c r="A13" s="384" t="s">
        <v>132</v>
      </c>
      <c r="B13" t="s">
        <v>133</v>
      </c>
      <c r="C13" s="380">
        <f>+D23+D29+D38</f>
        <v>33167774.342524037</v>
      </c>
      <c r="D13" s="379">
        <f>2353973.75*12</f>
        <v>28247685</v>
      </c>
      <c r="E13" s="385">
        <f>+C13-D13</f>
        <v>4920089.3425240368</v>
      </c>
      <c r="F13" s="380">
        <f>+E13/12</f>
        <v>410007.44521033642</v>
      </c>
      <c r="H13" s="380">
        <f>+C13/12</f>
        <v>2763981.1952103362</v>
      </c>
      <c r="I13" s="386">
        <f>+D13/12</f>
        <v>2353973.75</v>
      </c>
      <c r="J13" s="385">
        <f>+H13-I13</f>
        <v>410007.44521033624</v>
      </c>
    </row>
    <row r="14" spans="1:11" x14ac:dyDescent="0.25">
      <c r="A14" s="384" t="s">
        <v>134</v>
      </c>
      <c r="B14" t="s">
        <v>135</v>
      </c>
      <c r="C14" s="380"/>
      <c r="D14" s="379"/>
      <c r="E14" s="385"/>
      <c r="F14" s="380"/>
    </row>
    <row r="15" spans="1:11" x14ac:dyDescent="0.25">
      <c r="A15" s="384" t="s">
        <v>136</v>
      </c>
      <c r="B15" t="s">
        <v>137</v>
      </c>
      <c r="C15" s="380"/>
      <c r="D15" s="379"/>
      <c r="E15" s="385"/>
      <c r="F15" s="386"/>
    </row>
    <row r="16" spans="1:11" x14ac:dyDescent="0.25">
      <c r="B16" s="378" t="s">
        <v>138</v>
      </c>
      <c r="C16" s="387"/>
      <c r="D16" s="387"/>
      <c r="E16" s="387"/>
      <c r="I16" t="s">
        <v>157</v>
      </c>
      <c r="J16" t="s">
        <v>158</v>
      </c>
      <c r="K16" t="s">
        <v>159</v>
      </c>
    </row>
    <row r="17" spans="1:13" x14ac:dyDescent="0.25">
      <c r="B17" s="378" t="s">
        <v>139</v>
      </c>
      <c r="C17" s="387">
        <f>+C16*1.12</f>
        <v>0</v>
      </c>
      <c r="D17" s="387">
        <f>+D16*1.12</f>
        <v>0</v>
      </c>
      <c r="E17" s="387">
        <f>+E16*1.12</f>
        <v>0</v>
      </c>
      <c r="H17" s="380" t="s">
        <v>155</v>
      </c>
      <c r="I17" s="384">
        <v>46</v>
      </c>
      <c r="J17" s="384">
        <v>4</v>
      </c>
      <c r="K17" s="380">
        <f>+I13/30/I20</f>
        <v>496.61893459915615</v>
      </c>
      <c r="L17" s="386">
        <f>+K17*J17*I17</f>
        <v>91377.883966244728</v>
      </c>
    </row>
    <row r="18" spans="1:13" x14ac:dyDescent="0.25">
      <c r="H18" s="380" t="s">
        <v>156</v>
      </c>
      <c r="I18" s="384">
        <v>92</v>
      </c>
      <c r="J18" s="384">
        <v>13</v>
      </c>
      <c r="K18" s="380">
        <f>+K17</f>
        <v>496.61893459915615</v>
      </c>
      <c r="L18" s="386">
        <f>+K18*J18*I18</f>
        <v>593956.24578059081</v>
      </c>
    </row>
    <row r="19" spans="1:13" x14ac:dyDescent="0.25">
      <c r="H19" s="391">
        <v>44043</v>
      </c>
      <c r="I19" s="384">
        <v>129</v>
      </c>
      <c r="J19" s="384">
        <v>1</v>
      </c>
      <c r="K19" s="380">
        <f>+K18</f>
        <v>496.61893459915615</v>
      </c>
      <c r="L19" s="386">
        <f>+K19*J19*I19</f>
        <v>64063.842563291146</v>
      </c>
    </row>
    <row r="20" spans="1:13" x14ac:dyDescent="0.25">
      <c r="I20" s="380">
        <f>+'16211-PEAK'!C37+DR!C33</f>
        <v>158</v>
      </c>
      <c r="J20" s="384">
        <f>SUM(J17:J19)</f>
        <v>18</v>
      </c>
      <c r="L20" s="386">
        <f>SUM(L17:L19)</f>
        <v>749397.97231012676</v>
      </c>
      <c r="M20" t="s">
        <v>160</v>
      </c>
    </row>
    <row r="21" spans="1:13" x14ac:dyDescent="0.25">
      <c r="A21" t="s">
        <v>140</v>
      </c>
      <c r="B21" s="388">
        <v>16211</v>
      </c>
    </row>
    <row r="22" spans="1:13" x14ac:dyDescent="0.25">
      <c r="B22" s="384" t="s">
        <v>141</v>
      </c>
      <c r="C22" s="382" t="s">
        <v>142</v>
      </c>
      <c r="D22" s="381" t="s">
        <v>143</v>
      </c>
      <c r="L22" s="386"/>
    </row>
    <row r="23" spans="1:13" x14ac:dyDescent="0.25">
      <c r="B23" t="s">
        <v>132</v>
      </c>
      <c r="C23" s="379">
        <f>+'16211-LEAN'!M81</f>
        <v>1820662.6229687496</v>
      </c>
      <c r="D23" s="380">
        <f>+C23*6</f>
        <v>10923975.737812497</v>
      </c>
      <c r="E23" s="389"/>
      <c r="F23" s="390"/>
      <c r="I23">
        <v>129</v>
      </c>
      <c r="J23">
        <v>13</v>
      </c>
      <c r="K23" s="380">
        <f>+K19</f>
        <v>496.61893459915615</v>
      </c>
      <c r="L23" s="386">
        <f>+K23*J23*I23</f>
        <v>832829.95332278486</v>
      </c>
      <c r="M23" t="s">
        <v>161</v>
      </c>
    </row>
    <row r="24" spans="1:13" x14ac:dyDescent="0.25">
      <c r="B24" t="s">
        <v>134</v>
      </c>
      <c r="C24" s="379">
        <v>0</v>
      </c>
      <c r="D24" s="380">
        <f>+C24*6</f>
        <v>0</v>
      </c>
      <c r="E24" s="389"/>
      <c r="F24" s="390"/>
    </row>
    <row r="25" spans="1:13" x14ac:dyDescent="0.25">
      <c r="B25" t="s">
        <v>136</v>
      </c>
      <c r="C25" s="379">
        <v>0</v>
      </c>
      <c r="D25" s="380">
        <f>+C25*6</f>
        <v>0</v>
      </c>
      <c r="E25" s="389"/>
    </row>
    <row r="28" spans="1:13" x14ac:dyDescent="0.25">
      <c r="A28" t="s">
        <v>144</v>
      </c>
      <c r="B28" t="s">
        <v>145</v>
      </c>
    </row>
    <row r="29" spans="1:13" x14ac:dyDescent="0.25">
      <c r="B29" t="s">
        <v>132</v>
      </c>
      <c r="C29" s="379">
        <f>+'16211-PEAK'!M83</f>
        <v>2734774.6447435897</v>
      </c>
      <c r="D29" s="380">
        <f>+C29*6</f>
        <v>16408647.868461538</v>
      </c>
      <c r="E29" s="389"/>
    </row>
    <row r="30" spans="1:13" x14ac:dyDescent="0.25">
      <c r="B30" t="s">
        <v>134</v>
      </c>
      <c r="C30" s="379">
        <v>0</v>
      </c>
      <c r="D30" s="380">
        <f t="shared" ref="D30:D31" si="0">+C30*6</f>
        <v>0</v>
      </c>
      <c r="E30" s="389"/>
    </row>
    <row r="31" spans="1:13" x14ac:dyDescent="0.25">
      <c r="B31" t="s">
        <v>136</v>
      </c>
      <c r="C31" s="379">
        <v>0</v>
      </c>
      <c r="D31" s="380">
        <f t="shared" si="0"/>
        <v>0</v>
      </c>
      <c r="E31" s="389"/>
    </row>
    <row r="37" spans="1:4" x14ac:dyDescent="0.25">
      <c r="A37" t="s">
        <v>146</v>
      </c>
      <c r="B37" t="s">
        <v>147</v>
      </c>
    </row>
    <row r="38" spans="1:4" x14ac:dyDescent="0.25">
      <c r="B38" t="s">
        <v>132</v>
      </c>
      <c r="C38" s="379">
        <f>+DR!I75</f>
        <v>972525.12270833342</v>
      </c>
      <c r="D38" s="380">
        <f>+C38*6</f>
        <v>5835150.7362500001</v>
      </c>
    </row>
    <row r="39" spans="1:4" x14ac:dyDescent="0.25">
      <c r="B39" t="s">
        <v>134</v>
      </c>
      <c r="C39" s="379">
        <v>0</v>
      </c>
      <c r="D39" s="380">
        <f t="shared" ref="D39:D40" si="1">+C39*6</f>
        <v>0</v>
      </c>
    </row>
    <row r="40" spans="1:4" x14ac:dyDescent="0.25">
      <c r="B40" t="s">
        <v>136</v>
      </c>
      <c r="D40" s="38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16211-LEAN</vt:lpstr>
      <vt:lpstr>16211-PEAK</vt:lpstr>
      <vt:lpstr>DR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Daril John D. Canosa (Mirof Resources, Inc.)</cp:lastModifiedBy>
  <dcterms:created xsi:type="dcterms:W3CDTF">2020-06-24T02:29:08Z</dcterms:created>
  <dcterms:modified xsi:type="dcterms:W3CDTF">2020-07-15T06:59:08Z</dcterms:modified>
</cp:coreProperties>
</file>