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ing forms connection" sheetId="1" r:id="rId4"/>
    <sheet state="visible" name="inflation consideration" sheetId="2" r:id="rId5"/>
    <sheet state="visible" name="salary" sheetId="3" r:id="rId6"/>
  </sheets>
  <definedNames/>
  <calcPr/>
  <extLst>
    <ext uri="GoogleSheetsCustomDataVersion2">
      <go:sheetsCustomData xmlns:go="http://customooxmlschemas.google.com/" r:id="rId7" roundtripDataChecksum="AIhq+P6Qv5fwNKLJagLP5yD5E019acZNFbwTCrsl77I="/>
    </ext>
  </extLst>
</workbook>
</file>

<file path=xl/sharedStrings.xml><?xml version="1.0" encoding="utf-8"?>
<sst xmlns="http://schemas.openxmlformats.org/spreadsheetml/2006/main" count="269" uniqueCount="185">
  <si>
    <t>All in RUB ths, VAT excluded</t>
  </si>
  <si>
    <t>Check</t>
  </si>
  <si>
    <t>Project inputs</t>
  </si>
  <si>
    <t>Year 1</t>
  </si>
  <si>
    <t>Year 2</t>
  </si>
  <si>
    <t>Year 3</t>
  </si>
  <si>
    <t>Year 4</t>
  </si>
  <si>
    <t>Year 5</t>
  </si>
  <si>
    <t>Balance sheet (EoY)</t>
  </si>
  <si>
    <t>P&amp;L</t>
  </si>
  <si>
    <t>Financing Activity</t>
  </si>
  <si>
    <t>ASSETS</t>
  </si>
  <si>
    <t>Item</t>
  </si>
  <si>
    <t>Equity acquisition</t>
  </si>
  <si>
    <t>I. NONCURRENT ASSETS</t>
  </si>
  <si>
    <t>Revenue</t>
  </si>
  <si>
    <t>Debt acquisition</t>
  </si>
  <si>
    <t>Intangible assets</t>
  </si>
  <si>
    <t>1110</t>
  </si>
  <si>
    <t>CoGS</t>
  </si>
  <si>
    <t>Interest rate</t>
  </si>
  <si>
    <t>R&amp;D</t>
  </si>
  <si>
    <t>1120</t>
  </si>
  <si>
    <t>Gross Profit</t>
  </si>
  <si>
    <t>Debt repayment</t>
  </si>
  <si>
    <t>Fixed (tangible) assets</t>
  </si>
  <si>
    <t>1150</t>
  </si>
  <si>
    <t>Selling expenses</t>
  </si>
  <si>
    <t>Real investments</t>
  </si>
  <si>
    <t>1160</t>
  </si>
  <si>
    <t>General &amp; Administrative expenses</t>
  </si>
  <si>
    <t>Operating activity</t>
  </si>
  <si>
    <t>Financial investments</t>
  </si>
  <si>
    <t>1170</t>
  </si>
  <si>
    <t>Operating profit</t>
  </si>
  <si>
    <t>Deferred tax assets</t>
  </si>
  <si>
    <t>1180</t>
  </si>
  <si>
    <t>Income from participation in other organizations</t>
  </si>
  <si>
    <t>Other non-current assets</t>
  </si>
  <si>
    <t>1190</t>
  </si>
  <si>
    <t>Interest receivable</t>
  </si>
  <si>
    <t>Total non-current assets</t>
  </si>
  <si>
    <t>1100</t>
  </si>
  <si>
    <t>Interest payable</t>
  </si>
  <si>
    <t>II. CURRENT ASSETS</t>
  </si>
  <si>
    <t>Other income</t>
  </si>
  <si>
    <t>Corporate profit tax</t>
  </si>
  <si>
    <t>Inventory</t>
  </si>
  <si>
    <t>1210</t>
  </si>
  <si>
    <t>Other expenses</t>
  </si>
  <si>
    <t>Depreciation</t>
  </si>
  <si>
    <t>VAT</t>
  </si>
  <si>
    <t>1220</t>
  </si>
  <si>
    <t>Profit before tax</t>
  </si>
  <si>
    <t>Inventories</t>
  </si>
  <si>
    <t>Receivables</t>
  </si>
  <si>
    <t>1230</t>
  </si>
  <si>
    <t>1240</t>
  </si>
  <si>
    <t>Other</t>
  </si>
  <si>
    <t>Payables</t>
  </si>
  <si>
    <t>Cash and cash equivalents</t>
  </si>
  <si>
    <t>1250</t>
  </si>
  <si>
    <t>Net Income</t>
  </si>
  <si>
    <t>Other current assets</t>
  </si>
  <si>
    <t>1260</t>
  </si>
  <si>
    <t>Total current assets</t>
  </si>
  <si>
    <t>1200</t>
  </si>
  <si>
    <t>Additional: EBITDA</t>
  </si>
  <si>
    <t>Investing activity</t>
  </si>
  <si>
    <t>Balance (ASSETS)</t>
  </si>
  <si>
    <t>1600</t>
  </si>
  <si>
    <t>Fixed assets purchase</t>
  </si>
  <si>
    <t>LIABILITIES</t>
  </si>
  <si>
    <t>III. EQUITY</t>
  </si>
  <si>
    <t>Basic financial ratios</t>
  </si>
  <si>
    <t>Share capital</t>
  </si>
  <si>
    <t>1310</t>
  </si>
  <si>
    <t>Cash flow statement (indirect)</t>
  </si>
  <si>
    <t>Own shares purchased from shareholders</t>
  </si>
  <si>
    <t>1320</t>
  </si>
  <si>
    <t>Capital reserves</t>
  </si>
  <si>
    <t>1360</t>
  </si>
  <si>
    <t>Profitability</t>
  </si>
  <si>
    <t>Retained earnings</t>
  </si>
  <si>
    <t>1370</t>
  </si>
  <si>
    <t>ROE return on equity</t>
  </si>
  <si>
    <t>Total equity</t>
  </si>
  <si>
    <t>1300</t>
  </si>
  <si>
    <t>Correction for depreciation</t>
  </si>
  <si>
    <t>ROA return on assets</t>
  </si>
  <si>
    <t>IV. LONG-TERM (NONCURRENT LIABILITIES)</t>
  </si>
  <si>
    <t>Correction for growth in receivables</t>
  </si>
  <si>
    <t>ROS return on sales</t>
  </si>
  <si>
    <t>Long-term debt</t>
  </si>
  <si>
    <t>1410</t>
  </si>
  <si>
    <t>Correction for growth in inventory</t>
  </si>
  <si>
    <t>Gross margin</t>
  </si>
  <si>
    <t>Deffered tax liabilities</t>
  </si>
  <si>
    <t>1420</t>
  </si>
  <si>
    <t>Correction for growth in payables</t>
  </si>
  <si>
    <t>Other long-term liabilities</t>
  </si>
  <si>
    <t>1450</t>
  </si>
  <si>
    <t>Operating cash flow</t>
  </si>
  <si>
    <t>Liquidity</t>
  </si>
  <si>
    <t>Total long-term liabilities</t>
  </si>
  <si>
    <t>1400</t>
  </si>
  <si>
    <t>Investment (CAPEX)</t>
  </si>
  <si>
    <t>Current ratio</t>
  </si>
  <si>
    <t>V. SHORT-TERM (CURRENT LIABILITIES)</t>
  </si>
  <si>
    <t>Investment cash flow</t>
  </si>
  <si>
    <t>Quick ratio</t>
  </si>
  <si>
    <t>Short-term debt</t>
  </si>
  <si>
    <t>1510</t>
  </si>
  <si>
    <t>Cash ratio</t>
  </si>
  <si>
    <t>1520</t>
  </si>
  <si>
    <t>Deffered revenues</t>
  </si>
  <si>
    <t>1530</t>
  </si>
  <si>
    <t>Solvency</t>
  </si>
  <si>
    <t>Other short-term liabilities</t>
  </si>
  <si>
    <t>1550</t>
  </si>
  <si>
    <t>Financing cash flow</t>
  </si>
  <si>
    <t>D/E</t>
  </si>
  <si>
    <t>Total short-term liabilities</t>
  </si>
  <si>
    <t>1500</t>
  </si>
  <si>
    <t>Net Cash Flow</t>
  </si>
  <si>
    <t>Share of debt in financing</t>
  </si>
  <si>
    <t>Balance (LIABILITIES)</t>
  </si>
  <si>
    <t>1700</t>
  </si>
  <si>
    <t>Cash EoY</t>
  </si>
  <si>
    <t>Interest coverage</t>
  </si>
  <si>
    <t>FCFE</t>
  </si>
  <si>
    <t>Turnover</t>
  </si>
  <si>
    <t>Year 2 (times)</t>
  </si>
  <si>
    <t>Year 2 (days)</t>
  </si>
  <si>
    <t>Equity turnover</t>
  </si>
  <si>
    <t>Nominal payback period</t>
  </si>
  <si>
    <t>Receivables turnover</t>
  </si>
  <si>
    <t>Payables turnover</t>
  </si>
  <si>
    <t>Inventories turnover</t>
  </si>
  <si>
    <t>Net cash flow</t>
  </si>
  <si>
    <t>Accumulated cash flow</t>
  </si>
  <si>
    <t>Discounted payback period</t>
  </si>
  <si>
    <t>Discounted net cash flow</t>
  </si>
  <si>
    <t>Accumulated discounted cash flow</t>
  </si>
  <si>
    <t>Long-term growth</t>
  </si>
  <si>
    <t>Terminal Value</t>
  </si>
  <si>
    <t>Free Cash Flow to Equity (FCFE) + TV</t>
  </si>
  <si>
    <t>Discount rate</t>
  </si>
  <si>
    <t>Discount Factor</t>
  </si>
  <si>
    <t>Discounted Free Cash Flow to Equity</t>
  </si>
  <si>
    <t>rub</t>
  </si>
  <si>
    <t>Accumulated Discounted Free Cash Flow to Equity</t>
  </si>
  <si>
    <t>NPV</t>
  </si>
  <si>
    <t>IRR</t>
  </si>
  <si>
    <t>Price adjustment accounting for inflation</t>
  </si>
  <si>
    <t>Inflation in 2025</t>
  </si>
  <si>
    <t>Inflation in 2026</t>
  </si>
  <si>
    <t>Inflation in 2027</t>
  </si>
  <si>
    <t>Price in 2025</t>
  </si>
  <si>
    <t>Price in 2026</t>
  </si>
  <si>
    <t>Price in 2027</t>
  </si>
  <si>
    <t>Price in 2028</t>
  </si>
  <si>
    <t>Price in 2029</t>
  </si>
  <si>
    <t>Price in 2030</t>
  </si>
  <si>
    <t>Furniture</t>
  </si>
  <si>
    <t>-</t>
  </si>
  <si>
    <t>Laptops</t>
  </si>
  <si>
    <t>Office supplies</t>
  </si>
  <si>
    <t>Office rent</t>
  </si>
  <si>
    <t>Salary in 2026 (with inflation and price growth)</t>
  </si>
  <si>
    <t>Salary in 2027 (with inflation and price growth)</t>
  </si>
  <si>
    <t>Average salary for the present year</t>
  </si>
  <si>
    <t>Average salary after tax</t>
  </si>
  <si>
    <t>Taxes</t>
  </si>
  <si>
    <t>Total cost per worker</t>
  </si>
  <si>
    <t>Total cost</t>
  </si>
  <si>
    <t>Average salary for the previous year</t>
  </si>
  <si>
    <t>Auditors</t>
  </si>
  <si>
    <t>Financial analysts</t>
  </si>
  <si>
    <t>Sales manager</t>
  </si>
  <si>
    <t>Organisational manager</t>
  </si>
  <si>
    <t>Supervisor</t>
  </si>
  <si>
    <t>System administrator</t>
  </si>
  <si>
    <t>Salary in 2028 (with inflation and price growth)</t>
  </si>
  <si>
    <t>Salary in 2029 (with inflation and price growth)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</si>
</sst>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_-* #,##0_-;\-* #,##0_-;_-* &quot;-&quot;??_-;_-@"/>
    <numFmt numFmtId="165" formatCode="_(#,##0\)_-;\(#,##0\)_);_(* &quot;-&quot;??_);_-@"/>
    <numFmt numFmtId="166" formatCode="_-* #,##0.00_-;\-* #,##0.00_-;_-* &quot;-&quot;??_-;_-@"/>
    <numFmt numFmtId="167" formatCode="_-* #,##0.0_-;\-* #,##0.0_-;_-* &quot;-&quot;??_-;_-@"/>
    <numFmt numFmtId="168" formatCode="0.0%"/>
    <numFmt numFmtId="169" formatCode="#,##0.000"/>
  </numFmts>
  <fonts count="20">
    <font>
      <sz val="12.0"/>
      <color theme="1"/>
      <name val="Arial"/>
      <scheme val="minor"/>
    </font>
    <font>
      <i/>
      <sz val="10.0"/>
      <color theme="1"/>
      <name val="Arial"/>
    </font>
    <font>
      <sz val="10.0"/>
      <color theme="1"/>
      <name val="Arial"/>
    </font>
    <font>
      <sz val="10.0"/>
      <color rgb="FF7F7F7F"/>
      <name val="Arial"/>
    </font>
    <font>
      <b/>
      <sz val="10.0"/>
      <color theme="1"/>
      <name val="Arial"/>
    </font>
    <font/>
    <font>
      <sz val="10.0"/>
      <color theme="1"/>
      <name val="Arial"/>
      <scheme val="minor"/>
    </font>
    <font>
      <sz val="9.0"/>
      <color rgb="FF000000"/>
      <name val="Arial"/>
    </font>
    <font>
      <i/>
      <sz val="10.0"/>
      <color rgb="FF000000"/>
      <name val="Arial"/>
    </font>
    <font>
      <b/>
      <sz val="10.0"/>
      <color theme="1"/>
      <name val="Arial"/>
      <scheme val="minor"/>
    </font>
    <font>
      <sz val="10.0"/>
      <color rgb="FF000000"/>
      <name val="Arial"/>
    </font>
    <font>
      <color theme="1"/>
      <name val="Arial"/>
      <scheme val="minor"/>
    </font>
    <font>
      <i/>
      <sz val="10.0"/>
      <color theme="1"/>
      <name val="Arial"/>
      <scheme val="minor"/>
    </font>
    <font>
      <sz val="11.0"/>
      <color rgb="FF000000"/>
      <name val="Arial"/>
    </font>
    <font>
      <b/>
      <sz val="11.0"/>
      <color rgb="FF000000"/>
      <name val="Arial"/>
    </font>
    <font>
      <sz val="12.0"/>
      <color rgb="FF000000"/>
      <name val="&quot;Aptos Narrow&quot;"/>
    </font>
    <font>
      <b/>
      <color theme="1"/>
      <name val="Times New Roman"/>
    </font>
    <font>
      <color theme="1"/>
      <name val="Times New Roman"/>
    </font>
    <font>
      <color theme="1"/>
      <name val="Arial"/>
    </font>
    <font>
      <sz val="12.0"/>
      <color theme="1"/>
      <name val="Times New Roman"/>
    </font>
  </fonts>
  <fills count="10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DAF2D0"/>
        <bgColor rgb="FFDAF2D0"/>
      </patternFill>
    </fill>
    <fill>
      <patternFill patternType="solid">
        <fgColor rgb="FFE8E8E8"/>
        <bgColor rgb="FFE8E8E8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center"/>
    </xf>
    <xf borderId="1" fillId="2" fontId="4" numFmtId="0" xfId="0" applyBorder="1" applyFill="1" applyFont="1"/>
    <xf borderId="1" fillId="3" fontId="2" numFmtId="0" xfId="0" applyAlignment="1" applyBorder="1" applyFill="1" applyFont="1">
      <alignment horizontal="center" vertical="center"/>
    </xf>
    <xf borderId="1" fillId="3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readingOrder="0"/>
    </xf>
    <xf borderId="0" fillId="0" fontId="4" numFmtId="0" xfId="0" applyFont="1"/>
    <xf borderId="2" fillId="0" fontId="4" numFmtId="0" xfId="0" applyAlignment="1" applyBorder="1" applyFont="1">
      <alignment horizontal="left"/>
    </xf>
    <xf borderId="3" fillId="0" fontId="5" numFmtId="0" xfId="0" applyBorder="1" applyFont="1"/>
    <xf borderId="4" fillId="0" fontId="5" numFmtId="0" xfId="0" applyBorder="1" applyFont="1"/>
    <xf borderId="1" fillId="0" fontId="2" numFmtId="0" xfId="0" applyBorder="1" applyFont="1"/>
    <xf borderId="1" fillId="0" fontId="4" numFmtId="49" xfId="0" applyAlignment="1" applyBorder="1" applyFont="1" applyNumberFormat="1">
      <alignment horizontal="center" shrinkToFit="0" vertical="center" wrapText="1"/>
    </xf>
    <xf borderId="1" fillId="0" fontId="4" numFmtId="49" xfId="0" applyAlignment="1" applyBorder="1" applyFont="1" applyNumberFormat="1">
      <alignment horizontal="center" vertical="center"/>
    </xf>
    <xf borderId="1" fillId="0" fontId="4" numFmtId="49" xfId="0" applyAlignment="1" applyBorder="1" applyFont="1" applyNumberForma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/>
    </xf>
    <xf borderId="1" fillId="0" fontId="2" numFmtId="164" xfId="0" applyBorder="1" applyFont="1" applyNumberFormat="1"/>
    <xf borderId="0" fillId="0" fontId="2" numFmtId="164" xfId="0" applyFont="1" applyNumberFormat="1"/>
    <xf borderId="1" fillId="0" fontId="4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horizontal="center" vertical="center"/>
    </xf>
    <xf borderId="1" fillId="4" fontId="4" numFmtId="3" xfId="0" applyAlignment="1" applyBorder="1" applyFill="1" applyFont="1" applyNumberFormat="1">
      <alignment horizontal="center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1" fillId="4" fontId="2" numFmtId="164" xfId="0" applyAlignment="1" applyBorder="1" applyFont="1" applyNumberFormat="1">
      <alignment horizontal="right" shrinkToFit="0" vertical="center" wrapText="1"/>
    </xf>
    <xf borderId="1" fillId="5" fontId="2" numFmtId="3" xfId="0" applyBorder="1" applyFill="1" applyFont="1" applyNumberFormat="1"/>
    <xf borderId="1" fillId="0" fontId="2" numFmtId="0" xfId="0" applyAlignment="1" applyBorder="1" applyFont="1">
      <alignment horizontal="center" vertical="center"/>
    </xf>
    <xf borderId="1" fillId="4" fontId="2" numFmtId="3" xfId="0" applyAlignment="1" applyBorder="1" applyFont="1" applyNumberFormat="1">
      <alignment horizontal="right" shrinkToFit="0" vertical="center" wrapText="1"/>
    </xf>
    <xf borderId="1" fillId="4" fontId="2" numFmtId="165" xfId="0" applyAlignment="1" applyBorder="1" applyFont="1" applyNumberFormat="1">
      <alignment horizontal="right" shrinkToFit="0" vertical="center" wrapText="1"/>
    </xf>
    <xf borderId="1" fillId="0" fontId="2" numFmtId="9" xfId="0" applyBorder="1" applyFont="1" applyNumberFormat="1"/>
    <xf borderId="1" fillId="4" fontId="4" numFmtId="164" xfId="0" applyAlignment="1" applyBorder="1" applyFont="1" applyNumberFormat="1">
      <alignment horizontal="right" shrinkToFit="0" vertical="center" wrapText="1"/>
    </xf>
    <xf borderId="1" fillId="5" fontId="4" numFmtId="3" xfId="0" applyBorder="1" applyFont="1" applyNumberFormat="1"/>
    <xf borderId="1" fillId="4" fontId="4" numFmtId="3" xfId="0" applyAlignment="1" applyBorder="1" applyFont="1" applyNumberFormat="1">
      <alignment horizontal="right" shrinkToFit="0" vertical="center" wrapText="1"/>
    </xf>
    <xf borderId="1" fillId="0" fontId="2" numFmtId="3" xfId="0" applyBorder="1" applyFont="1" applyNumberFormat="1"/>
    <xf borderId="0" fillId="0" fontId="2" numFmtId="3" xfId="0" applyFont="1" applyNumberFormat="1"/>
    <xf borderId="1" fillId="5" fontId="2" numFmtId="0" xfId="0" applyBorder="1" applyFont="1"/>
    <xf borderId="1" fillId="0" fontId="6" numFmtId="164" xfId="0" applyBorder="1" applyFont="1" applyNumberFormat="1"/>
    <xf borderId="1" fillId="0" fontId="2" numFmtId="9" xfId="0" applyAlignment="1" applyBorder="1" applyFont="1" applyNumberFormat="1">
      <alignment readingOrder="0"/>
    </xf>
    <xf borderId="0" fillId="0" fontId="2" numFmtId="9" xfId="0" applyFont="1" applyNumberFormat="1"/>
    <xf borderId="1" fillId="0" fontId="2" numFmtId="0" xfId="0" applyAlignment="1" applyBorder="1" applyFont="1">
      <alignment readingOrder="0"/>
    </xf>
    <xf borderId="1" fillId="6" fontId="4" numFmtId="3" xfId="0" applyAlignment="1" applyBorder="1" applyFill="1" applyFont="1" applyNumberFormat="1">
      <alignment horizontal="right" shrinkToFit="0" vertical="center" wrapText="1"/>
    </xf>
    <xf borderId="1" fillId="7" fontId="4" numFmtId="3" xfId="0" applyBorder="1" applyFill="1" applyFont="1" applyNumberFormat="1"/>
    <xf borderId="1" fillId="6" fontId="2" numFmtId="164" xfId="0" applyAlignment="1" applyBorder="1" applyFont="1" applyNumberFormat="1">
      <alignment horizontal="right" shrinkToFit="0" vertical="center" wrapText="1"/>
    </xf>
    <xf borderId="1" fillId="7" fontId="2" numFmtId="164" xfId="0" applyAlignment="1" applyBorder="1" applyFont="1" applyNumberFormat="1">
      <alignment horizontal="right" shrinkToFit="0" vertical="center" wrapText="1"/>
    </xf>
    <xf borderId="2" fillId="0" fontId="2" numFmtId="0" xfId="0" applyAlignment="1" applyBorder="1" applyFont="1">
      <alignment horizontal="left"/>
    </xf>
    <xf borderId="1" fillId="0" fontId="4" numFmtId="0" xfId="0" applyAlignment="1" applyBorder="1" applyFont="1">
      <alignment horizontal="center" shrinkToFit="0" vertical="center" wrapText="1"/>
    </xf>
    <xf borderId="5" fillId="2" fontId="4" numFmtId="0" xfId="0" applyBorder="1" applyFont="1"/>
    <xf borderId="5" fillId="2" fontId="2" numFmtId="0" xfId="0" applyAlignment="1" applyBorder="1" applyFont="1">
      <alignment horizontal="center" vertical="center"/>
    </xf>
    <xf borderId="1" fillId="4" fontId="2" numFmtId="9" xfId="0" applyBorder="1" applyFont="1" applyNumberFormat="1"/>
    <xf borderId="1" fillId="5" fontId="2" numFmtId="164" xfId="0" applyBorder="1" applyFont="1" applyNumberFormat="1"/>
    <xf borderId="1" fillId="4" fontId="2" numFmtId="166" xfId="0" applyBorder="1" applyFont="1" applyNumberFormat="1"/>
    <xf borderId="1" fillId="4" fontId="4" numFmtId="165" xfId="0" applyAlignment="1" applyBorder="1" applyFont="1" applyNumberFormat="1">
      <alignment horizontal="right" shrinkToFit="0" vertical="center" wrapText="1"/>
    </xf>
    <xf borderId="1" fillId="5" fontId="4" numFmtId="165" xfId="0" applyBorder="1" applyFont="1" applyNumberFormat="1"/>
    <xf borderId="1" fillId="5" fontId="4" numFmtId="0" xfId="0" applyBorder="1" applyFont="1"/>
    <xf borderId="1" fillId="0" fontId="1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readingOrder="0"/>
    </xf>
    <xf borderId="1" fillId="6" fontId="4" numFmtId="3" xfId="0" applyBorder="1" applyFont="1" applyNumberFormat="1"/>
    <xf borderId="0" fillId="0" fontId="1" numFmtId="0" xfId="0" applyAlignment="1" applyFont="1">
      <alignment horizontal="center" vertical="center"/>
    </xf>
    <xf borderId="1" fillId="4" fontId="2" numFmtId="167" xfId="0" applyBorder="1" applyFont="1" applyNumberFormat="1"/>
    <xf borderId="0" fillId="0" fontId="4" numFmtId="4" xfId="0" applyFont="1" applyNumberFormat="1"/>
    <xf borderId="1" fillId="0" fontId="7" numFmtId="0" xfId="0" applyAlignment="1" applyBorder="1" applyFont="1">
      <alignment shrinkToFit="0" vertical="bottom" wrapText="0"/>
    </xf>
    <xf borderId="1" fillId="0" fontId="7" numFmtId="0" xfId="0" applyAlignment="1" applyBorder="1" applyFont="1">
      <alignment horizontal="right" readingOrder="0" shrinkToFit="0" vertical="bottom" wrapText="0"/>
    </xf>
    <xf borderId="1" fillId="6" fontId="7" numFmtId="0" xfId="0" applyAlignment="1" applyBorder="1" applyFont="1">
      <alignment horizontal="right" readingOrder="0" shrinkToFit="0" vertical="bottom" wrapText="0"/>
    </xf>
    <xf borderId="1" fillId="7" fontId="7" numFmtId="0" xfId="0" applyAlignment="1" applyBorder="1" applyFont="1">
      <alignment horizontal="right" readingOrder="0" shrinkToFit="0" vertical="bottom" wrapText="0"/>
    </xf>
    <xf borderId="1" fillId="0" fontId="7" numFmtId="0" xfId="0" applyAlignment="1" applyBorder="1" applyFont="1">
      <alignment readingOrder="0" shrinkToFit="0" vertical="bottom" wrapText="0"/>
    </xf>
    <xf borderId="1" fillId="0" fontId="8" numFmtId="0" xfId="0" applyAlignment="1" applyBorder="1" applyFont="1">
      <alignment readingOrder="0" shrinkToFit="0" vertical="bottom" wrapText="0"/>
    </xf>
    <xf borderId="1" fillId="0" fontId="7" numFmtId="164" xfId="0" applyAlignment="1" applyBorder="1" applyFont="1" applyNumberFormat="1">
      <alignment horizontal="right" readingOrder="0" shrinkToFit="0" vertical="bottom" wrapText="0"/>
    </xf>
    <xf borderId="1" fillId="0" fontId="7" numFmtId="3" xfId="0" applyAlignment="1" applyBorder="1" applyFont="1" applyNumberFormat="1">
      <alignment horizontal="right" readingOrder="0" shrinkToFit="0" vertical="bottom" wrapText="0"/>
    </xf>
    <xf borderId="1" fillId="0" fontId="7" numFmtId="3" xfId="0" applyAlignment="1" applyBorder="1" applyFont="1" applyNumberFormat="1">
      <alignment readingOrder="0" shrinkToFit="0" vertical="bottom" wrapText="0"/>
    </xf>
    <xf borderId="1" fillId="4" fontId="7" numFmtId="164" xfId="0" applyAlignment="1" applyBorder="1" applyFont="1" applyNumberFormat="1">
      <alignment horizontal="right" readingOrder="0" shrinkToFit="0" vertical="bottom" wrapText="0"/>
    </xf>
    <xf borderId="1" fillId="6" fontId="7" numFmtId="164" xfId="0" applyAlignment="1" applyBorder="1" applyFont="1" applyNumberFormat="1">
      <alignment horizontal="right" readingOrder="0" shrinkToFit="0" vertical="bottom" wrapText="0"/>
    </xf>
    <xf borderId="1" fillId="7" fontId="7" numFmtId="164" xfId="0" applyAlignment="1" applyBorder="1" applyFont="1" applyNumberFormat="1">
      <alignment horizontal="right" readingOrder="0" shrinkToFit="0" vertical="bottom" wrapText="0"/>
    </xf>
    <xf borderId="1" fillId="5" fontId="7" numFmtId="164" xfId="0" applyAlignment="1" applyBorder="1" applyFont="1" applyNumberFormat="1">
      <alignment shrinkToFit="0" vertical="bottom" wrapText="0"/>
    </xf>
    <xf borderId="0" fillId="0" fontId="6" numFmtId="0" xfId="0" applyAlignment="1" applyFont="1">
      <alignment readingOrder="0"/>
    </xf>
    <xf borderId="0" fillId="0" fontId="9" numFmtId="4" xfId="0" applyFont="1" applyNumberFormat="1"/>
    <xf borderId="0" fillId="0" fontId="10" numFmtId="0" xfId="0" applyFont="1"/>
    <xf borderId="1" fillId="0" fontId="11" numFmtId="0" xfId="0" applyBorder="1" applyFont="1"/>
    <xf borderId="1" fillId="0" fontId="12" numFmtId="0" xfId="0" applyAlignment="1" applyBorder="1" applyFont="1">
      <alignment readingOrder="0"/>
    </xf>
    <xf borderId="0" fillId="0" fontId="2" numFmtId="3" xfId="0" applyAlignment="1" applyFont="1" applyNumberFormat="1">
      <alignment readingOrder="0"/>
    </xf>
    <xf borderId="6" fillId="0" fontId="11" numFmtId="0" xfId="0" applyBorder="1" applyFont="1"/>
    <xf borderId="0" fillId="0" fontId="11" numFmtId="3" xfId="0" applyFont="1" applyNumberFormat="1"/>
    <xf borderId="1" fillId="0" fontId="11" numFmtId="0" xfId="0" applyAlignment="1" applyBorder="1" applyFont="1">
      <alignment readingOrder="0"/>
    </xf>
    <xf borderId="0" fillId="0" fontId="13" numFmtId="0" xfId="0" applyAlignment="1" applyFont="1">
      <alignment readingOrder="0" shrinkToFit="0" vertical="bottom" wrapText="0"/>
    </xf>
    <xf borderId="1" fillId="8" fontId="13" numFmtId="9" xfId="0" applyAlignment="1" applyBorder="1" applyFill="1" applyFont="1" applyNumberFormat="1">
      <alignment horizontal="center" readingOrder="0" shrinkToFit="0" wrapText="0"/>
    </xf>
    <xf borderId="0" fillId="0" fontId="14" numFmtId="0" xfId="0" applyAlignment="1" applyFont="1">
      <alignment shrinkToFit="0" vertical="bottom" wrapText="0"/>
    </xf>
    <xf borderId="0" fillId="0" fontId="15" numFmtId="0" xfId="0" applyAlignment="1" applyFont="1">
      <alignment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0" fontId="13" numFmtId="0" xfId="0" applyAlignment="1" applyFont="1">
      <alignment horizontal="center" shrinkToFit="0" vertical="bottom" wrapText="0"/>
    </xf>
    <xf borderId="0" fillId="0" fontId="13" numFmtId="0" xfId="0" applyAlignment="1" applyFont="1">
      <alignment shrinkToFit="0" vertical="bottom" wrapText="0"/>
    </xf>
    <xf borderId="1" fillId="0" fontId="14" numFmtId="3" xfId="0" applyAlignment="1" applyBorder="1" applyFont="1" applyNumberFormat="1">
      <alignment horizontal="center" readingOrder="0" shrinkToFit="0" vertical="bottom" wrapText="0"/>
    </xf>
    <xf borderId="1" fillId="0" fontId="14" numFmtId="0" xfId="0" applyAlignment="1" applyBorder="1" applyFont="1">
      <alignment readingOrder="0" shrinkToFit="0" vertical="bottom" wrapText="0"/>
    </xf>
    <xf borderId="1" fillId="6" fontId="14" numFmtId="164" xfId="0" applyAlignment="1" applyBorder="1" applyFont="1" applyNumberFormat="1">
      <alignment horizontal="center" readingOrder="0" shrinkToFit="0" vertical="bottom" wrapText="0"/>
    </xf>
    <xf borderId="1" fillId="6" fontId="14" numFmtId="3" xfId="0" applyAlignment="1" applyBorder="1" applyFont="1" applyNumberFormat="1">
      <alignment horizontal="center" readingOrder="0" shrinkToFit="0" vertical="bottom" wrapText="0"/>
    </xf>
    <xf borderId="0" fillId="0" fontId="14" numFmtId="0" xfId="0" applyAlignment="1" applyFont="1">
      <alignment shrinkToFit="0" vertical="bottom" wrapText="0"/>
    </xf>
    <xf borderId="0" fillId="0" fontId="14" numFmtId="0" xfId="0" applyAlignment="1" applyFont="1">
      <alignment horizontal="center" shrinkToFit="0" vertical="bottom" wrapText="0"/>
    </xf>
    <xf borderId="1" fillId="8" fontId="13" numFmtId="168" xfId="0" applyAlignment="1" applyBorder="1" applyFont="1" applyNumberFormat="1">
      <alignment horizontal="center" readingOrder="0" shrinkToFit="0" vertical="bottom" wrapText="0"/>
    </xf>
    <xf borderId="1" fillId="0" fontId="14" numFmtId="2" xfId="0" applyAlignment="1" applyBorder="1" applyFont="1" applyNumberFormat="1">
      <alignment horizontal="center" readingOrder="0" shrinkToFit="0" vertical="bottom" wrapText="0"/>
    </xf>
    <xf borderId="0" fillId="0" fontId="13" numFmtId="0" xfId="0" applyAlignment="1" applyFont="1">
      <alignment horizontal="center" readingOrder="0" shrinkToFit="0" vertical="bottom" wrapText="0"/>
    </xf>
    <xf borderId="7" fillId="6" fontId="14" numFmtId="3" xfId="0" applyAlignment="1" applyBorder="1" applyFont="1" applyNumberFormat="1">
      <alignment horizontal="center" shrinkToFit="0" vertical="bottom" wrapText="0"/>
    </xf>
    <xf borderId="8" fillId="6" fontId="14" numFmtId="3" xfId="0" applyAlignment="1" applyBorder="1" applyFont="1" applyNumberFormat="1">
      <alignment horizontal="center" shrinkToFit="0" vertical="bottom" wrapText="0"/>
    </xf>
    <xf borderId="8" fillId="0" fontId="14" numFmtId="3" xfId="0" applyAlignment="1" applyBorder="1" applyFont="1" applyNumberFormat="1">
      <alignment horizontal="center" shrinkToFit="0" vertical="bottom" wrapText="0"/>
    </xf>
    <xf borderId="0" fillId="0" fontId="13" numFmtId="0" xfId="0" applyAlignment="1" applyFont="1">
      <alignment horizontal="right" shrinkToFit="0" vertical="bottom" wrapText="0"/>
    </xf>
    <xf borderId="1" fillId="0" fontId="13" numFmtId="0" xfId="0" applyAlignment="1" applyBorder="1" applyFont="1">
      <alignment readingOrder="0" shrinkToFit="0" wrapText="0"/>
    </xf>
    <xf borderId="4" fillId="9" fontId="14" numFmtId="3" xfId="0" applyAlignment="1" applyBorder="1" applyFill="1" applyFont="1" applyNumberFormat="1">
      <alignment horizontal="center" readingOrder="0" shrinkToFit="0" wrapText="0"/>
    </xf>
    <xf borderId="2" fillId="0" fontId="13" numFmtId="0" xfId="0" applyAlignment="1" applyBorder="1" applyFont="1">
      <alignment readingOrder="0" shrinkToFit="0" wrapText="0"/>
    </xf>
    <xf borderId="1" fillId="9" fontId="14" numFmtId="9" xfId="0" applyAlignment="1" applyBorder="1" applyFont="1" applyNumberFormat="1">
      <alignment horizontal="center" readingOrder="0" shrinkToFit="0" wrapText="0"/>
    </xf>
    <xf borderId="2" fillId="0" fontId="16" numFmtId="0" xfId="0" applyAlignment="1" applyBorder="1" applyFont="1">
      <alignment horizontal="center" readingOrder="0"/>
    </xf>
    <xf borderId="1" fillId="0" fontId="17" numFmtId="0" xfId="0" applyBorder="1" applyFont="1"/>
    <xf borderId="1" fillId="0" fontId="17" numFmtId="0" xfId="0" applyAlignment="1" applyBorder="1" applyFont="1">
      <alignment readingOrder="0"/>
    </xf>
    <xf borderId="9" fillId="0" fontId="17" numFmtId="169" xfId="0" applyAlignment="1" applyBorder="1" applyFont="1" applyNumberFormat="1">
      <alignment horizontal="right" readingOrder="0" vertical="center"/>
    </xf>
    <xf borderId="1" fillId="0" fontId="17" numFmtId="3" xfId="0" applyBorder="1" applyFont="1" applyNumberFormat="1"/>
    <xf borderId="1" fillId="0" fontId="17" numFmtId="3" xfId="0" applyAlignment="1" applyBorder="1" applyFont="1" applyNumberFormat="1">
      <alignment horizontal="right" readingOrder="0" shrinkToFit="0" vertical="center" wrapText="1"/>
    </xf>
    <xf borderId="10" fillId="0" fontId="17" numFmtId="3" xfId="0" applyAlignment="1" applyBorder="1" applyFont="1" applyNumberFormat="1">
      <alignment horizontal="center" readingOrder="0" shrinkToFit="0" vertical="center" wrapText="1"/>
    </xf>
    <xf borderId="11" fillId="0" fontId="5" numFmtId="0" xfId="0" applyBorder="1" applyFont="1"/>
    <xf borderId="12" fillId="0" fontId="5" numFmtId="0" xfId="0" applyBorder="1" applyFont="1"/>
    <xf borderId="13" fillId="0" fontId="5" numFmtId="0" xfId="0" applyBorder="1" applyFont="1"/>
    <xf borderId="14" fillId="0" fontId="5" numFmtId="0" xfId="0" applyBorder="1" applyFont="1"/>
    <xf borderId="6" fillId="0" fontId="5" numFmtId="0" xfId="0" applyBorder="1" applyFont="1"/>
    <xf borderId="8" fillId="0" fontId="5" numFmtId="0" xfId="0" applyBorder="1" applyFont="1"/>
    <xf borderId="7" fillId="0" fontId="5" numFmtId="0" xfId="0" applyBorder="1" applyFont="1"/>
    <xf borderId="1" fillId="0" fontId="17" numFmtId="3" xfId="0" applyAlignment="1" applyBorder="1" applyFont="1" applyNumberFormat="1">
      <alignment horizontal="right"/>
    </xf>
    <xf borderId="1" fillId="0" fontId="17" numFmtId="4" xfId="0" applyAlignment="1" applyBorder="1" applyFont="1" applyNumberFormat="1">
      <alignment readingOrder="0"/>
    </xf>
    <xf borderId="1" fillId="0" fontId="17" numFmtId="169" xfId="0" applyBorder="1" applyFont="1" applyNumberFormat="1"/>
    <xf borderId="1" fillId="0" fontId="17" numFmtId="4" xfId="0" applyBorder="1" applyFont="1" applyNumberFormat="1"/>
    <xf borderId="0" fillId="0" fontId="17" numFmtId="0" xfId="0" applyFont="1"/>
    <xf borderId="0" fillId="0" fontId="17" numFmtId="0" xfId="0" applyAlignment="1" applyFont="1">
      <alignment vertical="bottom"/>
    </xf>
    <xf borderId="0" fillId="0" fontId="18" numFmtId="0" xfId="0" applyAlignment="1" applyFont="1">
      <alignment vertical="bottom"/>
    </xf>
    <xf borderId="2" fillId="0" fontId="17" numFmtId="0" xfId="0" applyAlignment="1" applyBorder="1" applyFont="1">
      <alignment horizontal="center"/>
    </xf>
    <xf borderId="1" fillId="0" fontId="19" numFmtId="0" xfId="0" applyAlignment="1" applyBorder="1" applyFont="1">
      <alignment horizontal="center" shrinkToFit="0" vertical="center" wrapText="1"/>
    </xf>
    <xf borderId="1" fillId="0" fontId="17" numFmtId="0" xfId="0" applyAlignment="1" applyBorder="1" applyFont="1">
      <alignment horizontal="center" vertical="center"/>
    </xf>
    <xf borderId="0" fillId="0" fontId="17" numFmtId="0" xfId="0" applyAlignment="1" applyFont="1">
      <alignment vertical="center"/>
    </xf>
    <xf borderId="1" fillId="0" fontId="17" numFmtId="0" xfId="0" applyAlignment="1" applyBorder="1" applyFont="1">
      <alignment vertical="center"/>
    </xf>
    <xf borderId="1" fillId="0" fontId="19" numFmtId="0" xfId="0" applyAlignment="1" applyBorder="1" applyFont="1">
      <alignment horizontal="center" shrinkToFit="0" vertical="bottom" wrapText="1"/>
    </xf>
    <xf borderId="1" fillId="0" fontId="19" numFmtId="3" xfId="0" applyAlignment="1" applyBorder="1" applyFont="1" applyNumberFormat="1">
      <alignment horizontal="center" shrinkToFit="0" vertical="bottom" wrapText="1"/>
    </xf>
    <xf borderId="1" fillId="0" fontId="17" numFmtId="3" xfId="0" applyAlignment="1" applyBorder="1" applyFont="1" applyNumberFormat="1">
      <alignment horizontal="center" vertical="bottom"/>
    </xf>
    <xf borderId="2" fillId="0" fontId="17" numFmtId="0" xfId="0" applyAlignment="1" applyBorder="1" applyFont="1">
      <alignment horizontal="center" vertical="center"/>
    </xf>
    <xf borderId="2" fillId="0" fontId="17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8.0" topLeftCell="I1" activePane="topRight" state="frozen"/>
      <selection activeCell="J2" sqref="J2" pane="topRight"/>
    </sheetView>
  </sheetViews>
  <sheetFormatPr customHeight="1" defaultColWidth="10.1" defaultRowHeight="15.0"/>
  <cols>
    <col customWidth="1" min="1" max="1" width="1.9"/>
    <col customWidth="1" min="2" max="2" width="33.9"/>
    <col customWidth="1" min="3" max="4" width="12.3"/>
    <col customWidth="1" min="5" max="5" width="11.0"/>
    <col customWidth="1" min="6" max="6" width="7.5"/>
    <col customWidth="1" min="7" max="7" width="10.8"/>
    <col customWidth="1" min="8" max="8" width="23.4"/>
    <col customWidth="1" min="9" max="9" width="27.6"/>
    <col customWidth="1" min="10" max="16" width="10.7"/>
    <col customWidth="1" min="17" max="17" width="30.6"/>
    <col customWidth="1" min="18" max="21" width="10.7"/>
    <col customWidth="1" min="22" max="22" width="15.3"/>
    <col customWidth="1" min="23" max="23" width="26.8"/>
    <col customWidth="1" min="24" max="24" width="19.8"/>
    <col customWidth="1" min="25" max="33" width="10.5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Y1" s="2"/>
      <c r="Z1" s="2"/>
      <c r="AA1" s="2"/>
      <c r="AB1" s="2"/>
      <c r="AC1" s="2"/>
      <c r="AD1" s="2"/>
      <c r="AE1" s="2"/>
      <c r="AF1" s="2"/>
      <c r="AG1" s="2"/>
    </row>
    <row r="2" ht="12.7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3" t="s">
        <v>1</v>
      </c>
      <c r="M2" s="3"/>
      <c r="N2" s="3"/>
      <c r="O2" s="3"/>
      <c r="P2" s="2"/>
      <c r="Q2" s="2"/>
      <c r="R2" s="2"/>
      <c r="S2" s="2"/>
      <c r="T2" s="2"/>
      <c r="U2" s="2"/>
      <c r="Y2" s="2"/>
      <c r="Z2" s="2"/>
      <c r="AA2" s="2"/>
      <c r="AB2" s="2"/>
      <c r="AC2" s="2"/>
      <c r="AD2" s="2"/>
      <c r="AE2" s="2"/>
      <c r="AF2" s="2"/>
      <c r="AG2" s="2"/>
    </row>
    <row r="3" ht="12.75" customHeight="1">
      <c r="A3" s="2"/>
      <c r="B3" s="4" t="s">
        <v>2</v>
      </c>
      <c r="C3" s="5" t="s">
        <v>3</v>
      </c>
      <c r="D3" s="5" t="s">
        <v>4</v>
      </c>
      <c r="E3" s="6" t="s">
        <v>5</v>
      </c>
      <c r="F3" s="6" t="s">
        <v>6</v>
      </c>
      <c r="G3" s="6" t="s">
        <v>7</v>
      </c>
      <c r="H3" s="7"/>
      <c r="I3" s="8" t="s">
        <v>8</v>
      </c>
      <c r="J3" s="2"/>
      <c r="K3" s="3" t="str">
        <f t="shared" ref="K3:L3" si="1">IF(K23-K43=0,"OK","CHECK!")</f>
        <v>OK</v>
      </c>
      <c r="L3" s="3" t="str">
        <f t="shared" si="1"/>
        <v>OK</v>
      </c>
      <c r="M3" s="3"/>
      <c r="N3" s="3"/>
      <c r="O3" s="3"/>
      <c r="P3" s="2"/>
      <c r="Q3" s="8" t="s">
        <v>9</v>
      </c>
      <c r="R3" s="2"/>
      <c r="S3" s="2"/>
      <c r="T3" s="2"/>
      <c r="U3" s="2"/>
      <c r="W3" s="2"/>
    </row>
    <row r="4" ht="12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W4" s="2"/>
    </row>
    <row r="5" ht="12.75" customHeight="1">
      <c r="A5" s="2"/>
      <c r="B5" s="9" t="s">
        <v>10</v>
      </c>
      <c r="C5" s="10"/>
      <c r="D5" s="11"/>
      <c r="E5" s="12"/>
      <c r="F5" s="12"/>
      <c r="G5" s="12"/>
      <c r="H5" s="2"/>
      <c r="I5" s="13" t="s">
        <v>11</v>
      </c>
      <c r="J5" s="14"/>
      <c r="K5" s="13" t="s">
        <v>3</v>
      </c>
      <c r="L5" s="13" t="s">
        <v>4</v>
      </c>
      <c r="M5" s="15" t="s">
        <v>5</v>
      </c>
      <c r="N5" s="15" t="s">
        <v>6</v>
      </c>
      <c r="O5" s="15" t="s">
        <v>7</v>
      </c>
      <c r="P5" s="2"/>
      <c r="Q5" s="13" t="s">
        <v>12</v>
      </c>
      <c r="R5" s="13" t="s">
        <v>3</v>
      </c>
      <c r="S5" s="13" t="s">
        <v>4</v>
      </c>
      <c r="T5" s="16" t="s">
        <v>5</v>
      </c>
      <c r="U5" s="16" t="s">
        <v>6</v>
      </c>
      <c r="V5" s="16" t="s">
        <v>7</v>
      </c>
    </row>
    <row r="6" ht="12.75" customHeight="1">
      <c r="A6" s="2"/>
      <c r="B6" s="12" t="s">
        <v>13</v>
      </c>
      <c r="C6" s="17">
        <f>3000000</f>
        <v>3000000</v>
      </c>
      <c r="D6" s="17"/>
      <c r="E6" s="17">
        <f t="shared" ref="E6:G6" si="2">0</f>
        <v>0</v>
      </c>
      <c r="F6" s="17">
        <f t="shared" si="2"/>
        <v>0</v>
      </c>
      <c r="G6" s="17">
        <f t="shared" si="2"/>
        <v>0</v>
      </c>
      <c r="H6" s="18"/>
      <c r="I6" s="19" t="s">
        <v>14</v>
      </c>
      <c r="J6" s="20"/>
      <c r="K6" s="21"/>
      <c r="L6" s="21"/>
      <c r="M6" s="21"/>
      <c r="N6" s="21"/>
      <c r="O6" s="21"/>
      <c r="P6" s="2"/>
      <c r="Q6" s="22" t="s">
        <v>15</v>
      </c>
      <c r="R6" s="23">
        <f t="shared" ref="R6:V6" si="3">C12</f>
        <v>17160000</v>
      </c>
      <c r="S6" s="23">
        <f t="shared" si="3"/>
        <v>21054000</v>
      </c>
      <c r="T6" s="24">
        <f t="shared" si="3"/>
        <v>27152400</v>
      </c>
      <c r="U6" s="24">
        <f t="shared" si="3"/>
        <v>29867640</v>
      </c>
      <c r="V6" s="24">
        <f t="shared" si="3"/>
        <v>32854404</v>
      </c>
    </row>
    <row r="7" ht="12.75" customHeight="1">
      <c r="A7" s="2"/>
      <c r="B7" s="12" t="s">
        <v>16</v>
      </c>
      <c r="C7" s="17">
        <f t="shared" ref="C7:G7" si="4">0</f>
        <v>0</v>
      </c>
      <c r="D7" s="17">
        <f t="shared" si="4"/>
        <v>0</v>
      </c>
      <c r="E7" s="17">
        <f t="shared" si="4"/>
        <v>0</v>
      </c>
      <c r="F7" s="17">
        <f t="shared" si="4"/>
        <v>0</v>
      </c>
      <c r="G7" s="17">
        <f t="shared" si="4"/>
        <v>0</v>
      </c>
      <c r="H7" s="18"/>
      <c r="I7" s="22" t="s">
        <v>17</v>
      </c>
      <c r="J7" s="25" t="s">
        <v>18</v>
      </c>
      <c r="K7" s="26"/>
      <c r="L7" s="26"/>
      <c r="M7" s="26"/>
      <c r="N7" s="26"/>
      <c r="O7" s="26"/>
      <c r="P7" s="2"/>
      <c r="Q7" s="22" t="s">
        <v>19</v>
      </c>
      <c r="R7" s="27">
        <f t="shared" ref="R7:V7" si="5">-C13</f>
        <v>-10846025.41</v>
      </c>
      <c r="S7" s="27">
        <f t="shared" si="5"/>
        <v>-12025484.48</v>
      </c>
      <c r="T7" s="27">
        <f t="shared" si="5"/>
        <v>-13347668.73</v>
      </c>
      <c r="U7" s="27">
        <f t="shared" si="5"/>
        <v>-14817937.61</v>
      </c>
      <c r="V7" s="27">
        <f t="shared" si="5"/>
        <v>-16452876.6</v>
      </c>
    </row>
    <row r="8" ht="12.75" customHeight="1">
      <c r="A8" s="2"/>
      <c r="B8" s="12" t="s">
        <v>20</v>
      </c>
      <c r="C8" s="28">
        <v>0.1</v>
      </c>
      <c r="D8" s="28">
        <v>0.1</v>
      </c>
      <c r="E8" s="12"/>
      <c r="F8" s="12"/>
      <c r="G8" s="12"/>
      <c r="H8" s="2"/>
      <c r="I8" s="22" t="s">
        <v>21</v>
      </c>
      <c r="J8" s="25" t="s">
        <v>22</v>
      </c>
      <c r="K8" s="26"/>
      <c r="L8" s="26"/>
      <c r="M8" s="26"/>
      <c r="N8" s="26"/>
      <c r="O8" s="26"/>
      <c r="P8" s="2"/>
      <c r="Q8" s="19" t="s">
        <v>23</v>
      </c>
      <c r="R8" s="29">
        <f t="shared" ref="R8:V8" si="6">R6+R7</f>
        <v>6313974.592</v>
      </c>
      <c r="S8" s="29">
        <f t="shared" si="6"/>
        <v>9028515.52</v>
      </c>
      <c r="T8" s="30">
        <f t="shared" si="6"/>
        <v>13804731.27</v>
      </c>
      <c r="U8" s="30">
        <f t="shared" si="6"/>
        <v>15049702.39</v>
      </c>
      <c r="V8" s="30">
        <f t="shared" si="6"/>
        <v>16401527.4</v>
      </c>
    </row>
    <row r="9" ht="12.75" customHeight="1">
      <c r="A9" s="2"/>
      <c r="B9" s="12" t="s">
        <v>24</v>
      </c>
      <c r="C9" s="17">
        <f t="shared" ref="C9:D9" si="7">0</f>
        <v>0</v>
      </c>
      <c r="D9" s="17">
        <f t="shared" si="7"/>
        <v>0</v>
      </c>
      <c r="E9" s="17">
        <f>D9</f>
        <v>0</v>
      </c>
      <c r="F9" s="12"/>
      <c r="G9" s="12"/>
      <c r="H9" s="2"/>
      <c r="I9" s="22" t="s">
        <v>25</v>
      </c>
      <c r="J9" s="25" t="s">
        <v>26</v>
      </c>
      <c r="K9" s="26">
        <f>C24-C17</f>
        <v>881072</v>
      </c>
      <c r="L9" s="26">
        <f t="shared" ref="L9:O9" si="8">K9-D17</f>
        <v>660804</v>
      </c>
      <c r="M9" s="26">
        <f t="shared" si="8"/>
        <v>440536</v>
      </c>
      <c r="N9" s="26">
        <f t="shared" si="8"/>
        <v>220268</v>
      </c>
      <c r="O9" s="26">
        <f t="shared" si="8"/>
        <v>0</v>
      </c>
      <c r="P9" s="2"/>
      <c r="Q9" s="22" t="s">
        <v>27</v>
      </c>
      <c r="R9" s="27">
        <f t="shared" ref="R9:V9" si="9">-C14</f>
        <v>-1267926.66</v>
      </c>
      <c r="S9" s="27">
        <f t="shared" si="9"/>
        <v>-1408666.519</v>
      </c>
      <c r="T9" s="27">
        <f t="shared" si="9"/>
        <v>-1566437.169</v>
      </c>
      <c r="U9" s="27">
        <f t="shared" si="9"/>
        <v>-1741878.132</v>
      </c>
      <c r="V9" s="27">
        <f t="shared" si="9"/>
        <v>-1936968.483</v>
      </c>
    </row>
    <row r="10" ht="12.75" customHeight="1">
      <c r="A10" s="2"/>
      <c r="B10" s="2"/>
      <c r="C10" s="2"/>
      <c r="D10" s="2"/>
      <c r="E10" s="2"/>
      <c r="F10" s="2"/>
      <c r="G10" s="2"/>
      <c r="H10" s="2"/>
      <c r="I10" s="22" t="s">
        <v>28</v>
      </c>
      <c r="J10" s="25" t="s">
        <v>29</v>
      </c>
      <c r="K10" s="26"/>
      <c r="L10" s="26"/>
      <c r="M10" s="26"/>
      <c r="N10" s="26"/>
      <c r="O10" s="26"/>
      <c r="P10" s="2"/>
      <c r="Q10" s="22" t="s">
        <v>30</v>
      </c>
      <c r="R10" s="27">
        <f t="shared" ref="R10:V10" si="10">-C15</f>
        <v>-7039370.8</v>
      </c>
      <c r="S10" s="27">
        <f t="shared" si="10"/>
        <v>-7813707.711</v>
      </c>
      <c r="T10" s="27">
        <f t="shared" si="10"/>
        <v>-8680959.986</v>
      </c>
      <c r="U10" s="27">
        <f t="shared" si="10"/>
        <v>-9645033.19</v>
      </c>
      <c r="V10" s="27">
        <f t="shared" si="10"/>
        <v>-10716758.97</v>
      </c>
    </row>
    <row r="11" ht="12.75" customHeight="1">
      <c r="A11" s="2"/>
      <c r="B11" s="9" t="s">
        <v>31</v>
      </c>
      <c r="C11" s="10"/>
      <c r="D11" s="10"/>
      <c r="E11" s="10"/>
      <c r="F11" s="10"/>
      <c r="G11" s="11"/>
      <c r="H11" s="2"/>
      <c r="I11" s="22" t="s">
        <v>32</v>
      </c>
      <c r="J11" s="25" t="s">
        <v>33</v>
      </c>
      <c r="K11" s="26"/>
      <c r="L11" s="26"/>
      <c r="M11" s="26"/>
      <c r="N11" s="26"/>
      <c r="O11" s="26"/>
      <c r="P11" s="2"/>
      <c r="Q11" s="19" t="s">
        <v>34</v>
      </c>
      <c r="R11" s="31">
        <f t="shared" ref="R11:V11" si="11">R8+R9+R10</f>
        <v>-1993322.868</v>
      </c>
      <c r="S11" s="31">
        <f t="shared" si="11"/>
        <v>-193858.7103</v>
      </c>
      <c r="T11" s="30">
        <f t="shared" si="11"/>
        <v>3557334.119</v>
      </c>
      <c r="U11" s="30">
        <f t="shared" si="11"/>
        <v>3662791.07</v>
      </c>
      <c r="V11" s="30">
        <f t="shared" si="11"/>
        <v>3747799.946</v>
      </c>
    </row>
    <row r="12" ht="12.75" customHeight="1">
      <c r="A12" s="2"/>
      <c r="B12" s="12" t="s">
        <v>15</v>
      </c>
      <c r="C12" s="17">
        <f>600000*26*1.1</f>
        <v>17160000</v>
      </c>
      <c r="D12" s="17">
        <f>600000*1.1*1.1*29</f>
        <v>21054000</v>
      </c>
      <c r="E12" s="32">
        <f>600000*34*1.1*1.1*1.1</f>
        <v>27152400</v>
      </c>
      <c r="F12" s="32">
        <f t="shared" ref="F12:G12" si="12">E12*1.1</f>
        <v>29867640</v>
      </c>
      <c r="G12" s="32">
        <f t="shared" si="12"/>
        <v>32854404</v>
      </c>
      <c r="H12" s="33"/>
      <c r="I12" s="22" t="s">
        <v>35</v>
      </c>
      <c r="J12" s="25" t="s">
        <v>36</v>
      </c>
      <c r="K12" s="26"/>
      <c r="L12" s="26"/>
      <c r="M12" s="26"/>
      <c r="N12" s="26"/>
      <c r="O12" s="26"/>
      <c r="P12" s="2"/>
      <c r="Q12" s="22" t="s">
        <v>37</v>
      </c>
      <c r="R12" s="26"/>
      <c r="S12" s="26"/>
      <c r="T12" s="34"/>
      <c r="U12" s="34"/>
      <c r="V12" s="34"/>
    </row>
    <row r="13" ht="12.75" customHeight="1">
      <c r="A13" s="17">
        <f>C13</f>
        <v>10846025.41</v>
      </c>
      <c r="B13" s="12" t="s">
        <v>19</v>
      </c>
      <c r="C13" s="17">
        <f>12*salary!H5+12*salary!H6+C17</f>
        <v>10846025.41</v>
      </c>
      <c r="D13" s="35">
        <f>12*salary!P5+12*salary!P6+D17</f>
        <v>12025484.48</v>
      </c>
      <c r="E13" s="32">
        <f>12*salary!I14+12*salary!I15+E17</f>
        <v>13347668.73</v>
      </c>
      <c r="F13" s="32">
        <f>12*salary!Q14+12*salary!Q15+E17</f>
        <v>14817937.61</v>
      </c>
      <c r="G13" s="32">
        <f>12*salary!I23+12*salary!I24+E17</f>
        <v>16452876.6</v>
      </c>
      <c r="H13" s="33"/>
      <c r="I13" s="22" t="s">
        <v>38</v>
      </c>
      <c r="J13" s="25" t="s">
        <v>39</v>
      </c>
      <c r="K13" s="26"/>
      <c r="L13" s="26"/>
      <c r="M13" s="26"/>
      <c r="N13" s="26"/>
      <c r="O13" s="26"/>
      <c r="P13" s="2"/>
      <c r="Q13" s="22" t="s">
        <v>40</v>
      </c>
      <c r="R13" s="26"/>
      <c r="S13" s="26"/>
      <c r="T13" s="34"/>
      <c r="U13" s="34"/>
      <c r="V13" s="34"/>
    </row>
    <row r="14" ht="12.75" customHeight="1">
      <c r="A14" s="2"/>
      <c r="B14" s="12" t="s">
        <v>27</v>
      </c>
      <c r="C14" s="17">
        <f>12*salary!H7
</f>
        <v>1267926.66</v>
      </c>
      <c r="D14" s="17">
        <f>12*salary!P7
</f>
        <v>1408666.519</v>
      </c>
      <c r="E14" s="32">
        <f>12*salary!I16
</f>
        <v>1566437.169</v>
      </c>
      <c r="F14" s="32">
        <f>12*salary!Q16
</f>
        <v>1741878.132</v>
      </c>
      <c r="G14" s="32">
        <f>12*salary!I25
</f>
        <v>1936968.483</v>
      </c>
      <c r="H14" s="33"/>
      <c r="I14" s="19" t="s">
        <v>41</v>
      </c>
      <c r="J14" s="20" t="s">
        <v>42</v>
      </c>
      <c r="K14" s="31">
        <f t="shared" ref="K14:O14" si="13">SUM(K6:K13)</f>
        <v>881072</v>
      </c>
      <c r="L14" s="31">
        <f t="shared" si="13"/>
        <v>660804</v>
      </c>
      <c r="M14" s="31">
        <f t="shared" si="13"/>
        <v>440536</v>
      </c>
      <c r="N14" s="31">
        <f t="shared" si="13"/>
        <v>220268</v>
      </c>
      <c r="O14" s="31">
        <f t="shared" si="13"/>
        <v>0</v>
      </c>
      <c r="P14" s="2"/>
      <c r="Q14" s="22" t="s">
        <v>43</v>
      </c>
      <c r="R14" s="27"/>
      <c r="S14" s="27"/>
      <c r="T14" s="34"/>
      <c r="U14" s="34"/>
      <c r="V14" s="34"/>
    </row>
    <row r="15" ht="12.75" customHeight="1">
      <c r="A15" s="2"/>
      <c r="B15" s="12" t="s">
        <v>30</v>
      </c>
      <c r="C15" s="17">
        <f>12*salary!H9+12*salary!H8
+12*salary!H10+'inflation consideration'!H8+'inflation consideration'!H7</f>
        <v>7039370.8</v>
      </c>
      <c r="D15" s="17">
        <f>12*salary!P8+12*salary!P9
+12*salary!P10+'inflation consideration'!I8+'inflation consideration'!I7</f>
        <v>7813707.711</v>
      </c>
      <c r="E15" s="32">
        <f>12*salary!I17+12*salary!I18+12*salary!I19+'inflation consideration'!J7+'inflation consideration'!J8</f>
        <v>8680959.986</v>
      </c>
      <c r="F15" s="32">
        <f>12*salary!Q17+12*salary!Q18+12*salary!Q19+'inflation consideration'!K7+'inflation consideration'!K8</f>
        <v>9645033.19</v>
      </c>
      <c r="G15" s="32">
        <f>12*salary!I26+12*salary!I27+12*salary!I28+'inflation consideration'!L8+'inflation consideration'!L7</f>
        <v>10716758.97</v>
      </c>
      <c r="H15" s="33"/>
      <c r="I15" s="19" t="s">
        <v>44</v>
      </c>
      <c r="J15" s="20"/>
      <c r="K15" s="26"/>
      <c r="L15" s="26"/>
      <c r="M15" s="26"/>
      <c r="N15" s="26"/>
      <c r="O15" s="26"/>
      <c r="P15" s="2"/>
      <c r="Q15" s="12" t="s">
        <v>45</v>
      </c>
      <c r="R15" s="26"/>
      <c r="S15" s="26"/>
      <c r="T15" s="34"/>
      <c r="U15" s="34"/>
      <c r="V15" s="34"/>
    </row>
    <row r="16" ht="12.75" customHeight="1">
      <c r="A16" s="2"/>
      <c r="B16" s="12" t="s">
        <v>46</v>
      </c>
      <c r="C16" s="28">
        <f t="shared" ref="C16:D16" si="14">0</f>
        <v>0</v>
      </c>
      <c r="D16" s="28">
        <f t="shared" si="14"/>
        <v>0</v>
      </c>
      <c r="E16" s="28">
        <f t="shared" ref="E16:G16" si="15">0.25</f>
        <v>0.25</v>
      </c>
      <c r="F16" s="28">
        <f t="shared" si="15"/>
        <v>0.25</v>
      </c>
      <c r="G16" s="36">
        <f t="shared" si="15"/>
        <v>0.25</v>
      </c>
      <c r="H16" s="37"/>
      <c r="I16" s="22" t="s">
        <v>47</v>
      </c>
      <c r="J16" s="25" t="s">
        <v>48</v>
      </c>
      <c r="K16" s="26">
        <f t="shared" ref="K16:L16" si="16">C18</f>
        <v>0</v>
      </c>
      <c r="L16" s="26">
        <f t="shared" si="16"/>
        <v>0</v>
      </c>
      <c r="M16" s="26">
        <f t="shared" ref="M16:O16" si="17">0</f>
        <v>0</v>
      </c>
      <c r="N16" s="26">
        <f t="shared" si="17"/>
        <v>0</v>
      </c>
      <c r="O16" s="26">
        <f t="shared" si="17"/>
        <v>0</v>
      </c>
      <c r="P16" s="2"/>
      <c r="Q16" s="12" t="s">
        <v>49</v>
      </c>
      <c r="R16" s="26"/>
      <c r="S16" s="26"/>
      <c r="T16" s="34"/>
      <c r="U16" s="34"/>
      <c r="V16" s="34"/>
    </row>
    <row r="17" ht="12.75" customHeight="1">
      <c r="A17" s="2"/>
      <c r="B17" s="12" t="s">
        <v>50</v>
      </c>
      <c r="C17" s="17">
        <f>0.2*C24</f>
        <v>220268</v>
      </c>
      <c r="D17" s="17">
        <f t="shared" ref="D17:G17" si="18">C17</f>
        <v>220268</v>
      </c>
      <c r="E17" s="17">
        <f t="shared" si="18"/>
        <v>220268</v>
      </c>
      <c r="F17" s="32">
        <f t="shared" si="18"/>
        <v>220268</v>
      </c>
      <c r="G17" s="32">
        <f t="shared" si="18"/>
        <v>220268</v>
      </c>
      <c r="H17" s="2"/>
      <c r="I17" s="22" t="s">
        <v>51</v>
      </c>
      <c r="J17" s="25" t="s">
        <v>52</v>
      </c>
      <c r="K17" s="26"/>
      <c r="L17" s="26"/>
      <c r="M17" s="26"/>
      <c r="N17" s="26"/>
      <c r="O17" s="26"/>
      <c r="P17" s="2"/>
      <c r="Q17" s="19" t="s">
        <v>53</v>
      </c>
      <c r="R17" s="31">
        <f t="shared" ref="R17:S17" si="19">R11+R14</f>
        <v>-1993322.868</v>
      </c>
      <c r="S17" s="31">
        <f t="shared" si="19"/>
        <v>-193858.7103</v>
      </c>
      <c r="T17" s="30">
        <f t="shared" ref="T17:V17" si="20">T11</f>
        <v>3557334.119</v>
      </c>
      <c r="U17" s="30">
        <f t="shared" si="20"/>
        <v>3662791.07</v>
      </c>
      <c r="V17" s="30">
        <f t="shared" si="20"/>
        <v>3747799.946</v>
      </c>
    </row>
    <row r="18" ht="12.75" customHeight="1">
      <c r="A18" s="2"/>
      <c r="B18" s="38" t="s">
        <v>54</v>
      </c>
      <c r="C18" s="17">
        <f t="shared" ref="C18:C20" si="24">0</f>
        <v>0</v>
      </c>
      <c r="D18" s="17">
        <f t="shared" ref="D18:F18" si="21">C18</f>
        <v>0</v>
      </c>
      <c r="E18" s="17">
        <f t="shared" si="21"/>
        <v>0</v>
      </c>
      <c r="F18" s="17">
        <f t="shared" si="21"/>
        <v>0</v>
      </c>
      <c r="G18" s="17">
        <f t="shared" ref="G18:G20" si="26">F18*1.044</f>
        <v>0</v>
      </c>
      <c r="H18" s="2"/>
      <c r="I18" s="12" t="s">
        <v>55</v>
      </c>
      <c r="J18" s="25" t="s">
        <v>56</v>
      </c>
      <c r="K18" s="26">
        <f t="shared" ref="K18:L18" si="22">C19</f>
        <v>0</v>
      </c>
      <c r="L18" s="26">
        <f t="shared" si="22"/>
        <v>0</v>
      </c>
      <c r="M18" s="26"/>
      <c r="N18" s="26"/>
      <c r="O18" s="26"/>
      <c r="P18" s="2"/>
      <c r="Q18" s="22" t="s">
        <v>46</v>
      </c>
      <c r="R18" s="27">
        <f>0</f>
        <v>0</v>
      </c>
      <c r="S18" s="27">
        <f>-S17*D16</f>
        <v>0</v>
      </c>
      <c r="T18" s="27">
        <f t="shared" ref="T18:V18" si="23">-E16*T17</f>
        <v>-889333.5297</v>
      </c>
      <c r="U18" s="27">
        <f t="shared" si="23"/>
        <v>-915697.7675</v>
      </c>
      <c r="V18" s="27">
        <f t="shared" si="23"/>
        <v>-936949.9865</v>
      </c>
    </row>
    <row r="19" ht="12.75" customHeight="1">
      <c r="A19" s="2"/>
      <c r="B19" s="12" t="s">
        <v>55</v>
      </c>
      <c r="C19" s="17">
        <f t="shared" si="24"/>
        <v>0</v>
      </c>
      <c r="D19" s="17">
        <f t="shared" ref="D19:F19" si="25">C19</f>
        <v>0</v>
      </c>
      <c r="E19" s="17">
        <f t="shared" si="25"/>
        <v>0</v>
      </c>
      <c r="F19" s="17">
        <f t="shared" si="25"/>
        <v>0</v>
      </c>
      <c r="G19" s="17">
        <f t="shared" si="26"/>
        <v>0</v>
      </c>
      <c r="H19" s="2"/>
      <c r="I19" s="22" t="s">
        <v>32</v>
      </c>
      <c r="J19" s="25" t="s">
        <v>57</v>
      </c>
      <c r="K19" s="26"/>
      <c r="L19" s="26"/>
      <c r="M19" s="26"/>
      <c r="N19" s="26"/>
      <c r="O19" s="26"/>
      <c r="P19" s="2"/>
      <c r="Q19" s="22" t="s">
        <v>58</v>
      </c>
      <c r="R19" s="26"/>
      <c r="S19" s="26"/>
      <c r="T19" s="34"/>
      <c r="U19" s="34"/>
      <c r="V19" s="34"/>
    </row>
    <row r="20" ht="12.75" customHeight="1">
      <c r="A20" s="2"/>
      <c r="B20" s="12" t="s">
        <v>59</v>
      </c>
      <c r="C20" s="17">
        <f t="shared" si="24"/>
        <v>0</v>
      </c>
      <c r="D20" s="17">
        <f>0</f>
        <v>0</v>
      </c>
      <c r="E20" s="17">
        <f t="shared" ref="E20:F20" si="27">D20</f>
        <v>0</v>
      </c>
      <c r="F20" s="17">
        <f t="shared" si="27"/>
        <v>0</v>
      </c>
      <c r="G20" s="17">
        <f t="shared" si="26"/>
        <v>0</v>
      </c>
      <c r="H20" s="2"/>
      <c r="I20" s="22" t="s">
        <v>60</v>
      </c>
      <c r="J20" s="25" t="s">
        <v>61</v>
      </c>
      <c r="K20" s="26">
        <f t="shared" ref="K20:O20" si="28">R43</f>
        <v>125605.132</v>
      </c>
      <c r="L20" s="26">
        <f t="shared" si="28"/>
        <v>152014.4217</v>
      </c>
      <c r="M20" s="26">
        <f t="shared" si="28"/>
        <v>3040283.011</v>
      </c>
      <c r="N20" s="26">
        <f t="shared" si="28"/>
        <v>6007644.313</v>
      </c>
      <c r="O20" s="26">
        <f t="shared" si="28"/>
        <v>9038762.273</v>
      </c>
      <c r="P20" s="2"/>
      <c r="Q20" s="19" t="s">
        <v>62</v>
      </c>
      <c r="R20" s="39">
        <f t="shared" ref="R20:V20" si="29">R17+R18</f>
        <v>-1993322.868</v>
      </c>
      <c r="S20" s="39">
        <f t="shared" si="29"/>
        <v>-193858.7103</v>
      </c>
      <c r="T20" s="40">
        <f t="shared" si="29"/>
        <v>2668000.589</v>
      </c>
      <c r="U20" s="40">
        <f t="shared" si="29"/>
        <v>2747093.302</v>
      </c>
      <c r="V20" s="40">
        <f t="shared" si="29"/>
        <v>2810849.96</v>
      </c>
    </row>
    <row r="21" ht="12.75" customHeight="1">
      <c r="A21" s="2"/>
      <c r="B21" s="2"/>
      <c r="C21" s="2"/>
      <c r="D21" s="2"/>
      <c r="E21" s="2"/>
      <c r="F21" s="2"/>
      <c r="G21" s="2"/>
      <c r="H21" s="2"/>
      <c r="I21" s="22" t="s">
        <v>63</v>
      </c>
      <c r="J21" s="25" t="s">
        <v>64</v>
      </c>
      <c r="K21" s="26"/>
      <c r="L21" s="26"/>
      <c r="M21" s="26"/>
      <c r="N21" s="26"/>
      <c r="O21" s="26"/>
      <c r="P21" s="2"/>
      <c r="Q21" s="22"/>
      <c r="R21" s="26"/>
      <c r="S21" s="26"/>
      <c r="T21" s="34"/>
      <c r="U21" s="34"/>
      <c r="V21" s="34"/>
    </row>
    <row r="22" ht="12.75" customHeight="1">
      <c r="A22" s="2"/>
      <c r="B22" s="2"/>
      <c r="C22" s="2"/>
      <c r="D22" s="2"/>
      <c r="E22" s="2"/>
      <c r="F22" s="2"/>
      <c r="G22" s="2"/>
      <c r="H22" s="2"/>
      <c r="I22" s="19" t="s">
        <v>65</v>
      </c>
      <c r="J22" s="20" t="s">
        <v>66</v>
      </c>
      <c r="K22" s="31">
        <f t="shared" ref="K22:O22" si="30">SUM(K16:K21)</f>
        <v>125605.132</v>
      </c>
      <c r="L22" s="31">
        <f t="shared" si="30"/>
        <v>152014.4217</v>
      </c>
      <c r="M22" s="31">
        <f t="shared" si="30"/>
        <v>3040283.011</v>
      </c>
      <c r="N22" s="31">
        <f t="shared" si="30"/>
        <v>6007644.313</v>
      </c>
      <c r="O22" s="31">
        <f t="shared" si="30"/>
        <v>9038762.273</v>
      </c>
      <c r="P22" s="2"/>
      <c r="Q22" s="22" t="s">
        <v>67</v>
      </c>
      <c r="R22" s="41">
        <f t="shared" ref="R22:V22" si="31">R17+$C$17</f>
        <v>-1773054.868</v>
      </c>
      <c r="S22" s="42">
        <f t="shared" si="31"/>
        <v>26409.28965</v>
      </c>
      <c r="T22" s="42">
        <f t="shared" si="31"/>
        <v>3777602.119</v>
      </c>
      <c r="U22" s="42">
        <f t="shared" si="31"/>
        <v>3883059.07</v>
      </c>
      <c r="V22" s="42">
        <f t="shared" si="31"/>
        <v>3968067.946</v>
      </c>
    </row>
    <row r="23" ht="12.75" customHeight="1">
      <c r="A23" s="2"/>
      <c r="B23" s="43" t="s">
        <v>68</v>
      </c>
      <c r="C23" s="10"/>
      <c r="D23" s="11"/>
      <c r="E23" s="12"/>
      <c r="F23" s="12"/>
      <c r="G23" s="12"/>
      <c r="H23" s="2"/>
      <c r="I23" s="19" t="s">
        <v>69</v>
      </c>
      <c r="J23" s="20" t="s">
        <v>70</v>
      </c>
      <c r="K23" s="31">
        <f t="shared" ref="K23:O23" si="32">K22+K14</f>
        <v>1006677.132</v>
      </c>
      <c r="L23" s="31">
        <f t="shared" si="32"/>
        <v>812818.4217</v>
      </c>
      <c r="M23" s="31">
        <f t="shared" si="32"/>
        <v>3480819.011</v>
      </c>
      <c r="N23" s="31">
        <f t="shared" si="32"/>
        <v>6227912.313</v>
      </c>
      <c r="O23" s="31">
        <f t="shared" si="32"/>
        <v>9038762.273</v>
      </c>
      <c r="P23" s="2"/>
      <c r="Q23" s="7"/>
      <c r="R23" s="2"/>
      <c r="S23" s="2"/>
      <c r="T23" s="2"/>
      <c r="U23" s="2"/>
      <c r="V23" s="2"/>
      <c r="W23" s="2"/>
    </row>
    <row r="24" ht="12.75" customHeight="1">
      <c r="A24" s="2"/>
      <c r="B24" s="12" t="s">
        <v>71</v>
      </c>
      <c r="C24" s="17">
        <f>(900000+160000)*1.039</f>
        <v>1101340</v>
      </c>
      <c r="D24" s="17">
        <f t="shared" ref="D24:G24" si="33">0</f>
        <v>0</v>
      </c>
      <c r="E24" s="17">
        <f t="shared" si="33"/>
        <v>0</v>
      </c>
      <c r="F24" s="17">
        <f t="shared" si="33"/>
        <v>0</v>
      </c>
      <c r="G24" s="17">
        <f t="shared" si="33"/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T24" s="2"/>
      <c r="U24" s="2"/>
      <c r="V24" s="2"/>
      <c r="W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44" t="s">
        <v>72</v>
      </c>
      <c r="J25" s="14"/>
      <c r="K25" s="13" t="s">
        <v>3</v>
      </c>
      <c r="L25" s="13" t="s">
        <v>4</v>
      </c>
      <c r="M25" s="15" t="s">
        <v>5</v>
      </c>
      <c r="N25" s="15" t="s">
        <v>6</v>
      </c>
      <c r="O25" s="15" t="s">
        <v>7</v>
      </c>
      <c r="P25" s="2"/>
      <c r="Q25" s="2"/>
      <c r="R25" s="2"/>
      <c r="S25" s="2"/>
      <c r="T25" s="2"/>
      <c r="U25" s="2"/>
      <c r="V25" s="2"/>
      <c r="W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19" t="s">
        <v>73</v>
      </c>
      <c r="J26" s="20"/>
      <c r="K26" s="21"/>
      <c r="L26" s="21"/>
      <c r="M26" s="21"/>
      <c r="N26" s="21"/>
      <c r="O26" s="21"/>
      <c r="P26" s="2"/>
      <c r="Q26" s="2"/>
      <c r="R26" s="2"/>
      <c r="S26" s="2"/>
      <c r="T26" s="2"/>
      <c r="U26" s="2"/>
      <c r="V26" s="2"/>
      <c r="W26" s="2"/>
    </row>
    <row r="27" ht="12.75" customHeight="1">
      <c r="A27" s="2"/>
      <c r="B27" s="45" t="s">
        <v>74</v>
      </c>
      <c r="C27" s="46" t="s">
        <v>3</v>
      </c>
      <c r="D27" s="46" t="s">
        <v>4</v>
      </c>
      <c r="E27" s="2"/>
      <c r="F27" s="2"/>
      <c r="G27" s="2"/>
      <c r="H27" s="2"/>
      <c r="I27" s="22" t="s">
        <v>75</v>
      </c>
      <c r="J27" s="25" t="s">
        <v>76</v>
      </c>
      <c r="K27" s="26">
        <f>R38</f>
        <v>3000000</v>
      </c>
      <c r="L27" s="26">
        <f>K27+D6</f>
        <v>3000000</v>
      </c>
      <c r="M27" s="26">
        <f t="shared" ref="M27:O27" si="34">L27</f>
        <v>3000000</v>
      </c>
      <c r="N27" s="26">
        <f t="shared" si="34"/>
        <v>3000000</v>
      </c>
      <c r="O27" s="26">
        <f t="shared" si="34"/>
        <v>3000000</v>
      </c>
      <c r="P27" s="2"/>
      <c r="Q27" s="8" t="s">
        <v>77</v>
      </c>
      <c r="R27" s="2"/>
      <c r="S27" s="2"/>
      <c r="T27" s="2"/>
      <c r="U27" s="2"/>
      <c r="V27" s="2"/>
      <c r="W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2" t="s">
        <v>78</v>
      </c>
      <c r="J28" s="25" t="s">
        <v>79</v>
      </c>
      <c r="K28" s="26"/>
      <c r="L28" s="26"/>
      <c r="M28" s="26"/>
      <c r="N28" s="26"/>
      <c r="O28" s="26"/>
      <c r="P28" s="2"/>
      <c r="Q28" s="2"/>
      <c r="R28" s="2"/>
      <c r="S28" s="2"/>
      <c r="T28" s="2"/>
      <c r="U28" s="2"/>
      <c r="V28" s="2"/>
      <c r="W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12" t="s">
        <v>80</v>
      </c>
      <c r="J29" s="25" t="s">
        <v>81</v>
      </c>
      <c r="K29" s="26"/>
      <c r="L29" s="26"/>
      <c r="M29" s="26"/>
      <c r="N29" s="26"/>
      <c r="O29" s="26"/>
      <c r="P29" s="2"/>
      <c r="Q29" s="13" t="s">
        <v>12</v>
      </c>
      <c r="R29" s="13" t="s">
        <v>3</v>
      </c>
      <c r="S29" s="13" t="s">
        <v>4</v>
      </c>
      <c r="T29" s="16" t="s">
        <v>5</v>
      </c>
      <c r="U29" s="16" t="s">
        <v>6</v>
      </c>
      <c r="V29" s="16" t="s">
        <v>7</v>
      </c>
      <c r="W29" s="2"/>
    </row>
    <row r="30" ht="12.75" customHeight="1">
      <c r="A30" s="2"/>
      <c r="B30" s="8" t="s">
        <v>82</v>
      </c>
      <c r="C30" s="2"/>
      <c r="D30" s="2"/>
      <c r="E30" s="2"/>
      <c r="F30" s="2"/>
      <c r="G30" s="2"/>
      <c r="H30" s="2"/>
      <c r="I30" s="22" t="s">
        <v>83</v>
      </c>
      <c r="J30" s="25" t="s">
        <v>84</v>
      </c>
      <c r="K30" s="26">
        <f>R20</f>
        <v>-1993322.868</v>
      </c>
      <c r="L30" s="26">
        <f t="shared" ref="L30:O30" si="35">K30+S20</f>
        <v>-2187181.578</v>
      </c>
      <c r="M30" s="26">
        <f t="shared" si="35"/>
        <v>480819.0106</v>
      </c>
      <c r="N30" s="26">
        <f t="shared" si="35"/>
        <v>3227912.313</v>
      </c>
      <c r="O30" s="26">
        <f t="shared" si="35"/>
        <v>6038762.273</v>
      </c>
      <c r="P30" s="2"/>
      <c r="Q30" s="22" t="s">
        <v>62</v>
      </c>
      <c r="R30" s="26">
        <f t="shared" ref="R30:V30" si="36">R20</f>
        <v>-1993322.868</v>
      </c>
      <c r="S30" s="26">
        <f t="shared" si="36"/>
        <v>-193858.7103</v>
      </c>
      <c r="T30" s="24">
        <f t="shared" si="36"/>
        <v>2668000.589</v>
      </c>
      <c r="U30" s="24">
        <f t="shared" si="36"/>
        <v>2747093.302</v>
      </c>
      <c r="V30" s="24">
        <f t="shared" si="36"/>
        <v>2810849.96</v>
      </c>
      <c r="W30" s="2"/>
    </row>
    <row r="31" ht="12.75" customHeight="1">
      <c r="A31" s="2"/>
      <c r="B31" s="12" t="s">
        <v>85</v>
      </c>
      <c r="C31" s="47"/>
      <c r="D31" s="47"/>
      <c r="E31" s="2"/>
      <c r="F31" s="2"/>
      <c r="G31" s="2"/>
      <c r="H31" s="2"/>
      <c r="I31" s="19" t="s">
        <v>86</v>
      </c>
      <c r="J31" s="20" t="s">
        <v>87</v>
      </c>
      <c r="K31" s="31">
        <f t="shared" ref="K31:O31" si="37">SUM(K27:K30)</f>
        <v>1006677.132</v>
      </c>
      <c r="L31" s="31">
        <f t="shared" si="37"/>
        <v>812818.4217</v>
      </c>
      <c r="M31" s="31">
        <f t="shared" si="37"/>
        <v>3480819.011</v>
      </c>
      <c r="N31" s="31">
        <f t="shared" si="37"/>
        <v>6227912.313</v>
      </c>
      <c r="O31" s="31">
        <f t="shared" si="37"/>
        <v>9038762.273</v>
      </c>
      <c r="P31" s="2"/>
      <c r="Q31" s="22" t="s">
        <v>88</v>
      </c>
      <c r="R31" s="26">
        <f t="shared" ref="R31:V31" si="38">C17</f>
        <v>220268</v>
      </c>
      <c r="S31" s="26">
        <f t="shared" si="38"/>
        <v>220268</v>
      </c>
      <c r="T31" s="48">
        <f t="shared" si="38"/>
        <v>220268</v>
      </c>
      <c r="U31" s="24">
        <f t="shared" si="38"/>
        <v>220268</v>
      </c>
      <c r="V31" s="24">
        <f t="shared" si="38"/>
        <v>220268</v>
      </c>
      <c r="W31" s="2"/>
    </row>
    <row r="32" ht="12.75" customHeight="1">
      <c r="A32" s="2"/>
      <c r="B32" s="12" t="s">
        <v>89</v>
      </c>
      <c r="C32" s="47"/>
      <c r="D32" s="47"/>
      <c r="E32" s="2"/>
      <c r="F32" s="2"/>
      <c r="G32" s="2"/>
      <c r="H32" s="2"/>
      <c r="I32" s="19" t="s">
        <v>90</v>
      </c>
      <c r="J32" s="20"/>
      <c r="K32" s="26"/>
      <c r="L32" s="26"/>
      <c r="M32" s="26"/>
      <c r="N32" s="26"/>
      <c r="O32" s="26"/>
      <c r="P32" s="2"/>
      <c r="Q32" s="22" t="s">
        <v>91</v>
      </c>
      <c r="R32" s="27">
        <f>-(C19-0)</f>
        <v>0</v>
      </c>
      <c r="S32" s="23">
        <f>-(D19-C19)</f>
        <v>0</v>
      </c>
      <c r="T32" s="48">
        <f t="shared" ref="T32:V32" si="39">E18</f>
        <v>0</v>
      </c>
      <c r="U32" s="48">
        <f t="shared" si="39"/>
        <v>0</v>
      </c>
      <c r="V32" s="48">
        <f t="shared" si="39"/>
        <v>0</v>
      </c>
      <c r="W32" s="2"/>
    </row>
    <row r="33" ht="12.75" customHeight="1">
      <c r="A33" s="2"/>
      <c r="B33" s="12" t="s">
        <v>92</v>
      </c>
      <c r="C33" s="47"/>
      <c r="D33" s="47"/>
      <c r="E33" s="2"/>
      <c r="F33" s="2"/>
      <c r="G33" s="2"/>
      <c r="H33" s="2"/>
      <c r="I33" s="22" t="s">
        <v>93</v>
      </c>
      <c r="J33" s="25" t="s">
        <v>94</v>
      </c>
      <c r="K33" s="26">
        <f>R39+R40</f>
        <v>0</v>
      </c>
      <c r="L33" s="26">
        <f>K33+S40+S39</f>
        <v>0</v>
      </c>
      <c r="M33" s="26"/>
      <c r="N33" s="26"/>
      <c r="O33" s="26"/>
      <c r="P33" s="2"/>
      <c r="Q33" s="22" t="s">
        <v>95</v>
      </c>
      <c r="R33" s="27">
        <f>-(C18-0)</f>
        <v>0</v>
      </c>
      <c r="S33" s="27">
        <f>-(D18-C18)</f>
        <v>0</v>
      </c>
      <c r="T33" s="48">
        <f t="shared" ref="T33:V33" si="40">E19</f>
        <v>0</v>
      </c>
      <c r="U33" s="48">
        <f t="shared" si="40"/>
        <v>0</v>
      </c>
      <c r="V33" s="48">
        <f t="shared" si="40"/>
        <v>0</v>
      </c>
      <c r="W33" s="2"/>
    </row>
    <row r="34" ht="12.75" customHeight="1">
      <c r="A34" s="2"/>
      <c r="B34" s="12" t="s">
        <v>96</v>
      </c>
      <c r="C34" s="47"/>
      <c r="D34" s="47"/>
      <c r="E34" s="2"/>
      <c r="F34" s="2"/>
      <c r="G34" s="2"/>
      <c r="H34" s="2"/>
      <c r="I34" s="22" t="s">
        <v>97</v>
      </c>
      <c r="J34" s="25" t="s">
        <v>98</v>
      </c>
      <c r="K34" s="26"/>
      <c r="L34" s="26"/>
      <c r="M34" s="26"/>
      <c r="N34" s="26"/>
      <c r="O34" s="26"/>
      <c r="P34" s="2"/>
      <c r="Q34" s="22" t="s">
        <v>99</v>
      </c>
      <c r="R34" s="27">
        <f>0</f>
        <v>0</v>
      </c>
      <c r="S34" s="27">
        <f>D20-C20</f>
        <v>0</v>
      </c>
      <c r="T34" s="48">
        <f t="shared" ref="T34:V34" si="41">E20</f>
        <v>0</v>
      </c>
      <c r="U34" s="48">
        <f t="shared" si="41"/>
        <v>0</v>
      </c>
      <c r="V34" s="48">
        <f t="shared" si="41"/>
        <v>0</v>
      </c>
      <c r="W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2" t="s">
        <v>100</v>
      </c>
      <c r="J35" s="25" t="s">
        <v>101</v>
      </c>
      <c r="K35" s="26"/>
      <c r="L35" s="26"/>
      <c r="M35" s="26"/>
      <c r="N35" s="26"/>
      <c r="O35" s="26"/>
      <c r="P35" s="2"/>
      <c r="Q35" s="19" t="s">
        <v>102</v>
      </c>
      <c r="R35" s="31">
        <f t="shared" ref="R35:V35" si="42">SUM(R30:R34)</f>
        <v>-1773054.868</v>
      </c>
      <c r="S35" s="31">
        <f t="shared" si="42"/>
        <v>26409.28965</v>
      </c>
      <c r="T35" s="30">
        <f t="shared" si="42"/>
        <v>2888268.589</v>
      </c>
      <c r="U35" s="30">
        <f t="shared" si="42"/>
        <v>2967361.302</v>
      </c>
      <c r="V35" s="30">
        <f t="shared" si="42"/>
        <v>3031117.96</v>
      </c>
      <c r="W35" s="2"/>
    </row>
    <row r="36" ht="12.75" customHeight="1">
      <c r="A36" s="2"/>
      <c r="B36" s="8" t="s">
        <v>103</v>
      </c>
      <c r="C36" s="2"/>
      <c r="D36" s="2"/>
      <c r="E36" s="2"/>
      <c r="F36" s="2"/>
      <c r="G36" s="2"/>
      <c r="H36" s="2"/>
      <c r="I36" s="19" t="s">
        <v>104</v>
      </c>
      <c r="J36" s="20" t="s">
        <v>105</v>
      </c>
      <c r="K36" s="31">
        <f t="shared" ref="K36:L36" si="43">SUM(K33:K35)</f>
        <v>0</v>
      </c>
      <c r="L36" s="31">
        <f t="shared" si="43"/>
        <v>0</v>
      </c>
      <c r="M36" s="31"/>
      <c r="N36" s="31"/>
      <c r="O36" s="31"/>
      <c r="P36" s="2"/>
      <c r="Q36" s="22" t="s">
        <v>106</v>
      </c>
      <c r="R36" s="27">
        <f>-C24</f>
        <v>-1101340</v>
      </c>
      <c r="S36" s="27">
        <f t="shared" ref="S36:V36" si="44">D24</f>
        <v>0</v>
      </c>
      <c r="T36" s="27">
        <f t="shared" si="44"/>
        <v>0</v>
      </c>
      <c r="U36" s="27">
        <f t="shared" si="44"/>
        <v>0</v>
      </c>
      <c r="V36" s="27">
        <f t="shared" si="44"/>
        <v>0</v>
      </c>
      <c r="W36" s="2"/>
    </row>
    <row r="37" ht="12.75" customHeight="1">
      <c r="A37" s="2"/>
      <c r="B37" s="12" t="s">
        <v>107</v>
      </c>
      <c r="C37" s="49"/>
      <c r="D37" s="49"/>
      <c r="E37" s="2"/>
      <c r="F37" s="2"/>
      <c r="G37" s="2"/>
      <c r="H37" s="2"/>
      <c r="I37" s="19" t="s">
        <v>108</v>
      </c>
      <c r="J37" s="20"/>
      <c r="K37" s="26"/>
      <c r="L37" s="26"/>
      <c r="M37" s="26"/>
      <c r="N37" s="26"/>
      <c r="O37" s="26"/>
      <c r="P37" s="2"/>
      <c r="Q37" s="19" t="s">
        <v>109</v>
      </c>
      <c r="R37" s="50">
        <f t="shared" ref="R37:S37" si="45">R36</f>
        <v>-1101340</v>
      </c>
      <c r="S37" s="50">
        <f t="shared" si="45"/>
        <v>0</v>
      </c>
      <c r="T37" s="50">
        <f t="shared" ref="T37:T38" si="47">0</f>
        <v>0</v>
      </c>
      <c r="U37" s="51">
        <f>U36</f>
        <v>0</v>
      </c>
      <c r="V37" s="50">
        <f>0</f>
        <v>0</v>
      </c>
      <c r="W37" s="2"/>
    </row>
    <row r="38" ht="12.75" customHeight="1">
      <c r="A38" s="2"/>
      <c r="B38" s="12" t="s">
        <v>110</v>
      </c>
      <c r="C38" s="49"/>
      <c r="D38" s="49"/>
      <c r="E38" s="2"/>
      <c r="F38" s="2"/>
      <c r="G38" s="2"/>
      <c r="H38" s="2"/>
      <c r="I38" s="22" t="s">
        <v>111</v>
      </c>
      <c r="J38" s="25" t="s">
        <v>112</v>
      </c>
      <c r="K38" s="26"/>
      <c r="L38" s="26"/>
      <c r="M38" s="26"/>
      <c r="N38" s="26"/>
      <c r="O38" s="26"/>
      <c r="P38" s="2"/>
      <c r="Q38" s="12" t="s">
        <v>13</v>
      </c>
      <c r="R38" s="26">
        <f t="shared" ref="R38:S38" si="46">C6</f>
        <v>3000000</v>
      </c>
      <c r="S38" s="23" t="str">
        <f t="shared" si="46"/>
        <v/>
      </c>
      <c r="T38" s="52">
        <f t="shared" si="47"/>
        <v>0</v>
      </c>
      <c r="U38" s="52">
        <f t="shared" ref="U38:V38" si="48">0</f>
        <v>0</v>
      </c>
      <c r="V38" s="52">
        <f t="shared" si="48"/>
        <v>0</v>
      </c>
      <c r="W38" s="2"/>
    </row>
    <row r="39" ht="12.75" customHeight="1">
      <c r="A39" s="2"/>
      <c r="B39" s="12" t="s">
        <v>113</v>
      </c>
      <c r="C39" s="49"/>
      <c r="D39" s="49"/>
      <c r="E39" s="2"/>
      <c r="F39" s="2"/>
      <c r="G39" s="2"/>
      <c r="H39" s="2"/>
      <c r="I39" s="22" t="s">
        <v>59</v>
      </c>
      <c r="J39" s="25" t="s">
        <v>114</v>
      </c>
      <c r="K39" s="26">
        <f t="shared" ref="K39:L39" si="49">C20</f>
        <v>0</v>
      </c>
      <c r="L39" s="26">
        <f t="shared" si="49"/>
        <v>0</v>
      </c>
      <c r="M39" s="26"/>
      <c r="N39" s="26"/>
      <c r="O39" s="26"/>
      <c r="P39" s="2"/>
      <c r="Q39" s="12" t="s">
        <v>16</v>
      </c>
      <c r="R39" s="23">
        <f t="shared" ref="R39:V39" si="50">C7</f>
        <v>0</v>
      </c>
      <c r="S39" s="23">
        <f t="shared" si="50"/>
        <v>0</v>
      </c>
      <c r="T39" s="48">
        <f t="shared" si="50"/>
        <v>0</v>
      </c>
      <c r="U39" s="48">
        <f t="shared" si="50"/>
        <v>0</v>
      </c>
      <c r="V39" s="48">
        <f t="shared" si="50"/>
        <v>0</v>
      </c>
      <c r="W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2" t="s">
        <v>115</v>
      </c>
      <c r="J40" s="25" t="s">
        <v>116</v>
      </c>
      <c r="K40" s="26"/>
      <c r="L40" s="26"/>
      <c r="M40" s="26"/>
      <c r="N40" s="26"/>
      <c r="O40" s="26"/>
      <c r="P40" s="2"/>
      <c r="Q40" s="12" t="s">
        <v>24</v>
      </c>
      <c r="R40" s="27">
        <f t="shared" ref="R40:S40" si="51">-C9</f>
        <v>0</v>
      </c>
      <c r="S40" s="27">
        <f t="shared" si="51"/>
        <v>0</v>
      </c>
      <c r="T40" s="34" t="str">
        <f t="shared" ref="T40:V40" si="52">E26</f>
        <v/>
      </c>
      <c r="U40" s="34" t="str">
        <f t="shared" si="52"/>
        <v/>
      </c>
      <c r="V40" s="34" t="str">
        <f t="shared" si="52"/>
        <v/>
      </c>
      <c r="W40" s="2"/>
    </row>
    <row r="41" ht="12.75" customHeight="1">
      <c r="A41" s="2"/>
      <c r="B41" s="8" t="s">
        <v>117</v>
      </c>
      <c r="C41" s="2"/>
      <c r="D41" s="2"/>
      <c r="E41" s="2"/>
      <c r="F41" s="2"/>
      <c r="G41" s="2"/>
      <c r="H41" s="2"/>
      <c r="I41" s="22" t="s">
        <v>118</v>
      </c>
      <c r="J41" s="25" t="s">
        <v>119</v>
      </c>
      <c r="K41" s="26"/>
      <c r="L41" s="26"/>
      <c r="M41" s="26"/>
      <c r="N41" s="26"/>
      <c r="O41" s="26"/>
      <c r="P41" s="2"/>
      <c r="Q41" s="19" t="s">
        <v>120</v>
      </c>
      <c r="R41" s="31">
        <f t="shared" ref="R41:V41" si="53">SUM(R38:R40)</f>
        <v>3000000</v>
      </c>
      <c r="S41" s="31">
        <f t="shared" si="53"/>
        <v>0</v>
      </c>
      <c r="T41" s="31">
        <f t="shared" si="53"/>
        <v>0</v>
      </c>
      <c r="U41" s="31">
        <f t="shared" si="53"/>
        <v>0</v>
      </c>
      <c r="V41" s="31">
        <f t="shared" si="53"/>
        <v>0</v>
      </c>
      <c r="W41" s="2"/>
    </row>
    <row r="42" ht="12.75" customHeight="1">
      <c r="A42" s="2"/>
      <c r="B42" s="12" t="s">
        <v>121</v>
      </c>
      <c r="C42" s="49"/>
      <c r="D42" s="49"/>
      <c r="E42" s="2"/>
      <c r="F42" s="2"/>
      <c r="G42" s="2"/>
      <c r="H42" s="2"/>
      <c r="I42" s="19" t="s">
        <v>122</v>
      </c>
      <c r="J42" s="20" t="s">
        <v>123</v>
      </c>
      <c r="K42" s="31">
        <f t="shared" ref="K42:L42" si="54">SUM(K38:K41)</f>
        <v>0</v>
      </c>
      <c r="L42" s="31">
        <f t="shared" si="54"/>
        <v>0</v>
      </c>
      <c r="M42" s="31"/>
      <c r="N42" s="31"/>
      <c r="O42" s="31"/>
      <c r="P42" s="2"/>
      <c r="Q42" s="53" t="s">
        <v>124</v>
      </c>
      <c r="R42" s="26">
        <f t="shared" ref="R42:V42" si="55">R35+R37+R41</f>
        <v>125605.132</v>
      </c>
      <c r="S42" s="26">
        <f t="shared" si="55"/>
        <v>26409.28965</v>
      </c>
      <c r="T42" s="24">
        <f t="shared" si="55"/>
        <v>2888268.589</v>
      </c>
      <c r="U42" s="24">
        <f t="shared" si="55"/>
        <v>2967361.302</v>
      </c>
      <c r="V42" s="24">
        <f t="shared" si="55"/>
        <v>3031117.96</v>
      </c>
      <c r="W42" s="2"/>
    </row>
    <row r="43" ht="12.75" customHeight="1">
      <c r="A43" s="2"/>
      <c r="B43" s="12" t="s">
        <v>125</v>
      </c>
      <c r="C43" s="47"/>
      <c r="D43" s="47"/>
      <c r="E43" s="2"/>
      <c r="F43" s="2"/>
      <c r="G43" s="2"/>
      <c r="H43" s="2"/>
      <c r="I43" s="19" t="s">
        <v>126</v>
      </c>
      <c r="J43" s="20" t="s">
        <v>127</v>
      </c>
      <c r="K43" s="31">
        <f t="shared" ref="K43:O43" si="56">K42+K36+K31</f>
        <v>1006677.132</v>
      </c>
      <c r="L43" s="31">
        <f t="shared" si="56"/>
        <v>812818.4217</v>
      </c>
      <c r="M43" s="31">
        <f t="shared" si="56"/>
        <v>3480819.011</v>
      </c>
      <c r="N43" s="31">
        <f t="shared" si="56"/>
        <v>6227912.313</v>
      </c>
      <c r="O43" s="31">
        <f t="shared" si="56"/>
        <v>9038762.273</v>
      </c>
      <c r="P43" s="2"/>
      <c r="Q43" s="53" t="s">
        <v>128</v>
      </c>
      <c r="R43" s="26">
        <f>R42</f>
        <v>125605.132</v>
      </c>
      <c r="S43" s="26">
        <f t="shared" ref="S43:V43" si="57">R43+S42</f>
        <v>152014.4217</v>
      </c>
      <c r="T43" s="24">
        <f t="shared" si="57"/>
        <v>3040283.011</v>
      </c>
      <c r="U43" s="24">
        <f t="shared" si="57"/>
        <v>6007644.313</v>
      </c>
      <c r="V43" s="24">
        <f t="shared" si="57"/>
        <v>9038762.273</v>
      </c>
      <c r="W43" s="2"/>
    </row>
    <row r="44" ht="12.75" customHeight="1">
      <c r="A44" s="2"/>
      <c r="B44" s="12" t="s">
        <v>129</v>
      </c>
      <c r="C44" s="49"/>
      <c r="D44" s="49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54" t="s">
        <v>130</v>
      </c>
      <c r="R44" s="55">
        <f t="shared" ref="R44:V44" si="58">R35+R37+R39-R40</f>
        <v>-2874394.868</v>
      </c>
      <c r="S44" s="40">
        <f t="shared" si="58"/>
        <v>26409.28965</v>
      </c>
      <c r="T44" s="40">
        <f t="shared" si="58"/>
        <v>2888268.589</v>
      </c>
      <c r="U44" s="40">
        <f t="shared" si="58"/>
        <v>2967361.302</v>
      </c>
      <c r="V44" s="40">
        <f t="shared" si="58"/>
        <v>3031117.96</v>
      </c>
      <c r="W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7"/>
      <c r="R45" s="2"/>
      <c r="S45" s="2"/>
      <c r="T45" s="2"/>
      <c r="U45" s="2"/>
      <c r="V45" s="2"/>
      <c r="W45" s="2"/>
    </row>
    <row r="46" ht="12.75" customHeight="1">
      <c r="A46" s="2"/>
      <c r="B46" s="8" t="s">
        <v>131</v>
      </c>
      <c r="C46" s="56" t="s">
        <v>132</v>
      </c>
      <c r="D46" s="56" t="s">
        <v>133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ht="12.75" customHeight="1">
      <c r="A47" s="2"/>
      <c r="B47" s="12" t="s">
        <v>134</v>
      </c>
      <c r="C47" s="57"/>
      <c r="D47" s="57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7" t="s">
        <v>135</v>
      </c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ht="12.75" customHeight="1">
      <c r="A48" s="2"/>
      <c r="B48" s="12" t="s">
        <v>136</v>
      </c>
      <c r="C48" s="57"/>
      <c r="D48" s="57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58">
        <f>T49+(-T51/U50)</f>
        <v>2.959770412</v>
      </c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ht="12.75" customHeight="1">
      <c r="A49" s="2"/>
      <c r="B49" s="12" t="s">
        <v>137</v>
      </c>
      <c r="C49" s="57"/>
      <c r="D49" s="57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59"/>
      <c r="R49" s="60">
        <v>0.0</v>
      </c>
      <c r="S49" s="60">
        <v>1.0</v>
      </c>
      <c r="T49" s="61">
        <v>2.0</v>
      </c>
      <c r="U49" s="62">
        <v>3.0</v>
      </c>
      <c r="V49" s="63">
        <v>4.0</v>
      </c>
      <c r="W49" s="38">
        <v>5.0</v>
      </c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ht="12.75" customHeight="1">
      <c r="A50" s="2"/>
      <c r="B50" s="12" t="s">
        <v>138</v>
      </c>
      <c r="C50" s="57"/>
      <c r="D50" s="57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64" t="s">
        <v>139</v>
      </c>
      <c r="R50" s="65">
        <f>-C6</f>
        <v>-3000000</v>
      </c>
      <c r="S50" s="66">
        <f t="shared" ref="S50:T50" si="59">R42</f>
        <v>125605.132</v>
      </c>
      <c r="T50" s="66">
        <f t="shared" si="59"/>
        <v>26409.28965</v>
      </c>
      <c r="U50" s="66">
        <f>U42</f>
        <v>2967361.302</v>
      </c>
      <c r="V50" s="67">
        <f t="shared" ref="V50:W50" si="60">U42</f>
        <v>2967361.302</v>
      </c>
      <c r="W50" s="32">
        <f t="shared" si="60"/>
        <v>3031117.96</v>
      </c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64" t="s">
        <v>140</v>
      </c>
      <c r="R51" s="68">
        <f>-C6</f>
        <v>-3000000</v>
      </c>
      <c r="S51" s="68">
        <f>R51+S50-D6</f>
        <v>-2874394.868</v>
      </c>
      <c r="T51" s="69">
        <f t="shared" ref="T51:W51" si="61">S51+T50</f>
        <v>-2847985.578</v>
      </c>
      <c r="U51" s="70">
        <f t="shared" si="61"/>
        <v>119375.724</v>
      </c>
      <c r="V51" s="71">
        <f t="shared" si="61"/>
        <v>3086737.026</v>
      </c>
      <c r="W51" s="48">
        <f t="shared" si="61"/>
        <v>6117854.986</v>
      </c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Y52" s="2"/>
      <c r="Z52" s="2"/>
      <c r="AA52" s="2"/>
      <c r="AB52" s="2"/>
      <c r="AC52" s="2"/>
      <c r="AD52" s="2"/>
      <c r="AE52" s="2"/>
      <c r="AF52" s="2"/>
      <c r="AG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W53" s="72" t="s">
        <v>141</v>
      </c>
      <c r="Y53" s="2"/>
      <c r="Z53" s="2"/>
      <c r="AA53" s="2"/>
      <c r="AB53" s="2"/>
      <c r="AC53" s="2"/>
      <c r="AD53" s="2"/>
      <c r="AE53" s="2"/>
      <c r="AF53" s="2"/>
      <c r="AG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W54" s="73">
        <f>U55+(-U57/V56)</f>
        <v>4.049344584</v>
      </c>
      <c r="Y54" s="74"/>
      <c r="Z54" s="2"/>
      <c r="AA54" s="2"/>
      <c r="AB54" s="2"/>
      <c r="AC54" s="2"/>
      <c r="AD54" s="2"/>
      <c r="AE54" s="2"/>
      <c r="AF54" s="2"/>
      <c r="AG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75"/>
      <c r="R55" s="38">
        <v>0.0</v>
      </c>
      <c r="S55" s="38">
        <v>1.0</v>
      </c>
      <c r="T55" s="38">
        <v>2.0</v>
      </c>
      <c r="U55" s="38">
        <v>3.0</v>
      </c>
      <c r="V55" s="38">
        <v>4.0</v>
      </c>
      <c r="W55" s="38">
        <v>5.0</v>
      </c>
      <c r="Y55" s="74"/>
      <c r="Z55" s="2"/>
      <c r="AA55" s="2"/>
      <c r="AB55" s="2"/>
      <c r="AC55" s="2"/>
      <c r="AD55" s="2"/>
      <c r="AE55" s="2"/>
      <c r="AF55" s="2"/>
      <c r="AG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76" t="s">
        <v>142</v>
      </c>
      <c r="R56" s="32">
        <f t="shared" ref="R56:W56" si="62">R50/(1+$R$67)^R55</f>
        <v>-3000000</v>
      </c>
      <c r="S56" s="32">
        <f t="shared" si="62"/>
        <v>101376.2163</v>
      </c>
      <c r="T56" s="32">
        <f t="shared" si="62"/>
        <v>17203.39286</v>
      </c>
      <c r="U56" s="32">
        <f t="shared" si="62"/>
        <v>1560114.63</v>
      </c>
      <c r="V56" s="32">
        <f t="shared" si="62"/>
        <v>1259172.422</v>
      </c>
      <c r="W56" s="32">
        <f t="shared" si="62"/>
        <v>1038117.007</v>
      </c>
      <c r="Y56" s="74"/>
      <c r="Z56" s="2"/>
      <c r="AA56" s="2"/>
      <c r="AB56" s="2"/>
      <c r="AC56" s="2"/>
      <c r="AD56" s="2"/>
      <c r="AE56" s="2"/>
      <c r="AF56" s="2"/>
      <c r="AG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76" t="s">
        <v>143</v>
      </c>
      <c r="R57" s="32">
        <f>R56</f>
        <v>-3000000</v>
      </c>
      <c r="S57" s="32">
        <f>R57+S56-D6</f>
        <v>-2898623.784</v>
      </c>
      <c r="T57" s="32">
        <f t="shared" ref="T57:W57" si="63">S57+T56</f>
        <v>-2881420.391</v>
      </c>
      <c r="U57" s="32">
        <f t="shared" si="63"/>
        <v>-1321305.76</v>
      </c>
      <c r="V57" s="32">
        <f t="shared" si="63"/>
        <v>-62133.3388</v>
      </c>
      <c r="W57" s="32">
        <f t="shared" si="63"/>
        <v>975983.6681</v>
      </c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X58" s="7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X59" s="77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V60" s="78"/>
      <c r="W60" s="79"/>
      <c r="X60" s="33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S61" s="80">
        <v>0.0</v>
      </c>
      <c r="T61" s="80">
        <v>1.0</v>
      </c>
      <c r="U61" s="80">
        <v>2.0</v>
      </c>
      <c r="V61" s="80">
        <v>3.0</v>
      </c>
      <c r="W61" s="80">
        <v>4.0</v>
      </c>
      <c r="X61" s="80">
        <v>5.0</v>
      </c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81" t="s">
        <v>144</v>
      </c>
      <c r="R62" s="82">
        <v>0.08</v>
      </c>
      <c r="S62" s="83"/>
      <c r="T62" s="83"/>
      <c r="U62" s="83"/>
      <c r="V62" s="83"/>
      <c r="W62" s="83"/>
      <c r="X62" s="84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85" t="s">
        <v>145</v>
      </c>
      <c r="R63" s="86"/>
      <c r="S63" s="87"/>
      <c r="T63" s="87"/>
      <c r="U63" s="87"/>
      <c r="V63" s="87"/>
      <c r="W63" s="87"/>
      <c r="X63" s="88">
        <f>V44*(1+R62)/(R67-R62)</f>
        <v>20588725.76</v>
      </c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89" t="s">
        <v>146</v>
      </c>
      <c r="R64" s="84"/>
      <c r="S64" s="90">
        <f>-C6</f>
        <v>-3000000</v>
      </c>
      <c r="T64" s="91">
        <f>R44-D6</f>
        <v>-2874394.868</v>
      </c>
      <c r="U64" s="88">
        <f t="shared" ref="U64:W64" si="64">S44</f>
        <v>26409.28965</v>
      </c>
      <c r="V64" s="88">
        <f t="shared" si="64"/>
        <v>2888268.589</v>
      </c>
      <c r="W64" s="88">
        <f t="shared" si="64"/>
        <v>2967361.302</v>
      </c>
      <c r="X64" s="88">
        <f>V44+X63</f>
        <v>23619843.72</v>
      </c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87"/>
      <c r="R65" s="86"/>
      <c r="S65" s="87"/>
      <c r="T65" s="87"/>
      <c r="U65" s="87"/>
      <c r="V65" s="87"/>
      <c r="W65" s="87"/>
      <c r="X65" s="87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92"/>
      <c r="R66" s="93"/>
      <c r="S66" s="93"/>
      <c r="T66" s="93"/>
      <c r="U66" s="93"/>
      <c r="V66" s="93"/>
      <c r="W66" s="93"/>
      <c r="X66" s="93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81" t="s">
        <v>147</v>
      </c>
      <c r="R67" s="94">
        <v>0.239</v>
      </c>
      <c r="S67" s="84"/>
      <c r="T67" s="93"/>
      <c r="U67" s="93"/>
      <c r="V67" s="93"/>
      <c r="W67" s="93"/>
      <c r="X67" s="93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92"/>
      <c r="R68" s="93"/>
      <c r="S68" s="93"/>
      <c r="T68" s="93"/>
      <c r="U68" s="93"/>
      <c r="V68" s="93"/>
      <c r="W68" s="93"/>
      <c r="X68" s="93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85" t="s">
        <v>148</v>
      </c>
      <c r="R69" s="93"/>
      <c r="S69" s="95">
        <f t="shared" ref="S69:X69" si="65">1/(1+$R$67)^S61</f>
        <v>1</v>
      </c>
      <c r="T69" s="95">
        <f t="shared" si="65"/>
        <v>0.807102502</v>
      </c>
      <c r="U69" s="95">
        <f t="shared" si="65"/>
        <v>0.6514144488</v>
      </c>
      <c r="V69" s="95">
        <f t="shared" si="65"/>
        <v>0.5257582314</v>
      </c>
      <c r="W69" s="95">
        <f t="shared" si="65"/>
        <v>0.4243407841</v>
      </c>
      <c r="X69" s="95">
        <f t="shared" si="65"/>
        <v>0.3424865085</v>
      </c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92"/>
      <c r="R70" s="93"/>
      <c r="S70" s="93"/>
      <c r="T70" s="93"/>
      <c r="U70" s="93"/>
      <c r="V70" s="93"/>
      <c r="W70" s="93"/>
      <c r="X70" s="93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85" t="s">
        <v>149</v>
      </c>
      <c r="R71" s="96" t="s">
        <v>150</v>
      </c>
      <c r="S71" s="91">
        <f t="shared" ref="S71:X71" si="66">S64*S69</f>
        <v>-3000000</v>
      </c>
      <c r="T71" s="91">
        <f t="shared" si="66"/>
        <v>-2319931.29</v>
      </c>
      <c r="U71" s="88">
        <f t="shared" si="66"/>
        <v>17203.39286</v>
      </c>
      <c r="V71" s="88">
        <f t="shared" si="66"/>
        <v>1518530.985</v>
      </c>
      <c r="W71" s="88">
        <f t="shared" si="66"/>
        <v>1259172.422</v>
      </c>
      <c r="X71" s="88">
        <f t="shared" si="66"/>
        <v>8089477.808</v>
      </c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85" t="s">
        <v>151</v>
      </c>
      <c r="R72" s="96" t="s">
        <v>150</v>
      </c>
      <c r="S72" s="97">
        <f>S71</f>
        <v>-3000000</v>
      </c>
      <c r="T72" s="98">
        <f t="shared" ref="T72:X72" si="67">S72+T71</f>
        <v>-5319931.29</v>
      </c>
      <c r="U72" s="98">
        <f t="shared" si="67"/>
        <v>-5302727.897</v>
      </c>
      <c r="V72" s="98">
        <f t="shared" si="67"/>
        <v>-3784196.912</v>
      </c>
      <c r="W72" s="98">
        <f t="shared" si="67"/>
        <v>-2525024.49</v>
      </c>
      <c r="X72" s="99">
        <f t="shared" si="67"/>
        <v>5564453.318</v>
      </c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92"/>
      <c r="R73" s="93"/>
      <c r="S73" s="93"/>
      <c r="T73" s="93"/>
      <c r="U73" s="93"/>
      <c r="V73" s="93"/>
      <c r="W73" s="93"/>
      <c r="X73" s="93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100"/>
      <c r="R74" s="93"/>
      <c r="S74" s="93"/>
      <c r="T74" s="93"/>
      <c r="U74" s="93"/>
      <c r="V74" s="93"/>
      <c r="W74" s="93"/>
      <c r="X74" s="93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101" t="s">
        <v>152</v>
      </c>
      <c r="R75" s="102">
        <f>SUM(S71:X71)</f>
        <v>5564453.318</v>
      </c>
      <c r="S75" s="87"/>
      <c r="T75" s="87"/>
      <c r="U75" s="87"/>
      <c r="V75" s="87"/>
      <c r="W75" s="87"/>
      <c r="X75" s="87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87"/>
      <c r="R76" s="87"/>
      <c r="S76" s="87"/>
      <c r="T76" s="87"/>
      <c r="U76" s="87"/>
      <c r="V76" s="87"/>
      <c r="W76" s="87"/>
      <c r="X76" s="87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103" t="s">
        <v>153</v>
      </c>
      <c r="R77" s="104">
        <f>IRR(S64:X64)</f>
        <v>0.4730693859</v>
      </c>
      <c r="S77" s="87"/>
      <c r="T77" s="87"/>
      <c r="U77" s="87"/>
      <c r="V77" s="87"/>
      <c r="W77" s="87"/>
      <c r="X77" s="87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7"/>
      <c r="S78" s="7"/>
      <c r="T78" s="2"/>
      <c r="U78" s="2"/>
      <c r="V78" s="2"/>
      <c r="W78" s="2"/>
      <c r="X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</row>
  </sheetData>
  <mergeCells count="4">
    <mergeCell ref="K2:L2"/>
    <mergeCell ref="B5:D5"/>
    <mergeCell ref="B11:G11"/>
    <mergeCell ref="B23:D2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0.1" defaultRowHeight="15.0"/>
  <cols>
    <col customWidth="1" min="3" max="3" width="10.5"/>
    <col customWidth="1" min="4" max="6" width="12.1"/>
    <col customWidth="1" min="7" max="7" width="10.0"/>
  </cols>
  <sheetData>
    <row r="3">
      <c r="C3" s="105" t="s">
        <v>154</v>
      </c>
      <c r="D3" s="10"/>
      <c r="E3" s="10"/>
      <c r="F3" s="10"/>
      <c r="G3" s="10"/>
      <c r="H3" s="10"/>
      <c r="I3" s="10"/>
      <c r="J3" s="10"/>
      <c r="K3" s="10"/>
      <c r="L3" s="11"/>
    </row>
    <row r="4">
      <c r="C4" s="106"/>
      <c r="D4" s="107" t="s">
        <v>155</v>
      </c>
      <c r="E4" s="107" t="s">
        <v>156</v>
      </c>
      <c r="F4" s="107" t="s">
        <v>157</v>
      </c>
      <c r="G4" s="107" t="s">
        <v>158</v>
      </c>
      <c r="H4" s="107" t="s">
        <v>159</v>
      </c>
      <c r="I4" s="107" t="s">
        <v>160</v>
      </c>
      <c r="J4" s="107" t="s">
        <v>161</v>
      </c>
      <c r="K4" s="107" t="s">
        <v>162</v>
      </c>
      <c r="L4" s="107" t="s">
        <v>163</v>
      </c>
    </row>
    <row r="5">
      <c r="C5" s="107" t="s">
        <v>164</v>
      </c>
      <c r="D5" s="108">
        <f t="shared" ref="D5:E5" si="1">1.039</f>
        <v>1.039</v>
      </c>
      <c r="E5" s="108">
        <f t="shared" si="1"/>
        <v>1.039</v>
      </c>
      <c r="F5" s="108">
        <f>1.038</f>
        <v>1.038</v>
      </c>
      <c r="G5" s="109">
        <f>160000</f>
        <v>160000</v>
      </c>
      <c r="H5" s="110">
        <f>G5*D5</f>
        <v>166240</v>
      </c>
      <c r="I5" s="111" t="s">
        <v>165</v>
      </c>
      <c r="J5" s="112"/>
      <c r="K5" s="112"/>
      <c r="L5" s="113"/>
    </row>
    <row r="6">
      <c r="C6" s="107" t="s">
        <v>166</v>
      </c>
      <c r="D6" s="114"/>
      <c r="E6" s="114"/>
      <c r="F6" s="114"/>
      <c r="G6" s="109">
        <f>900000</f>
        <v>900000</v>
      </c>
      <c r="H6" s="110">
        <f>G6*D5</f>
        <v>935100</v>
      </c>
      <c r="I6" s="115"/>
      <c r="J6" s="116"/>
      <c r="K6" s="116"/>
      <c r="L6" s="117"/>
    </row>
    <row r="7">
      <c r="C7" s="107" t="s">
        <v>167</v>
      </c>
      <c r="D7" s="118"/>
      <c r="E7" s="118"/>
      <c r="F7" s="118"/>
      <c r="G7" s="109">
        <f>25000</f>
        <v>25000</v>
      </c>
      <c r="H7" s="119">
        <f t="shared" ref="H7:J7" si="2">G7*D5</f>
        <v>25975</v>
      </c>
      <c r="I7" s="109">
        <f t="shared" si="2"/>
        <v>26988.025</v>
      </c>
      <c r="J7" s="109">
        <f t="shared" si="2"/>
        <v>28013.56995</v>
      </c>
      <c r="K7" s="109">
        <f>J7*F5</f>
        <v>29078.08561</v>
      </c>
      <c r="L7" s="109">
        <f>K7*F5</f>
        <v>30183.05286</v>
      </c>
    </row>
    <row r="8">
      <c r="C8" s="107" t="s">
        <v>168</v>
      </c>
      <c r="D8" s="120">
        <f>1.06</f>
        <v>1.06</v>
      </c>
      <c r="E8" s="121">
        <f>1.045</f>
        <v>1.045</v>
      </c>
      <c r="F8" s="122">
        <f>1.04</f>
        <v>1.04</v>
      </c>
      <c r="G8" s="109">
        <f>73800</f>
        <v>73800</v>
      </c>
      <c r="H8" s="119">
        <f t="shared" ref="H8:J8" si="3">G8*D8</f>
        <v>78228</v>
      </c>
      <c r="I8" s="109">
        <f t="shared" si="3"/>
        <v>81748.26</v>
      </c>
      <c r="J8" s="109">
        <f t="shared" si="3"/>
        <v>85018.1904</v>
      </c>
      <c r="K8" s="109">
        <f>J8*F8</f>
        <v>88418.91802</v>
      </c>
      <c r="L8" s="109">
        <f>K8*F8</f>
        <v>91955.67474</v>
      </c>
    </row>
    <row r="9">
      <c r="D9" s="123"/>
      <c r="E9" s="123"/>
      <c r="F9" s="123"/>
      <c r="G9" s="123"/>
      <c r="H9" s="123"/>
      <c r="I9" s="123"/>
      <c r="J9" s="123"/>
    </row>
    <row r="10">
      <c r="C10" s="123"/>
      <c r="D10" s="123"/>
      <c r="E10" s="123"/>
      <c r="F10" s="123"/>
      <c r="G10" s="123"/>
      <c r="H10" s="123"/>
      <c r="I10" s="123"/>
      <c r="J10" s="123"/>
    </row>
    <row r="11">
      <c r="C11" s="123"/>
      <c r="D11" s="123"/>
      <c r="E11" s="123"/>
      <c r="F11" s="123"/>
      <c r="G11" s="123"/>
      <c r="H11" s="123"/>
      <c r="I11" s="123"/>
      <c r="J11" s="123"/>
    </row>
    <row r="12">
      <c r="C12" s="123"/>
      <c r="D12" s="123"/>
      <c r="E12" s="123"/>
      <c r="F12" s="123"/>
      <c r="G12" s="123"/>
      <c r="H12" s="123"/>
      <c r="I12" s="123"/>
      <c r="J12" s="123"/>
    </row>
  </sheetData>
  <mergeCells count="5">
    <mergeCell ref="C3:L3"/>
    <mergeCell ref="D5:D7"/>
    <mergeCell ref="E5:E7"/>
    <mergeCell ref="F5:F7"/>
    <mergeCell ref="I5:L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0.1" defaultRowHeight="15.0"/>
  <sheetData>
    <row r="1"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</row>
    <row r="2">
      <c r="B2" s="123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5"/>
    </row>
    <row r="3">
      <c r="B3" s="123"/>
      <c r="C3" s="126" t="s">
        <v>169</v>
      </c>
      <c r="D3" s="10"/>
      <c r="E3" s="10"/>
      <c r="F3" s="10"/>
      <c r="G3" s="10"/>
      <c r="H3" s="11"/>
      <c r="I3" s="123"/>
      <c r="J3" s="126" t="s">
        <v>170</v>
      </c>
      <c r="K3" s="10"/>
      <c r="L3" s="10"/>
      <c r="M3" s="10"/>
      <c r="N3" s="10"/>
      <c r="O3" s="10"/>
      <c r="P3" s="11"/>
      <c r="Q3" s="124"/>
      <c r="R3" s="125"/>
    </row>
    <row r="4">
      <c r="B4" s="123"/>
      <c r="C4" s="106"/>
      <c r="D4" s="127" t="s">
        <v>171</v>
      </c>
      <c r="E4" s="127" t="s">
        <v>172</v>
      </c>
      <c r="F4" s="127" t="s">
        <v>173</v>
      </c>
      <c r="G4" s="127" t="s">
        <v>174</v>
      </c>
      <c r="H4" s="128" t="s">
        <v>175</v>
      </c>
      <c r="I4" s="129"/>
      <c r="J4" s="130"/>
      <c r="K4" s="127" t="s">
        <v>176</v>
      </c>
      <c r="L4" s="127" t="s">
        <v>171</v>
      </c>
      <c r="M4" s="127" t="s">
        <v>172</v>
      </c>
      <c r="N4" s="127" t="s">
        <v>173</v>
      </c>
      <c r="O4" s="127" t="s">
        <v>174</v>
      </c>
      <c r="P4" s="128" t="s">
        <v>175</v>
      </c>
      <c r="Q4" s="124"/>
      <c r="R4" s="125"/>
    </row>
    <row r="5">
      <c r="B5" s="123"/>
      <c r="C5" s="131" t="s">
        <v>177</v>
      </c>
      <c r="D5" s="132">
        <f>87622</f>
        <v>87622</v>
      </c>
      <c r="E5" s="133">
        <f t="shared" ref="E5:E8" si="1">D5*0.87</f>
        <v>76231.14</v>
      </c>
      <c r="F5" s="133">
        <f t="shared" ref="F5:F8" si="2">D5*0.432</f>
        <v>37852.704</v>
      </c>
      <c r="G5" s="133">
        <f t="shared" ref="G5:G10" si="3">E5+F5</f>
        <v>114083.844</v>
      </c>
      <c r="H5" s="133">
        <f>6*G5</f>
        <v>684503.064</v>
      </c>
      <c r="I5" s="124"/>
      <c r="J5" s="131" t="s">
        <v>177</v>
      </c>
      <c r="K5" s="132">
        <f>87622</f>
        <v>87622</v>
      </c>
      <c r="L5" s="132">
        <f t="shared" ref="L5:L10" si="4">K5*1.111</f>
        <v>97348.042</v>
      </c>
      <c r="M5" s="133">
        <f t="shared" ref="M5:M8" si="5">L5*0.87</f>
        <v>84692.79654</v>
      </c>
      <c r="N5" s="133">
        <f t="shared" ref="N5:N8" si="6">L5*0.432</f>
        <v>42054.35414</v>
      </c>
      <c r="O5" s="133">
        <f t="shared" ref="O5:O10" si="7">M5+N5</f>
        <v>126747.1507</v>
      </c>
      <c r="P5" s="133">
        <f>6*O5</f>
        <v>760482.9041</v>
      </c>
      <c r="Q5" s="124"/>
      <c r="R5" s="125"/>
    </row>
    <row r="6">
      <c r="B6" s="123"/>
      <c r="C6" s="131" t="s">
        <v>178</v>
      </c>
      <c r="D6" s="132">
        <f>77180</f>
        <v>77180</v>
      </c>
      <c r="E6" s="133">
        <f t="shared" si="1"/>
        <v>67146.6</v>
      </c>
      <c r="F6" s="133">
        <f t="shared" si="2"/>
        <v>33341.76</v>
      </c>
      <c r="G6" s="133">
        <f t="shared" si="3"/>
        <v>100488.36</v>
      </c>
      <c r="H6" s="133">
        <f>2*G6</f>
        <v>200976.72</v>
      </c>
      <c r="I6" s="124"/>
      <c r="J6" s="131" t="s">
        <v>178</v>
      </c>
      <c r="K6" s="132">
        <f>77180</f>
        <v>77180</v>
      </c>
      <c r="L6" s="132">
        <f t="shared" si="4"/>
        <v>85746.98</v>
      </c>
      <c r="M6" s="133">
        <f t="shared" si="5"/>
        <v>74599.8726</v>
      </c>
      <c r="N6" s="133">
        <f t="shared" si="6"/>
        <v>37042.69536</v>
      </c>
      <c r="O6" s="133">
        <f t="shared" si="7"/>
        <v>111642.568</v>
      </c>
      <c r="P6" s="133">
        <f>2*O6</f>
        <v>223285.1359</v>
      </c>
      <c r="Q6" s="124"/>
      <c r="R6" s="125"/>
    </row>
    <row r="7">
      <c r="B7" s="123"/>
      <c r="C7" s="131" t="s">
        <v>179</v>
      </c>
      <c r="D7" s="132">
        <f>81152.5</f>
        <v>81152.5</v>
      </c>
      <c r="E7" s="133">
        <f t="shared" si="1"/>
        <v>70602.675</v>
      </c>
      <c r="F7" s="133">
        <f t="shared" si="2"/>
        <v>35057.88</v>
      </c>
      <c r="G7" s="133">
        <f t="shared" si="3"/>
        <v>105660.555</v>
      </c>
      <c r="H7" s="133">
        <f t="shared" ref="H7:H10" si="8">G7</f>
        <v>105660.555</v>
      </c>
      <c r="I7" s="124"/>
      <c r="J7" s="131" t="s">
        <v>179</v>
      </c>
      <c r="K7" s="132">
        <f>81152.5</f>
        <v>81152.5</v>
      </c>
      <c r="L7" s="132">
        <f t="shared" si="4"/>
        <v>90160.4275</v>
      </c>
      <c r="M7" s="133">
        <f t="shared" si="5"/>
        <v>78439.57193</v>
      </c>
      <c r="N7" s="133">
        <f t="shared" si="6"/>
        <v>38949.30468</v>
      </c>
      <c r="O7" s="133">
        <f t="shared" si="7"/>
        <v>117388.8766</v>
      </c>
      <c r="P7" s="133">
        <f t="shared" ref="P7:P10" si="9">O7</f>
        <v>117388.8766</v>
      </c>
      <c r="Q7" s="124"/>
      <c r="R7" s="125"/>
    </row>
    <row r="8">
      <c r="B8" s="123"/>
      <c r="C8" s="131" t="s">
        <v>180</v>
      </c>
      <c r="D8" s="132">
        <f>68100</f>
        <v>68100</v>
      </c>
      <c r="E8" s="133">
        <f t="shared" si="1"/>
        <v>59247</v>
      </c>
      <c r="F8" s="133">
        <f t="shared" si="2"/>
        <v>29419.2</v>
      </c>
      <c r="G8" s="133">
        <f t="shared" si="3"/>
        <v>88666.2</v>
      </c>
      <c r="H8" s="133">
        <f t="shared" si="8"/>
        <v>88666.2</v>
      </c>
      <c r="I8" s="124"/>
      <c r="J8" s="131" t="s">
        <v>180</v>
      </c>
      <c r="K8" s="132">
        <f>68100</f>
        <v>68100</v>
      </c>
      <c r="L8" s="132">
        <f t="shared" si="4"/>
        <v>75659.1</v>
      </c>
      <c r="M8" s="133">
        <f t="shared" si="5"/>
        <v>65823.417</v>
      </c>
      <c r="N8" s="133">
        <f t="shared" si="6"/>
        <v>32684.7312</v>
      </c>
      <c r="O8" s="133">
        <f t="shared" si="7"/>
        <v>98508.1482</v>
      </c>
      <c r="P8" s="133">
        <f t="shared" si="9"/>
        <v>98508.1482</v>
      </c>
      <c r="Q8" s="124"/>
      <c r="R8" s="125"/>
    </row>
    <row r="9">
      <c r="B9" s="123"/>
      <c r="C9" s="131" t="s">
        <v>181</v>
      </c>
      <c r="D9" s="132">
        <f>340500</f>
        <v>340500</v>
      </c>
      <c r="E9" s="133">
        <f>D9*0.85</f>
        <v>289425</v>
      </c>
      <c r="F9" s="133">
        <f>D9*0.435</f>
        <v>148117.5</v>
      </c>
      <c r="G9" s="133">
        <f t="shared" si="3"/>
        <v>437542.5</v>
      </c>
      <c r="H9" s="133">
        <f t="shared" si="8"/>
        <v>437542.5</v>
      </c>
      <c r="I9" s="124"/>
      <c r="J9" s="131" t="s">
        <v>181</v>
      </c>
      <c r="K9" s="132">
        <f>340500</f>
        <v>340500</v>
      </c>
      <c r="L9" s="132">
        <f t="shared" si="4"/>
        <v>378295.5</v>
      </c>
      <c r="M9" s="133">
        <f>L9*0.85</f>
        <v>321551.175</v>
      </c>
      <c r="N9" s="133">
        <f>L9*0.435</f>
        <v>164558.5425</v>
      </c>
      <c r="O9" s="133">
        <f t="shared" si="7"/>
        <v>486109.7175</v>
      </c>
      <c r="P9" s="133">
        <f t="shared" si="9"/>
        <v>486109.7175</v>
      </c>
      <c r="Q9" s="124"/>
      <c r="R9" s="125"/>
    </row>
    <row r="10">
      <c r="B10" s="123"/>
      <c r="C10" s="131" t="s">
        <v>182</v>
      </c>
      <c r="D10" s="132">
        <f>39725</f>
        <v>39725</v>
      </c>
      <c r="E10" s="133">
        <f>D10*0.87</f>
        <v>34560.75</v>
      </c>
      <c r="F10" s="133">
        <f>D10*0.432</f>
        <v>17161.2</v>
      </c>
      <c r="G10" s="133">
        <f t="shared" si="3"/>
        <v>51721.95</v>
      </c>
      <c r="H10" s="133">
        <f t="shared" si="8"/>
        <v>51721.95</v>
      </c>
      <c r="I10" s="124"/>
      <c r="J10" s="131" t="s">
        <v>182</v>
      </c>
      <c r="K10" s="132">
        <f>39725</f>
        <v>39725</v>
      </c>
      <c r="L10" s="132">
        <f t="shared" si="4"/>
        <v>44134.475</v>
      </c>
      <c r="M10" s="133">
        <f>L10*0.87</f>
        <v>38396.99325</v>
      </c>
      <c r="N10" s="133">
        <f>L10*0.432</f>
        <v>19066.0932</v>
      </c>
      <c r="O10" s="133">
        <f t="shared" si="7"/>
        <v>57463.08645</v>
      </c>
      <c r="P10" s="133">
        <f t="shared" si="9"/>
        <v>57463.08645</v>
      </c>
      <c r="Q10" s="124"/>
      <c r="R10" s="125"/>
    </row>
    <row r="11">
      <c r="B11" s="123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5"/>
    </row>
    <row r="12">
      <c r="B12" s="123"/>
      <c r="C12" s="134" t="s">
        <v>183</v>
      </c>
      <c r="D12" s="10"/>
      <c r="E12" s="10"/>
      <c r="F12" s="10"/>
      <c r="G12" s="10"/>
      <c r="H12" s="10"/>
      <c r="I12" s="11"/>
      <c r="J12" s="124"/>
      <c r="K12" s="135" t="s">
        <v>184</v>
      </c>
      <c r="L12" s="10"/>
      <c r="M12" s="10"/>
      <c r="N12" s="10"/>
      <c r="O12" s="10"/>
      <c r="P12" s="10"/>
      <c r="Q12" s="11"/>
      <c r="R12" s="125"/>
    </row>
    <row r="13">
      <c r="B13" s="123"/>
      <c r="C13" s="130"/>
      <c r="D13" s="127" t="s">
        <v>176</v>
      </c>
      <c r="E13" s="127" t="s">
        <v>171</v>
      </c>
      <c r="F13" s="127" t="s">
        <v>172</v>
      </c>
      <c r="G13" s="127" t="s">
        <v>173</v>
      </c>
      <c r="H13" s="127" t="s">
        <v>174</v>
      </c>
      <c r="I13" s="128" t="s">
        <v>175</v>
      </c>
      <c r="J13" s="124"/>
      <c r="K13" s="130"/>
      <c r="L13" s="127" t="s">
        <v>176</v>
      </c>
      <c r="M13" s="127" t="s">
        <v>171</v>
      </c>
      <c r="N13" s="127" t="s">
        <v>172</v>
      </c>
      <c r="O13" s="127" t="s">
        <v>173</v>
      </c>
      <c r="P13" s="127" t="s">
        <v>174</v>
      </c>
      <c r="Q13" s="128" t="s">
        <v>175</v>
      </c>
      <c r="R13" s="125"/>
    </row>
    <row r="14">
      <c r="B14" s="123"/>
      <c r="C14" s="131" t="s">
        <v>177</v>
      </c>
      <c r="D14" s="132">
        <v>97348.042</v>
      </c>
      <c r="E14" s="132">
        <f t="shared" ref="E14:E19" si="10">D14*1.112</f>
        <v>108251.0227</v>
      </c>
      <c r="F14" s="133">
        <f t="shared" ref="F14:F17" si="11">E14*0.87</f>
        <v>94178.38975</v>
      </c>
      <c r="G14" s="133">
        <f t="shared" ref="G14:G17" si="12">E14*0.432</f>
        <v>46764.44181</v>
      </c>
      <c r="H14" s="133">
        <f t="shared" ref="H14:H19" si="13">F14+G14</f>
        <v>140942.8316</v>
      </c>
      <c r="I14" s="133">
        <f>6*H14</f>
        <v>845656.9894</v>
      </c>
      <c r="J14" s="124"/>
      <c r="K14" s="131" t="s">
        <v>177</v>
      </c>
      <c r="L14" s="132">
        <v>108251.02270400002</v>
      </c>
      <c r="M14" s="132">
        <f t="shared" ref="M14:M19" si="14">L14*1.112</f>
        <v>120375.1372</v>
      </c>
      <c r="N14" s="133">
        <f t="shared" ref="N14:N17" si="15">M14*0.87</f>
        <v>104726.3694</v>
      </c>
      <c r="O14" s="133">
        <f t="shared" ref="O14:O17" si="16">M14*0.432</f>
        <v>52002.05929</v>
      </c>
      <c r="P14" s="133">
        <f t="shared" ref="P14:P19" si="17">N14+O14</f>
        <v>156728.4287</v>
      </c>
      <c r="Q14" s="133">
        <f>6*P14</f>
        <v>940370.5722</v>
      </c>
      <c r="R14" s="125"/>
    </row>
    <row r="15">
      <c r="B15" s="123"/>
      <c r="C15" s="131" t="s">
        <v>178</v>
      </c>
      <c r="D15" s="132">
        <v>85746.98</v>
      </c>
      <c r="E15" s="132">
        <f t="shared" si="10"/>
        <v>95350.64176</v>
      </c>
      <c r="F15" s="133">
        <f t="shared" si="11"/>
        <v>82955.05833</v>
      </c>
      <c r="G15" s="133">
        <f t="shared" si="12"/>
        <v>41191.47724</v>
      </c>
      <c r="H15" s="133">
        <f t="shared" si="13"/>
        <v>124146.5356</v>
      </c>
      <c r="I15" s="133">
        <f>2*H15</f>
        <v>248293.0711</v>
      </c>
      <c r="J15" s="124"/>
      <c r="K15" s="131" t="s">
        <v>178</v>
      </c>
      <c r="L15" s="132">
        <v>95350.64176</v>
      </c>
      <c r="M15" s="132">
        <f t="shared" si="14"/>
        <v>106029.9136</v>
      </c>
      <c r="N15" s="133">
        <f t="shared" si="15"/>
        <v>92246.02486</v>
      </c>
      <c r="O15" s="133">
        <f t="shared" si="16"/>
        <v>45804.92269</v>
      </c>
      <c r="P15" s="133">
        <f t="shared" si="17"/>
        <v>138050.9476</v>
      </c>
      <c r="Q15" s="133">
        <f>2*P15</f>
        <v>276101.8951</v>
      </c>
      <c r="R15" s="125"/>
    </row>
    <row r="16">
      <c r="B16" s="123"/>
      <c r="C16" s="131" t="s">
        <v>179</v>
      </c>
      <c r="D16" s="132">
        <v>90160.4275</v>
      </c>
      <c r="E16" s="132">
        <f t="shared" si="10"/>
        <v>100258.3954</v>
      </c>
      <c r="F16" s="133">
        <f t="shared" si="11"/>
        <v>87224.80398</v>
      </c>
      <c r="G16" s="133">
        <f t="shared" si="12"/>
        <v>43311.6268</v>
      </c>
      <c r="H16" s="133">
        <f t="shared" si="13"/>
        <v>130536.4308</v>
      </c>
      <c r="I16" s="133">
        <f t="shared" ref="I16:I19" si="18">H16</f>
        <v>130536.4308</v>
      </c>
      <c r="J16" s="124"/>
      <c r="K16" s="131" t="s">
        <v>179</v>
      </c>
      <c r="L16" s="132">
        <v>100258.39538000002</v>
      </c>
      <c r="M16" s="132">
        <f t="shared" si="14"/>
        <v>111487.3357</v>
      </c>
      <c r="N16" s="133">
        <f t="shared" si="15"/>
        <v>96993.98203</v>
      </c>
      <c r="O16" s="133">
        <f t="shared" si="16"/>
        <v>48162.52901</v>
      </c>
      <c r="P16" s="133">
        <f t="shared" si="17"/>
        <v>145156.511</v>
      </c>
      <c r="Q16" s="133">
        <f t="shared" ref="Q16:Q19" si="19">P16</f>
        <v>145156.511</v>
      </c>
      <c r="R16" s="125"/>
    </row>
    <row r="17">
      <c r="B17" s="123"/>
      <c r="C17" s="131" t="s">
        <v>180</v>
      </c>
      <c r="D17" s="132">
        <v>75659.1</v>
      </c>
      <c r="E17" s="132">
        <f t="shared" si="10"/>
        <v>84132.9192</v>
      </c>
      <c r="F17" s="133">
        <f t="shared" si="11"/>
        <v>73195.6397</v>
      </c>
      <c r="G17" s="133">
        <f t="shared" si="12"/>
        <v>36345.42109</v>
      </c>
      <c r="H17" s="133">
        <f t="shared" si="13"/>
        <v>109541.0608</v>
      </c>
      <c r="I17" s="133">
        <f t="shared" si="18"/>
        <v>109541.0608</v>
      </c>
      <c r="J17" s="124"/>
      <c r="K17" s="131" t="s">
        <v>180</v>
      </c>
      <c r="L17" s="132">
        <v>84132.91920000002</v>
      </c>
      <c r="M17" s="132">
        <f t="shared" si="14"/>
        <v>93555.80615</v>
      </c>
      <c r="N17" s="133">
        <f t="shared" si="15"/>
        <v>81393.55135</v>
      </c>
      <c r="O17" s="133">
        <f t="shared" si="16"/>
        <v>40416.10826</v>
      </c>
      <c r="P17" s="133">
        <f t="shared" si="17"/>
        <v>121809.6596</v>
      </c>
      <c r="Q17" s="133">
        <f t="shared" si="19"/>
        <v>121809.6596</v>
      </c>
      <c r="R17" s="125"/>
    </row>
    <row r="18">
      <c r="B18" s="123"/>
      <c r="C18" s="131" t="s">
        <v>181</v>
      </c>
      <c r="D18" s="132">
        <v>378295.5</v>
      </c>
      <c r="E18" s="132">
        <f t="shared" si="10"/>
        <v>420664.596</v>
      </c>
      <c r="F18" s="133">
        <f>E18*0.85</f>
        <v>357564.9066</v>
      </c>
      <c r="G18" s="133">
        <f>E18*0.435</f>
        <v>182989.0993</v>
      </c>
      <c r="H18" s="133">
        <f t="shared" si="13"/>
        <v>540554.0059</v>
      </c>
      <c r="I18" s="133">
        <f t="shared" si="18"/>
        <v>540554.0059</v>
      </c>
      <c r="J18" s="124"/>
      <c r="K18" s="131" t="s">
        <v>181</v>
      </c>
      <c r="L18" s="132">
        <v>420664.596</v>
      </c>
      <c r="M18" s="132">
        <f t="shared" si="14"/>
        <v>467779.0308</v>
      </c>
      <c r="N18" s="133">
        <f>M18*0.85</f>
        <v>397612.1761</v>
      </c>
      <c r="O18" s="133">
        <f>M18*0.435</f>
        <v>203483.8784</v>
      </c>
      <c r="P18" s="133">
        <f t="shared" si="17"/>
        <v>601096.0545</v>
      </c>
      <c r="Q18" s="133">
        <f t="shared" si="19"/>
        <v>601096.0545</v>
      </c>
      <c r="R18" s="125"/>
    </row>
    <row r="19">
      <c r="B19" s="123"/>
      <c r="C19" s="131" t="s">
        <v>182</v>
      </c>
      <c r="D19" s="132">
        <v>44134.475</v>
      </c>
      <c r="E19" s="132">
        <f t="shared" si="10"/>
        <v>49077.5362</v>
      </c>
      <c r="F19" s="133">
        <f>E19*0.87</f>
        <v>42697.45649</v>
      </c>
      <c r="G19" s="133">
        <f>E19*0.432</f>
        <v>21201.49564</v>
      </c>
      <c r="H19" s="133">
        <f t="shared" si="13"/>
        <v>63898.95213</v>
      </c>
      <c r="I19" s="133">
        <f t="shared" si="18"/>
        <v>63898.95213</v>
      </c>
      <c r="J19" s="124"/>
      <c r="K19" s="131" t="s">
        <v>182</v>
      </c>
      <c r="L19" s="132">
        <v>49077.5362</v>
      </c>
      <c r="M19" s="132">
        <f t="shared" si="14"/>
        <v>54574.22025</v>
      </c>
      <c r="N19" s="133">
        <f>M19*0.87</f>
        <v>47479.57162</v>
      </c>
      <c r="O19" s="133">
        <f>M19*0.432</f>
        <v>23576.06315</v>
      </c>
      <c r="P19" s="133">
        <f t="shared" si="17"/>
        <v>71055.63477</v>
      </c>
      <c r="Q19" s="133">
        <f t="shared" si="19"/>
        <v>71055.63477</v>
      </c>
      <c r="R19" s="125"/>
    </row>
    <row r="20">
      <c r="B20" s="123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</row>
    <row r="21">
      <c r="B21" s="123"/>
      <c r="C21" s="135" t="s">
        <v>184</v>
      </c>
      <c r="D21" s="10"/>
      <c r="E21" s="10"/>
      <c r="F21" s="10"/>
      <c r="G21" s="10"/>
      <c r="H21" s="10"/>
      <c r="I21" s="11"/>
      <c r="J21" s="123"/>
      <c r="K21" s="123"/>
      <c r="L21" s="123"/>
      <c r="M21" s="123"/>
      <c r="N21" s="123"/>
      <c r="O21" s="123"/>
      <c r="P21" s="123"/>
      <c r="Q21" s="123"/>
    </row>
    <row r="22">
      <c r="C22" s="130"/>
      <c r="D22" s="127" t="s">
        <v>176</v>
      </c>
      <c r="E22" s="127" t="s">
        <v>171</v>
      </c>
      <c r="F22" s="127" t="s">
        <v>172</v>
      </c>
      <c r="G22" s="127" t="s">
        <v>173</v>
      </c>
      <c r="H22" s="127" t="s">
        <v>174</v>
      </c>
      <c r="I22" s="128" t="s">
        <v>175</v>
      </c>
    </row>
    <row r="23">
      <c r="C23" s="131" t="s">
        <v>177</v>
      </c>
      <c r="D23" s="132">
        <v>120375.13724684803</v>
      </c>
      <c r="E23" s="132">
        <f t="shared" ref="E23:E28" si="20">D23*1.112</f>
        <v>133857.1526</v>
      </c>
      <c r="F23" s="133">
        <f t="shared" ref="F23:F26" si="21">E23*0.87</f>
        <v>116455.7228</v>
      </c>
      <c r="G23" s="133">
        <f t="shared" ref="G23:G26" si="22">E23*0.432</f>
        <v>57826.28993</v>
      </c>
      <c r="H23" s="133">
        <f t="shared" ref="H23:H28" si="23">F23+G23</f>
        <v>174282.0127</v>
      </c>
      <c r="I23" s="133">
        <f>6*H23</f>
        <v>1045692.076</v>
      </c>
    </row>
    <row r="24">
      <c r="C24" s="131" t="s">
        <v>178</v>
      </c>
      <c r="D24" s="132">
        <v>106029.91363712001</v>
      </c>
      <c r="E24" s="132">
        <f t="shared" si="20"/>
        <v>117905.264</v>
      </c>
      <c r="F24" s="133">
        <f t="shared" si="21"/>
        <v>102577.5796</v>
      </c>
      <c r="G24" s="133">
        <f t="shared" si="22"/>
        <v>50935.07403</v>
      </c>
      <c r="H24" s="133">
        <f t="shared" si="23"/>
        <v>153512.6537</v>
      </c>
      <c r="I24" s="133">
        <f>2*H24</f>
        <v>307025.3074</v>
      </c>
    </row>
    <row r="25">
      <c r="C25" s="131" t="s">
        <v>179</v>
      </c>
      <c r="D25" s="132">
        <v>111487.33566256003</v>
      </c>
      <c r="E25" s="132">
        <f t="shared" si="20"/>
        <v>123973.9173</v>
      </c>
      <c r="F25" s="133">
        <f t="shared" si="21"/>
        <v>107857.308</v>
      </c>
      <c r="G25" s="133">
        <f t="shared" si="22"/>
        <v>53556.73225</v>
      </c>
      <c r="H25" s="133">
        <f t="shared" si="23"/>
        <v>161414.0403</v>
      </c>
      <c r="I25" s="133">
        <f t="shared" ref="I25:I28" si="24">H25</f>
        <v>161414.0403</v>
      </c>
    </row>
    <row r="26">
      <c r="C26" s="131" t="s">
        <v>180</v>
      </c>
      <c r="D26" s="132">
        <v>93555.80615040004</v>
      </c>
      <c r="E26" s="132">
        <f t="shared" si="20"/>
        <v>104034.0564</v>
      </c>
      <c r="F26" s="133">
        <f t="shared" si="21"/>
        <v>90509.6291</v>
      </c>
      <c r="G26" s="133">
        <f t="shared" si="22"/>
        <v>44942.71238</v>
      </c>
      <c r="H26" s="133">
        <f t="shared" si="23"/>
        <v>135452.3415</v>
      </c>
      <c r="I26" s="133">
        <f t="shared" si="24"/>
        <v>135452.3415</v>
      </c>
    </row>
    <row r="27">
      <c r="C27" s="131" t="s">
        <v>181</v>
      </c>
      <c r="D27" s="132">
        <v>467779.03075200005</v>
      </c>
      <c r="E27" s="132">
        <f t="shared" si="20"/>
        <v>520170.2822</v>
      </c>
      <c r="F27" s="133">
        <f>E27*0.85</f>
        <v>442144.7399</v>
      </c>
      <c r="G27" s="133">
        <f>E27*0.435</f>
        <v>226274.0728</v>
      </c>
      <c r="H27" s="133">
        <f t="shared" si="23"/>
        <v>668418.8126</v>
      </c>
      <c r="I27" s="133">
        <f t="shared" si="24"/>
        <v>668418.8126</v>
      </c>
    </row>
    <row r="28">
      <c r="C28" s="131" t="s">
        <v>182</v>
      </c>
      <c r="D28" s="132">
        <v>54574.22025440001</v>
      </c>
      <c r="E28" s="132">
        <f t="shared" si="20"/>
        <v>60686.53292</v>
      </c>
      <c r="F28" s="133">
        <f>E28*0.87</f>
        <v>52797.28364</v>
      </c>
      <c r="G28" s="133">
        <f>E28*0.432</f>
        <v>26216.58222</v>
      </c>
      <c r="H28" s="133">
        <f t="shared" si="23"/>
        <v>79013.86587</v>
      </c>
      <c r="I28" s="133">
        <f t="shared" si="24"/>
        <v>79013.86587</v>
      </c>
    </row>
  </sheetData>
  <mergeCells count="5">
    <mergeCell ref="C3:H3"/>
    <mergeCell ref="J3:P3"/>
    <mergeCell ref="C12:I12"/>
    <mergeCell ref="K12:Q12"/>
    <mergeCell ref="C21:I21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2022-08-27T14:14:24Z</dcterms:created>
  <dc:creator>Афанасьев Владислав Викторович</dc:creator>
</cp:coreProperties>
</file>