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<sst xmlns="http://schemas.openxmlformats.org/spreadsheetml/2006/main" count="329" uniqueCount="329">
  <si>
    <t>https://expo.sec.vt.edu/student/CompanyInformation/3MCompany</t>
  </si>
  <si>
    <t>https://expo.sec.vt.edu/student/CompanyInformation/ABB</t>
  </si>
  <si>
    <t>https://expo.sec.vt.edu/student/CompanyInformation/Abbott</t>
  </si>
  <si>
    <t>https://expo.sec.vt.edu/student/CompanyInformation/AFS</t>
  </si>
  <si>
    <t>https://expo.sec.vt.edu/student/CompanyInformation/ASix</t>
  </si>
  <si>
    <t>https://expo.sec.vt.edu/student/CompanyInformation/AECOM</t>
  </si>
  <si>
    <t>https://expo.sec.vt.edu/student/CompanyInformation/Aerojet</t>
  </si>
  <si>
    <t>https://expo.sec.vt.edu/student/CompanyInformation/Aerotek</t>
  </si>
  <si>
    <t>https://expo.sec.vt.edu/student/CompanyInformation/AFL</t>
  </si>
  <si>
    <t>https://expo.sec.vt.edu/student/CompanyInformation/ADC</t>
  </si>
  <si>
    <t>https://expo.sec.vt.edu/student/CompanyInformation/Albemarle</t>
  </si>
  <si>
    <t>https://expo.sec.vt.edu/student/CompanyInformation/ALL4</t>
  </si>
  <si>
    <t>https://expo.sec.vt.edu/student/CompanyInformation/Alpine</t>
  </si>
  <si>
    <t>https://expo.sec.vt.edu/student/CompanyInformation/Altec</t>
  </si>
  <si>
    <t>https://expo.sec.vt.edu/student/CompanyInformation/Altria</t>
  </si>
  <si>
    <t>https://expo.sec.vt.edu/student/CompanyInformation/AWS</t>
  </si>
  <si>
    <t>https://expo.sec.vt.edu/student/CompanyInformation/AMERICAN</t>
  </si>
  <si>
    <t>https://expo.sec.vt.edu/student/CompanyInformation/ACE</t>
  </si>
  <si>
    <t>https://expo.sec.vt.edu/student/CompanyInformation/AEP</t>
  </si>
  <si>
    <t>https://expo.sec.vt.edu/student/CompanyInformation/americanw</t>
  </si>
  <si>
    <t>https://expo.sec.vt.edu/student/CompanyInformation/ABS</t>
  </si>
  <si>
    <t>https://expo.sec.vt.edu/student/CompanyInformation/ARX</t>
  </si>
  <si>
    <t>https://expo.sec.vt.edu/student/CompanyInformation/ADI</t>
  </si>
  <si>
    <t>https://expo.sec.vt.edu/student/CompanyInformation/AnaVation</t>
  </si>
  <si>
    <t>https://expo.sec.vt.edu/student/CompanyInformation/SDD</t>
  </si>
  <si>
    <t>https://expo.sec.vt.edu/student/CompanyInformation/ABI</t>
  </si>
  <si>
    <t>https://expo.sec.vt.edu/student/CompanyInformation/AMS</t>
  </si>
  <si>
    <t>https://expo.sec.vt.edu/student/CompanyInformation/Appian</t>
  </si>
  <si>
    <t>https://expo.sec.vt.edu/student/CompanyInformation/ARA</t>
  </si>
  <si>
    <t>https://expo.sec.vt.edu/student/CompanyInformation/ARLatPSU</t>
  </si>
  <si>
    <t>https://expo.sec.vt.edu/student/CompanyInformation/Arconic</t>
  </si>
  <si>
    <t>https://expo.sec.vt.edu/student/CompanyInformation/123</t>
  </si>
  <si>
    <t>https://expo.sec.vt.edu/student/CompanyInformation/Arup</t>
  </si>
  <si>
    <t>https://expo.sec.vt.edu/student/CompanyInformation/ACI</t>
  </si>
  <si>
    <t>https://expo.sec.vt.edu/student/CompanyInformation/aurora</t>
  </si>
  <si>
    <t>https://expo.sec.vt.edu/student/CompanyInformation/Austal</t>
  </si>
  <si>
    <t>https://expo.sec.vt.edu/student/CompanyInformation/ADD</t>
  </si>
  <si>
    <t>https://expo.sec.vt.edu/student/CompanyInformation/BAE</t>
  </si>
  <si>
    <t>https://expo.sec.vt.edu/student/CompanyInformation/BPMI</t>
  </si>
  <si>
    <t>https://expo.sec.vt.edu/student/CompanyInformation/BV1</t>
  </si>
  <si>
    <t>https://expo.sec.vt.edu/student/CompanyInformation/BlackHorse</t>
  </si>
  <si>
    <t>https://expo.sec.vt.edu/student/CompanyInformation/bloomberg</t>
  </si>
  <si>
    <t>https://expo.sec.vt.edu/student/CompanyInformation/BRE</t>
  </si>
  <si>
    <t>https://expo.sec.vt.edu/student/CompanyInformation/BPA</t>
  </si>
  <si>
    <t>https://expo.sec.vt.edu/student/CompanyInformation/BMW</t>
  </si>
  <si>
    <t>https://expo.sec.vt.edu/student/CompanyInformation/Boeing</t>
  </si>
  <si>
    <t>https://expo.sec.vt.edu/student/CompanyInformation/Boise</t>
  </si>
  <si>
    <t>https://expo.sec.vt.edu/student/CompanyInformation/BAH</t>
  </si>
  <si>
    <t>https://expo.sec.vt.edu/student/CompanyInformation/BGWR</t>
  </si>
  <si>
    <t>https://expo.sec.vt.edu/student/CompanyInformation/BorgWarner</t>
  </si>
  <si>
    <t>https://expo.sec.vt.edu/student/CompanyInformation/BAP</t>
  </si>
  <si>
    <t>https://expo.sec.vt.edu/student/CompanyInformation/18VTUFALL</t>
  </si>
  <si>
    <t>https://expo.sec.vt.edu/student/CompanyInformation/BTES</t>
  </si>
  <si>
    <t>https://expo.sec.vt.edu/student/CompanyInformation/BurnsMac</t>
  </si>
  <si>
    <t>https://expo.sec.vt.edu/student/CompanyInformation/BWIS</t>
  </si>
  <si>
    <t>https://expo.sec.vt.edu/student/CompanyInformation/BWXT</t>
  </si>
  <si>
    <t>https://expo.sec.vt.edu/student/CompanyInformation/CACI</t>
  </si>
  <si>
    <t>https://expo.sec.vt.edu/student/CompanyInformation/CVI</t>
  </si>
  <si>
    <t>https://expo.sec.vt.edu/student/CompanyInformation/CapOne</t>
  </si>
  <si>
    <t>https://expo.sec.vt.edu/student/CompanyInformation/Cardinal</t>
  </si>
  <si>
    <t>https://expo.sec.vt.edu/student/CompanyInformation/CEMA</t>
  </si>
  <si>
    <t>https://expo.sec.vt.edu/student/CompanyInformation/Cat</t>
  </si>
  <si>
    <t>https://expo.sec.vt.edu/student/CompanyInformation/CDMSmith</t>
  </si>
  <si>
    <t>https://expo.sec.vt.edu/student/CompanyInformation/CIA</t>
  </si>
  <si>
    <t>https://expo.sec.vt.edu/student/CompanyInformation/charontech</t>
  </si>
  <si>
    <t>https://expo.sec.vt.edu/student/CompanyInformation/CIMTEC</t>
  </si>
  <si>
    <t>https://expo.sec.vt.edu/student/CompanyInformation/Citrix</t>
  </si>
  <si>
    <t>https://expo.sec.vt.edu/student/CompanyInformation/Clarabridg</t>
  </si>
  <si>
    <t>https://expo.sec.vt.edu/student/CompanyInformation/ClarkNex</t>
  </si>
  <si>
    <t>https://expo.sec.vt.edu/student/CompanyInformation/CCCi</t>
  </si>
  <si>
    <t>https://expo.sec.vt.edu/student/CompanyInformation/CLT</t>
  </si>
  <si>
    <t>https://expo.sec.vt.edu/student/CompanyInformation/Conti</t>
  </si>
  <si>
    <t>https://expo.sec.vt.edu/student/CompanyInformation/Cooper</t>
  </si>
  <si>
    <t>https://expo.sec.vt.edu/student/CompanyInformation/CNY</t>
  </si>
  <si>
    <t>https://expo.sec.vt.edu/student/CompanyInformation/Corvid</t>
  </si>
  <si>
    <t>https://expo.sec.vt.edu/student/CompanyInformation/Covia</t>
  </si>
  <si>
    <t>https://expo.sec.vt.edu/student/CompanyInformation/Cree</t>
  </si>
  <si>
    <t>https://expo.sec.vt.edu/student/CompanyInformation/ccc</t>
  </si>
  <si>
    <t>https://expo.sec.vt.edu/student/CompanyInformation/CMI</t>
  </si>
  <si>
    <t>https://expo.sec.vt.edu/student/CompanyInformation/Cvent</t>
  </si>
  <si>
    <t>https://expo.sec.vt.edu/student/CompanyInformation/DTNA</t>
  </si>
  <si>
    <t>https://expo.sec.vt.edu/student/CompanyInformation/DCS</t>
  </si>
  <si>
    <t>https://expo.sec.vt.edu/student/CompanyInformation/DIA</t>
  </si>
  <si>
    <t>https://expo.sec.vt.edu/student/CompanyInformation/Dell</t>
  </si>
  <si>
    <t>https://expo.sec.vt.edu/student/CompanyInformation/Deloitte</t>
  </si>
  <si>
    <t>https://expo.sec.vt.edu/student/CompanyInformation/delphitech</t>
  </si>
  <si>
    <t>https://expo.sec.vt.edu/student/CompanyInformation/DGL</t>
  </si>
  <si>
    <t>https://expo.sec.vt.edu/student/CompanyInformation/DES</t>
  </si>
  <si>
    <t>https://expo.sec.vt.edu/student/CompanyInformation/Dewberry</t>
  </si>
  <si>
    <t>https://expo.sec.vt.edu/student/CompanyInformation/DRT</t>
  </si>
  <si>
    <t>https://expo.sec.vt.edu/student/CompanyInformation/DJG</t>
  </si>
  <si>
    <t>https://expo.sec.vt.edu/student/CompanyInformation/DomEnergy</t>
  </si>
  <si>
    <t>https://expo.sec.vt.edu/student/CompanyInformation/Doosan</t>
  </si>
  <si>
    <t>https://expo.sec.vt.edu/student/CompanyInformation/Dover</t>
  </si>
  <si>
    <t>https://expo.sec.vt.edu/student/CompanyInformation/DE2018</t>
  </si>
  <si>
    <t>https://expo.sec.vt.edu/student/CompanyInformation/DUHS</t>
  </si>
  <si>
    <t>https://expo.sec.vt.edu/student/CompanyInformation/DuPont</t>
  </si>
  <si>
    <t>https://expo.sec.vt.edu/student/CompanyInformation/EASi</t>
  </si>
  <si>
    <t>https://expo.sec.vt.edu/student/CompanyInformation/ERG</t>
  </si>
  <si>
    <t>https://expo.sec.vt.edu/student/CompanyInformation/EMN</t>
  </si>
  <si>
    <t>https://expo.sec.vt.edu/student/CompanyInformation/Eaton</t>
  </si>
  <si>
    <t>https://expo.sec.vt.edu/student/CompanyInformation/ECS</t>
  </si>
  <si>
    <t>https://expo.sec.vt.edu/student/CompanyInformation/Engility</t>
  </si>
  <si>
    <t>https://expo.sec.vt.edu/student/CompanyInformation/Ensco</t>
  </si>
  <si>
    <t>https://expo.sec.vt.edu/student/CompanyInformation/Enviva</t>
  </si>
  <si>
    <t>https://expo.sec.vt.edu/student/CompanyInformation/Epic</t>
  </si>
  <si>
    <t>https://expo.sec.vt.edu/student/CompanyInformation/EY1</t>
  </si>
  <si>
    <t>https://expo.sec.vt.edu/student/CompanyInformation/Evapco</t>
  </si>
  <si>
    <t>https://expo.sec.vt.edu/student/CompanyInformation/Evonik</t>
  </si>
  <si>
    <t>https://expo.sec.vt.edu/student/CompanyInformation/Excella</t>
  </si>
  <si>
    <t>https://expo.sec.vt.edu/student/CompanyInformation/EXP</t>
  </si>
  <si>
    <t>https://expo.sec.vt.edu/student/CompanyInformation/XOM</t>
  </si>
  <si>
    <t>https://expo.sec.vt.edu/student/CompanyInformation/FBI</t>
  </si>
  <si>
    <t>https://expo.sec.vt.edu/student/CompanyInformation/FEDMOG</t>
  </si>
  <si>
    <t>https://expo.sec.vt.edu/student/CompanyInformation/FedExG</t>
  </si>
  <si>
    <t>https://expo.sec.vt.edu/student/CompanyInformation/FMG</t>
  </si>
  <si>
    <t>https://expo.sec.vt.edu/student/CompanyInformation/FTV</t>
  </si>
  <si>
    <t>https://expo.sec.vt.edu/student/CompanyInformation/For</t>
  </si>
  <si>
    <t>https://expo.sec.vt.edu/student/CompanyInformation/FOX</t>
  </si>
  <si>
    <t>https://expo.sec.vt.edu/student/CompanyInformation/Framatome</t>
  </si>
  <si>
    <t>https://expo.sec.vt.edu/student/CompanyInformation/FNI</t>
  </si>
  <si>
    <t>https://expo.sec.vt.edu/student/CompanyInformation/G2Ops</t>
  </si>
  <si>
    <t>https://expo.sec.vt.edu/student/CompanyInformation/G3T</t>
  </si>
  <si>
    <t>https://expo.sec.vt.edu/student/CompanyInformation/GAF</t>
  </si>
  <si>
    <t>https://expo.sec.vt.edu/student/CompanyInformation/Galatea</t>
  </si>
  <si>
    <t>https://expo.sec.vt.edu/student/CompanyInformation/Garney</t>
  </si>
  <si>
    <t>https://expo.sec.vt.edu/student/CompanyInformation/Gaumard</t>
  </si>
  <si>
    <t>https://expo.sec.vt.edu/student/CompanyInformation/GDEB</t>
  </si>
  <si>
    <t>https://expo.sec.vt.edu/student/CompanyInformation/GDMS</t>
  </si>
  <si>
    <t>https://expo.sec.vt.edu/student/CompanyInformation/gGE</t>
  </si>
  <si>
    <t>https://expo.sec.vt.edu/student/CompanyInformation/GMVT</t>
  </si>
  <si>
    <t>https://expo.sec.vt.edu/student/CompanyInformation/GeorgiaPac</t>
  </si>
  <si>
    <t>https://expo.sec.vt.edu/student/CompanyInformation/GHTLTD</t>
  </si>
  <si>
    <t>https://expo.sec.vt.edu/student/CompanyInformation/Goodyear</t>
  </si>
  <si>
    <t>https://expo.sec.vt.edu/student/CompanyInformation/GTUS</t>
  </si>
  <si>
    <t>https://expo.sec.vt.edu/student/CompanyInformation/GAC</t>
  </si>
  <si>
    <t>https://expo.sec.vt.edu/student/CompanyInformation/HAECO</t>
  </si>
  <si>
    <t>https://expo.sec.vt.edu/student/CompanyInformation/Hardesty</t>
  </si>
  <si>
    <t>https://expo.sec.vt.edu/student/CompanyInformation/Harmon</t>
  </si>
  <si>
    <t>https://expo.sec.vt.edu/student/CompanyInformation/Harris</t>
  </si>
  <si>
    <t>https://expo.sec.vt.edu/student/CompanyInformation/Hartness</t>
  </si>
  <si>
    <t>https://expo.sec.vt.edu/student/CompanyInformation/Hayward</t>
  </si>
  <si>
    <t>https://expo.sec.vt.edu/student/CompanyInformation/HDT</t>
  </si>
  <si>
    <t>https://expo.sec.vt.edu/student/CompanyInformation/Herren</t>
  </si>
  <si>
    <t>https://expo.sec.vt.edu/student/CompanyInformation/HTL</t>
  </si>
  <si>
    <t>https://expo.sec.vt.edu/student/CompanyInformation/HEX</t>
  </si>
  <si>
    <t>https://expo.sec.vt.edu/student/CompanyInformation/HIL</t>
  </si>
  <si>
    <t>https://expo.sec.vt.edu/student/CompanyInformation/HVCareers</t>
  </si>
  <si>
    <t>https://expo.sec.vt.edu/student/CompanyInformation/Honda</t>
  </si>
  <si>
    <t>https://expo.sec.vt.edu/student/CompanyInformation/HON</t>
  </si>
  <si>
    <t>https://expo.sec.vt.edu/student/CompanyInformation/HNS</t>
  </si>
  <si>
    <t>https://expo.sec.vt.edu/student/CompanyInformation/IBM</t>
  </si>
  <si>
    <t>https://expo.sec.vt.edu/student/CompanyInformation/IMS2018</t>
  </si>
  <si>
    <t>https://expo.sec.vt.edu/student/CompanyInformation/INDA</t>
  </si>
  <si>
    <t>https://expo.sec.vt.edu/student/CompanyInformation/IRC</t>
  </si>
  <si>
    <t>https://expo.sec.vt.edu/student/CompanyInformation/Ingevity</t>
  </si>
  <si>
    <t>https://expo.sec.vt.edu/student/CompanyInformation/irs</t>
  </si>
  <si>
    <t>https://expo.sec.vt.edu/student/CompanyInformation/IDA</t>
  </si>
  <si>
    <t>https://expo.sec.vt.edu/student/CompanyInformation/IPaper</t>
  </si>
  <si>
    <t>https://expo.sec.vt.edu/student/CompanyInformation/JBHT</t>
  </si>
  <si>
    <t>https://expo.sec.vt.edu/student/CompanyInformation/JFTI</t>
  </si>
  <si>
    <t>https://expo.sec.vt.edu/student/CompanyInformation/JEG</t>
  </si>
  <si>
    <t>https://expo.sec.vt.edu/student/CompanyInformation/JGS</t>
  </si>
  <si>
    <t>https://expo.sec.vt.edu/student/CompanyInformation/JHUAPL</t>
  </si>
  <si>
    <t>https://expo.sec.vt.edu/student/CompanyInformation/K2M</t>
  </si>
  <si>
    <t>https://expo.sec.vt.edu/student/CompanyInformation/KeyTech</t>
  </si>
  <si>
    <t>https://expo.sec.vt.edu/student/CompanyInformation/KeyW</t>
  </si>
  <si>
    <t>https://expo.sec.vt.edu/student/CompanyInformation/KDB</t>
  </si>
  <si>
    <t>https://expo.sec.vt.edu/student/CompanyInformation/KOL</t>
  </si>
  <si>
    <t>https://expo.sec.vt.edu/student/CompanyInformation/KPMG</t>
  </si>
  <si>
    <t>https://expo.sec.vt.edu/student/CompanyInformation/Kudu</t>
  </si>
  <si>
    <t>https://expo.sec.vt.edu/student/CompanyInformation/L2T</t>
  </si>
  <si>
    <t>https://expo.sec.vt.edu/student/CompanyInformation/L3Tech</t>
  </si>
  <si>
    <t>https://expo.sec.vt.edu/student/CompanyInformation/LWA</t>
  </si>
  <si>
    <t>https://expo.sec.vt.edu/student/CompanyInformation/Leidos</t>
  </si>
  <si>
    <t>https://expo.sec.vt.edu/student/CompanyInformation/LGS</t>
  </si>
  <si>
    <t>https://expo.sec.vt.edu/student/CompanyInformation/LNA</t>
  </si>
  <si>
    <t>https://expo.sec.vt.edu/student/CompanyInformation/LIEBHERR</t>
  </si>
  <si>
    <t>https://expo.sec.vt.edu/student/CompanyInformation/Limbach</t>
  </si>
  <si>
    <t>https://expo.sec.vt.edu/student/CompanyInformation/Little</t>
  </si>
  <si>
    <t>https://expo.sec.vt.edu/student/CompanyInformation/LMCO</t>
  </si>
  <si>
    <t>https://expo.sec.vt.edu/student/CompanyInformation/LMI</t>
  </si>
  <si>
    <t>https://expo.sec.vt.edu/student/CompanyInformation/LORD</t>
  </si>
  <si>
    <t>https://expo.sec.vt.edu/student/CompanyInformation/Lowes</t>
  </si>
  <si>
    <t>https://expo.sec.vt.edu/student/CompanyInformation/Lutron</t>
  </si>
  <si>
    <t>https://expo.sec.vt.edu/student/CompanyInformation/8352</t>
  </si>
  <si>
    <t>https://expo.sec.vt.edu/student/CompanyInformation/MacB</t>
  </si>
  <si>
    <t>https://expo.sec.vt.edu/student/CompanyInformation/ManTech</t>
  </si>
  <si>
    <t>https://expo.sec.vt.edu/student/CompanyInformation/MPC</t>
  </si>
  <si>
    <t>https://expo.sec.vt.edu/student/CompanyInformation/MHG</t>
  </si>
  <si>
    <t>https://expo.sec.vt.edu/student/CompanyInformation/TMW</t>
  </si>
  <si>
    <t>https://expo.sec.vt.edu/student/CompanyInformation/McA1979</t>
  </si>
  <si>
    <t>https://expo.sec.vt.edu/student/CompanyInformation/McGill</t>
  </si>
  <si>
    <t>https://expo.sec.vt.edu/student/CompanyInformation/McKee</t>
  </si>
  <si>
    <t>https://expo.sec.vt.edu/student/CompanyInformation/McQ</t>
  </si>
  <si>
    <t>https://expo.sec.vt.edu/student/CompanyInformation/METCORP</t>
  </si>
  <si>
    <t>https://expo.sec.vt.edu/student/CompanyInformation/Metso</t>
  </si>
  <si>
    <t>https://expo.sec.vt.edu/student/CompanyInformation/Michelin</t>
  </si>
  <si>
    <t>https://expo.sec.vt.edu/student/CompanyInformation/Micron</t>
  </si>
  <si>
    <t>https://expo.sec.vt.edu/student/CompanyInformation/MSTR</t>
  </si>
  <si>
    <t>https://expo.sec.vt.edu/student/CompanyInformation/MSCAshore</t>
  </si>
  <si>
    <t>https://expo.sec.vt.edu/student/CompanyInformation/Milliken</t>
  </si>
  <si>
    <t>https://expo.sec.vt.edu/student/CompanyInformation/mindtree</t>
  </si>
  <si>
    <t>https://expo.sec.vt.edu/student/CompanyInformation/mitll</t>
  </si>
  <si>
    <t>https://expo.sec.vt.edu/student/CompanyInformation/MITRE</t>
  </si>
  <si>
    <t>https://expo.sec.vt.edu/student/CompanyInformation/Moog</t>
  </si>
  <si>
    <t>https://expo.sec.vt.edu/student/CompanyInformation/MCS</t>
  </si>
  <si>
    <t>https://expo.sec.vt.edu/student/CompanyInformation/MPR</t>
  </si>
  <si>
    <t>https://expo.sec.vt.edu/student/CompanyInformation/MWP</t>
  </si>
  <si>
    <t>https://expo.sec.vt.edu/student/CompanyInformation/NGA</t>
  </si>
  <si>
    <t>https://expo.sec.vt.edu/student/CompanyInformation/NGIC</t>
  </si>
  <si>
    <t>https://expo.sec.vt.edu/student/CompanyInformation/NATI</t>
  </si>
  <si>
    <t>https://expo.sec.vt.edu/student/CompanyInformation/NSA</t>
  </si>
  <si>
    <t>https://expo.sec.vt.edu/student/CompanyInformation/NAV</t>
  </si>
  <si>
    <t>https://expo.sec.vt.edu/student/CompanyInformation/NAVAIR</t>
  </si>
  <si>
    <t>https://expo.sec.vt.edu/student/CompanyInformation/google</t>
  </si>
  <si>
    <t>https://expo.sec.vt.edu/student/CompanyInformation/NNL</t>
  </si>
  <si>
    <t>https://expo.sec.vt.edu/student/CompanyInformation/NAVSEA</t>
  </si>
  <si>
    <t>https://expo.sec.vt.edu/student/CompanyInformation/NetApp</t>
  </si>
  <si>
    <t>https://expo.sec.vt.edu/student/CompanyInformation/NNS</t>
  </si>
  <si>
    <t>https://expo.sec.vt.edu/student/CompanyInformation/Niagara</t>
  </si>
  <si>
    <t>https://expo.sec.vt.edu/student/CompanyInformation/Nielsen</t>
  </si>
  <si>
    <t>https://expo.sec.vt.edu/student/CompanyInformation/NVESD</t>
  </si>
  <si>
    <t>https://expo.sec.vt.edu/student/CompanyInformation/Noblis</t>
  </si>
  <si>
    <t>https://expo.sec.vt.edu/student/CompanyInformation/NSC</t>
  </si>
  <si>
    <t>https://expo.sec.vt.edu/student/CompanyInformation/NCDOT</t>
  </si>
  <si>
    <t>https://expo.sec.vt.edu/student/CompanyInformation/NGC</t>
  </si>
  <si>
    <t>https://expo.sec.vt.edu/student/CompanyInformation/NNPILP</t>
  </si>
  <si>
    <t>https://expo.sec.vt.edu/student/CompanyInformation/nucor</t>
  </si>
  <si>
    <t>https://expo.sec.vt.edu/student/CompanyInformation/ORNL</t>
  </si>
  <si>
    <t>https://expo.sec.vt.edu/student/CompanyInformation/OIS</t>
  </si>
  <si>
    <t>https://expo.sec.vt.edu/student/CompanyInformation/OWB</t>
  </si>
  <si>
    <t>https://expo.sec.vt.edu/student/CompanyInformation/optimalsat</t>
  </si>
  <si>
    <t>https://expo.sec.vt.edu/student/CompanyInformation/OSK</t>
  </si>
  <si>
    <t>https://expo.sec.vt.edu/student/CompanyInformation/OSIsoft</t>
  </si>
  <si>
    <t>https://expo.sec.vt.edu/student/CompanyInformation/Ozmo</t>
  </si>
  <si>
    <t>https://expo.sec.vt.edu/student/CompanyInformation/Pantheon</t>
  </si>
  <si>
    <t>https://expo.sec.vt.edu/student/CompanyInformation/Parsons</t>
  </si>
  <si>
    <t>https://expo.sec.vt.edu/student/CompanyInformation/Careers</t>
  </si>
  <si>
    <t>https://expo.sec.vt.edu/student/CompanyInformation/PepsiCo</t>
  </si>
  <si>
    <t>https://expo.sec.vt.edu/student/CompanyInformation/PRSP</t>
  </si>
  <si>
    <t>https://expo.sec.vt.edu/student/CompanyInformation/acs</t>
  </si>
  <si>
    <t>https://expo.sec.vt.edu/student/CompanyInformation/PFE</t>
  </si>
  <si>
    <t>https://expo.sec.vt.edu/student/CompanyInformation/PLEXUSCORP</t>
  </si>
  <si>
    <t>https://expo.sec.vt.edu/student/CompanyInformation/PolyOne</t>
  </si>
  <si>
    <t>https://expo.sec.vt.edu/student/CompanyInformation/PME</t>
  </si>
  <si>
    <t>https://expo.sec.vt.edu/student/CompanyInformation/PCC</t>
  </si>
  <si>
    <t>https://expo.sec.vt.edu/student/CompanyInformation/PSMI</t>
  </si>
  <si>
    <t>https://expo.sec.vt.edu/student/CompanyInformation/Prysmian</t>
  </si>
  <si>
    <t>https://expo.sec.vt.edu/student/CompanyInformation/QuantaDyn</t>
  </si>
  <si>
    <t>https://expo.sec.vt.edu/student/CompanyInformation/RegO</t>
  </si>
  <si>
    <t>https://expo.sec.vt.edu/student/CompanyInformation/RPC</t>
  </si>
  <si>
    <t>https://expo.sec.vt.edu/student/CompanyInformation/RAI123</t>
  </si>
  <si>
    <t>https://expo.sec.vt.edu/student/CompanyInformation/RINCON</t>
  </si>
  <si>
    <t>https://expo.sec.vt.edu/student/CompanyInformation/RioTinto</t>
  </si>
  <si>
    <t>https://expo.sec.vt.edu/student/CompanyInformation/RAC</t>
  </si>
  <si>
    <t>https://expo.sec.vt.edu/student/CompanyInformation/RRC</t>
  </si>
  <si>
    <t>https://expo.sec.vt.edu/student/CompanyInformation/RoviSys</t>
  </si>
  <si>
    <t>https://expo.sec.vt.edu/student/CompanyInformation/rsh</t>
  </si>
  <si>
    <t>https://expo.sec.vt.edu/student/CompanyInformation/Sabra</t>
  </si>
  <si>
    <t>https://expo.sec.vt.edu/student/CompanyInformation/SAIC</t>
  </si>
  <si>
    <t>https://expo.sec.vt.edu/student/CompanyInformation/SRNS</t>
  </si>
  <si>
    <t>https://expo.sec.vt.edu/student/CompanyInformation/SRR</t>
  </si>
  <si>
    <t>https://expo.sec.vt.edu/student/CompanyInformation/SEE</t>
  </si>
  <si>
    <t>https://expo.sec.vt.edu/student/CompanyInformation/SEC</t>
  </si>
  <si>
    <t>https://expo.sec.vt.edu/student/CompanyInformation/SETTY</t>
  </si>
  <si>
    <t>https://expo.sec.vt.edu/student/CompanyInformation/SNC</t>
  </si>
  <si>
    <t>https://expo.sec.vt.edu/student/CompanyInformation/Simple</t>
  </si>
  <si>
    <t>https://expo.sec.vt.edu/student/CompanyInformation/Southland</t>
  </si>
  <si>
    <t>https://expo.sec.vt.edu/student/CompanyInformation/SPAWAR</t>
  </si>
  <si>
    <t>https://expo.sec.vt.edu/student/CompanyInformation/src</t>
  </si>
  <si>
    <t>https://expo.sec.vt.edu/student/CompanyInformation/SSABAL</t>
  </si>
  <si>
    <t>https://expo.sec.vt.edu/student/CompanyInformation/SSAB</t>
  </si>
  <si>
    <t>https://expo.sec.vt.edu/student/CompanyInformation/SCI</t>
  </si>
  <si>
    <t>https://expo.sec.vt.edu/student/CompanyInformation/SDI</t>
  </si>
  <si>
    <t>https://expo.sec.vt.edu/student/CompanyInformation/Syngenta</t>
  </si>
  <si>
    <t>https://expo.sec.vt.edu/student/CompanyInformation/SEG</t>
  </si>
  <si>
    <t>https://expo.sec.vt.edu/student/CompanyInformation/TECONN</t>
  </si>
  <si>
    <t>https://expo.sec.vt.edu/student/CompanyInformation/Technomics</t>
  </si>
  <si>
    <t>https://expo.sec.vt.edu/student/CompanyInformation/Tensley</t>
  </si>
  <si>
    <t>https://expo.sec.vt.edu/student/CompanyInformation/Texas</t>
  </si>
  <si>
    <t>https://expo.sec.vt.edu/student/CompanyInformation/Textron</t>
  </si>
  <si>
    <t>https://expo.sec.vt.edu/student/CompanyInformation/TDSI</t>
  </si>
  <si>
    <t>https://expo.sec.vt.edu/student/CompanyInformation/Aero</t>
  </si>
  <si>
    <t>https://expo.sec.vt.edu/student/CompanyInformation/CLX</t>
  </si>
  <si>
    <t>https://expo.sec.vt.edu/student/CompanyInformation/HASKELL</t>
  </si>
  <si>
    <t>https://expo.sec.vt.edu/student/CompanyInformation/MDA</t>
  </si>
  <si>
    <t>https://expo.sec.vt.edu/student/CompanyInformation/Mosaic</t>
  </si>
  <si>
    <t>https://expo.sec.vt.edu/student/CompanyInformation/Thermo</t>
  </si>
  <si>
    <t>https://expo.sec.vt.edu/student/CompanyInformation/Thomp</t>
  </si>
  <si>
    <t>https://expo.sec.vt.edu/student/CompanyInformation/Titan</t>
  </si>
  <si>
    <t>https://expo.sec.vt.edu/student/CompanyInformation/TMEIC</t>
  </si>
  <si>
    <t>https://expo.sec.vt.edu/student/CompanyInformation/Torc</t>
  </si>
  <si>
    <t>https://expo.sec.vt.edu/student/CompanyInformation/TRD</t>
  </si>
  <si>
    <t>https://expo.sec.vt.edu/student/CompanyInformation/TSE2018</t>
  </si>
  <si>
    <t>https://expo.sec.vt.edu/student/CompanyInformation/TrinityMfg</t>
  </si>
  <si>
    <t>https://expo.sec.vt.edu/student/CompanyInformation/TSRSM</t>
  </si>
  <si>
    <t>https://expo.sec.vt.edu/student/CompanyInformation/TTIFC</t>
  </si>
  <si>
    <t>https://expo.sec.vt.edu/student/CompanyInformation/TTM</t>
  </si>
  <si>
    <t>https://expo.sec.vt.edu/student/CompanyInformation/USACE</t>
  </si>
  <si>
    <t>https://expo.sec.vt.edu/student/CompanyInformation/USACEMED</t>
  </si>
  <si>
    <t>https://expo.sec.vt.edu/student/CompanyInformation/NRL</t>
  </si>
  <si>
    <t>https://expo.sec.vt.edu/student/CompanyInformation/SSP</t>
  </si>
  <si>
    <t>https://expo.sec.vt.edu/student/CompanyInformation/USC</t>
  </si>
  <si>
    <t>https://expo.sec.vt.edu/student/CompanyInformation/Unifi</t>
  </si>
  <si>
    <t>https://expo.sec.vt.edu/student/CompanyInformation/UPS</t>
  </si>
  <si>
    <t>https://expo.sec.vt.edu/student/CompanyInformation/USPS</t>
  </si>
  <si>
    <t>https://expo.sec.vt.edu/student/CompanyInformation/UTC</t>
  </si>
  <si>
    <t>https://expo.sec.vt.edu/student/CompanyInformation/AMEDD</t>
  </si>
  <si>
    <t>https://expo.sec.vt.edu/student/CompanyInformation/USNAVY</t>
  </si>
  <si>
    <t>https://expo.sec.vt.edu/student/CompanyInformation/USPTO</t>
  </si>
  <si>
    <t>https://expo.sec.vt.edu/student/CompanyInformation/UTAS</t>
  </si>
  <si>
    <t>https://expo.sec.vt.edu/student/CompanyInformation/Vadum</t>
  </si>
  <si>
    <t>https://expo.sec.vt.edu/student/CompanyInformation/Viasat</t>
  </si>
  <si>
    <t>https://expo.sec.vt.edu/student/CompanyInformation/Viavi</t>
  </si>
  <si>
    <t>https://expo.sec.vt.edu/student/CompanyInformation/VDOT</t>
  </si>
  <si>
    <t>https://expo.sec.vt.edu/student/CompanyInformation/Volvo</t>
  </si>
  <si>
    <t>https://expo.sec.vt.edu/student/CompanyInformation/VPT</t>
  </si>
  <si>
    <t>https://expo.sec.vt.edu/student/CompanyInformation/idirect</t>
  </si>
  <si>
    <t>https://expo.sec.vt.edu/student/CompanyInformation/VRLSEC</t>
  </si>
  <si>
    <t>https://expo.sec.vt.edu/student/CompanyInformation/Walmart</t>
  </si>
  <si>
    <t>https://expo.sec.vt.edu/student/CompanyInformation/WRK</t>
  </si>
  <si>
    <t>https://expo.sec.vt.edu/student/CompanyInformation/WRA</t>
  </si>
  <si>
    <t>https://expo.sec.vt.edu/student/CompanyInformation/wilwil</t>
  </si>
  <si>
    <t>https://expo.sec.vt.edu/student/CompanyInformation/ITT</t>
  </si>
  <si>
    <t>https://expo.sec.vt.edu/student/CompanyInformation/WRS</t>
  </si>
  <si>
    <t>https://expo.sec.vt.edu/student/CompanyInformation/WVDOH</t>
  </si>
  <si>
    <t>https://expo.sec.vt.edu/student/CompanyInformation/xpo</t>
  </si>
  <si>
    <t>https://expo.sec.vt.edu/student/CompanyInformation/ZAI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</si>
</sst>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sz val="11.0"/>
      <color rgb="FF000000"/>
      <name val="Inconsolata"/>
    </font>
    <font>
      <u/>
      <color rgb="FF1155CC"/>
      <name val="Arial"/>
    </font>
    <font/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2" fontId="2" numFmtId="0" xfId="0" applyAlignment="1" applyFill="1" applyFont="1">
      <alignment horizontal="left" shrinkToFit="0" vertical="bottom" wrapText="0"/>
    </xf>
    <xf borderId="1" fillId="0" fontId="3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wrapText="0"/>
    </xf>
    <xf borderId="0" fillId="0" fontId="5" numFmtId="0" xfId="0" applyAlignment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Alarm.com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5.0" customHeight="1">
      <c r="A1" s="1" t="str">
        <f>IFERROR(__xludf.DUMMYFUNCTION("importhtml(""https://expo.sec.vt.edu/student/Companies"", ""table"", 1)"),"3M")</f>
        <v>3M</v>
      </c>
      <c r="B1" s="1" t="str">
        <f>IFERROR(__xludf.DUMMYFUNCTION("IMPORTXML(""https://expo.sec.vt.edu/student/Companies"",""//tr/td[1]/a/@href"")
"),"CompanyInformation/3MCompany")</f>
        <v>CompanyInformation/3MCompany</v>
      </c>
      <c r="C1" s="2" t="s">
        <v>0</v>
      </c>
      <c r="D1" s="3"/>
      <c r="E1" s="3"/>
      <c r="F1" s="2"/>
      <c r="G1" s="1"/>
      <c r="H1" s="1"/>
      <c r="I1" s="3"/>
      <c r="J1" s="3"/>
      <c r="K1" s="3"/>
      <c r="L1" s="1"/>
      <c r="M1" s="1"/>
      <c r="N1" s="4"/>
      <c r="O1" s="5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1" t="str">
        <f>IFERROR(__xludf.DUMMYFUNCTION("""COMPUTED_VALUE"""),"ABB Inc.")</f>
        <v>ABB Inc.</v>
      </c>
      <c r="B2" s="1" t="str">
        <f>IFERROR(__xludf.DUMMYFUNCTION("""COMPUTED_VALUE"""),"CompanyInformation/ABB")</f>
        <v>CompanyInformation/ABB</v>
      </c>
      <c r="C2" s="2" t="s">
        <v>1</v>
      </c>
      <c r="D2" s="3"/>
      <c r="E2" s="3"/>
      <c r="F2" s="2"/>
      <c r="G2" s="1"/>
      <c r="H2" s="1"/>
      <c r="I2" s="3"/>
      <c r="J2" s="3"/>
      <c r="K2" s="3"/>
      <c r="L2" s="1"/>
      <c r="M2" s="1"/>
      <c r="N2" s="4"/>
      <c r="O2" s="5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1" t="str">
        <f>IFERROR(__xludf.DUMMYFUNCTION("""COMPUTED_VALUE"""),"Abbott Laboratories")</f>
        <v>Abbott Laboratories</v>
      </c>
      <c r="B3" s="1" t="str">
        <f>IFERROR(__xludf.DUMMYFUNCTION("""COMPUTED_VALUE"""),"CompanyInformation/Abbott")</f>
        <v>CompanyInformation/Abbott</v>
      </c>
      <c r="C3" s="2" t="s">
        <v>2</v>
      </c>
      <c r="D3" s="3"/>
      <c r="E3" s="3"/>
      <c r="F3" s="2"/>
      <c r="G3" s="1"/>
      <c r="H3" s="1"/>
      <c r="I3" s="3"/>
      <c r="J3" s="3"/>
      <c r="K3" s="3"/>
      <c r="L3" s="1"/>
      <c r="M3" s="1"/>
      <c r="N3" s="4"/>
      <c r="O3" s="5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1" t="str">
        <f>IFERROR(__xludf.DUMMYFUNCTION("""COMPUTED_VALUE"""),"Accenture Federal Sevices")</f>
        <v>Accenture Federal Sevices</v>
      </c>
      <c r="B4" s="1" t="str">
        <f>IFERROR(__xludf.DUMMYFUNCTION("""COMPUTED_VALUE"""),"CompanyInformation/AFS")</f>
        <v>CompanyInformation/AFS</v>
      </c>
      <c r="C4" s="2" t="s">
        <v>3</v>
      </c>
      <c r="D4" s="3"/>
      <c r="E4" s="3"/>
      <c r="F4" s="2"/>
      <c r="G4" s="1"/>
      <c r="H4" s="1"/>
      <c r="I4" s="3"/>
      <c r="J4" s="3"/>
      <c r="K4" s="3"/>
      <c r="L4" s="1"/>
      <c r="M4" s="1"/>
      <c r="N4" s="4"/>
      <c r="O4" s="5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1" t="str">
        <f>IFERROR(__xludf.DUMMYFUNCTION("""COMPUTED_VALUE"""),"AdvanSix Inc.")</f>
        <v>AdvanSix Inc.</v>
      </c>
      <c r="B5" s="1" t="str">
        <f>IFERROR(__xludf.DUMMYFUNCTION("""COMPUTED_VALUE"""),"CompanyInformation/ASix")</f>
        <v>CompanyInformation/ASix</v>
      </c>
      <c r="C5" s="2" t="s">
        <v>4</v>
      </c>
      <c r="D5" s="3"/>
      <c r="E5" s="3"/>
      <c r="F5" s="2"/>
      <c r="G5" s="1"/>
      <c r="H5" s="1"/>
      <c r="I5" s="3"/>
      <c r="J5" s="3"/>
      <c r="K5" s="3"/>
      <c r="L5" s="1"/>
      <c r="M5" s="1"/>
      <c r="N5" s="4"/>
      <c r="O5" s="5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1" t="str">
        <f>IFERROR(__xludf.DUMMYFUNCTION("""COMPUTED_VALUE"""),"AECOM")</f>
        <v>AECOM</v>
      </c>
      <c r="B6" s="1" t="str">
        <f>IFERROR(__xludf.DUMMYFUNCTION("""COMPUTED_VALUE"""),"CompanyInformation/AECOM")</f>
        <v>CompanyInformation/AECOM</v>
      </c>
      <c r="C6" s="2" t="s">
        <v>5</v>
      </c>
      <c r="D6" s="3"/>
      <c r="E6" s="3"/>
      <c r="F6" s="2"/>
      <c r="G6" s="1"/>
      <c r="H6" s="1"/>
      <c r="I6" s="3"/>
      <c r="J6" s="3"/>
      <c r="K6" s="3"/>
      <c r="L6" s="1"/>
      <c r="M6" s="1"/>
      <c r="N6" s="4"/>
      <c r="O6" s="5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1" t="str">
        <f>IFERROR(__xludf.DUMMYFUNCTION("""COMPUTED_VALUE"""),"Aerojet Rocketdyne")</f>
        <v>Aerojet Rocketdyne</v>
      </c>
      <c r="B7" s="1" t="str">
        <f>IFERROR(__xludf.DUMMYFUNCTION("""COMPUTED_VALUE"""),"CompanyInformation/Aerojet")</f>
        <v>CompanyInformation/Aerojet</v>
      </c>
      <c r="C7" s="2" t="s">
        <v>6</v>
      </c>
      <c r="D7" s="3"/>
      <c r="E7" s="3"/>
      <c r="F7" s="2"/>
      <c r="G7" s="1"/>
      <c r="H7" s="1"/>
      <c r="I7" s="3"/>
      <c r="J7" s="3"/>
      <c r="K7" s="3"/>
      <c r="L7" s="1"/>
      <c r="M7" s="1"/>
      <c r="N7" s="4"/>
      <c r="O7" s="5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1" t="str">
        <f>IFERROR(__xludf.DUMMYFUNCTION("""COMPUTED_VALUE"""),"Aerotek")</f>
        <v>Aerotek</v>
      </c>
      <c r="B8" s="1" t="str">
        <f>IFERROR(__xludf.DUMMYFUNCTION("""COMPUTED_VALUE"""),"CompanyInformation/Aerotek")</f>
        <v>CompanyInformation/Aerotek</v>
      </c>
      <c r="C8" s="2" t="s">
        <v>7</v>
      </c>
      <c r="D8" s="3"/>
      <c r="E8" s="3"/>
      <c r="F8" s="2"/>
      <c r="G8" s="1"/>
      <c r="H8" s="1"/>
      <c r="I8" s="3"/>
      <c r="J8" s="3"/>
      <c r="K8" s="3"/>
      <c r="L8" s="1"/>
      <c r="M8" s="1"/>
      <c r="N8" s="4"/>
      <c r="O8" s="5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1" t="str">
        <f>IFERROR(__xludf.DUMMYFUNCTION("""COMPUTED_VALUE"""),"AFL")</f>
        <v>AFL</v>
      </c>
      <c r="B9" s="1" t="str">
        <f>IFERROR(__xludf.DUMMYFUNCTION("""COMPUTED_VALUE"""),"CompanyInformation/AFL")</f>
        <v>CompanyInformation/AFL</v>
      </c>
      <c r="C9" s="2" t="s">
        <v>8</v>
      </c>
      <c r="D9" s="3"/>
      <c r="E9" s="3"/>
      <c r="F9" s="2"/>
      <c r="G9" s="1"/>
      <c r="H9" s="1"/>
      <c r="I9" s="3"/>
      <c r="J9" s="3"/>
      <c r="K9" s="3"/>
      <c r="L9" s="1"/>
      <c r="M9" s="1"/>
      <c r="N9" s="4"/>
      <c r="O9" s="5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7" t="str">
        <f>IFERROR(__xludf.DUMMYFUNCTION("""COMPUTED_VALUE"""),"Alarm.com")</f>
        <v>Alarm.com</v>
      </c>
      <c r="B10" s="1" t="str">
        <f>IFERROR(__xludf.DUMMYFUNCTION("""COMPUTED_VALUE"""),"CompanyInformation/ADC")</f>
        <v>CompanyInformation/ADC</v>
      </c>
      <c r="C10" s="2" t="s">
        <v>9</v>
      </c>
      <c r="D10" s="3"/>
      <c r="E10" s="3"/>
      <c r="F10" s="2"/>
      <c r="G10" s="1"/>
      <c r="H10" s="1"/>
      <c r="I10" s="3"/>
      <c r="J10" s="3"/>
      <c r="K10" s="3"/>
      <c r="L10" s="1"/>
      <c r="M10" s="1"/>
      <c r="N10" s="4"/>
      <c r="O10" s="5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1" t="str">
        <f>IFERROR(__xludf.DUMMYFUNCTION("""COMPUTED_VALUE"""),"Albemarle Corporation")</f>
        <v>Albemarle Corporation</v>
      </c>
      <c r="B11" s="1" t="str">
        <f>IFERROR(__xludf.DUMMYFUNCTION("""COMPUTED_VALUE"""),"CompanyInformation/Albemarle")</f>
        <v>CompanyInformation/Albemarle</v>
      </c>
      <c r="C11" s="2" t="s">
        <v>10</v>
      </c>
      <c r="D11" s="3"/>
      <c r="E11" s="3"/>
      <c r="F11" s="2"/>
      <c r="G11" s="1"/>
      <c r="H11" s="1"/>
      <c r="I11" s="3"/>
      <c r="J11" s="3"/>
      <c r="K11" s="3"/>
      <c r="L11" s="1"/>
      <c r="M11" s="1"/>
      <c r="N11" s="4"/>
      <c r="O11" s="5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tr">
        <f>IFERROR(__xludf.DUMMYFUNCTION("""COMPUTED_VALUE"""),"ALL4 LLC")</f>
        <v>ALL4 LLC</v>
      </c>
      <c r="B12" s="1" t="str">
        <f>IFERROR(__xludf.DUMMYFUNCTION("""COMPUTED_VALUE"""),"CompanyInformation/ALL4")</f>
        <v>CompanyInformation/ALL4</v>
      </c>
      <c r="C12" s="2" t="s">
        <v>11</v>
      </c>
      <c r="D12" s="3"/>
      <c r="E12" s="3"/>
      <c r="F12" s="2"/>
      <c r="G12" s="1"/>
      <c r="H12" s="1"/>
      <c r="I12" s="3"/>
      <c r="J12" s="3"/>
      <c r="K12" s="3"/>
      <c r="L12" s="1"/>
      <c r="M12" s="1"/>
      <c r="N12" s="4"/>
      <c r="O12" s="5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1" t="str">
        <f>IFERROR(__xludf.DUMMYFUNCTION("""COMPUTED_VALUE"""),"Alpine Consulting Partners")</f>
        <v>Alpine Consulting Partners</v>
      </c>
      <c r="B13" s="1" t="str">
        <f>IFERROR(__xludf.DUMMYFUNCTION("""COMPUTED_VALUE"""),"CompanyInformation/Alpine")</f>
        <v>CompanyInformation/Alpine</v>
      </c>
      <c r="C13" s="2" t="s">
        <v>12</v>
      </c>
      <c r="D13" s="3"/>
      <c r="E13" s="3"/>
      <c r="F13" s="2"/>
      <c r="G13" s="1"/>
      <c r="H13" s="1"/>
      <c r="I13" s="3"/>
      <c r="J13" s="3"/>
      <c r="K13" s="3"/>
      <c r="L13" s="1"/>
      <c r="M13" s="1"/>
      <c r="N13" s="4"/>
      <c r="O13" s="5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" t="str">
        <f>IFERROR(__xludf.DUMMYFUNCTION("""COMPUTED_VALUE"""),"Altec Industries, Inc.")</f>
        <v>Altec Industries, Inc.</v>
      </c>
      <c r="B14" s="1" t="str">
        <f>IFERROR(__xludf.DUMMYFUNCTION("""COMPUTED_VALUE"""),"CompanyInformation/Altec")</f>
        <v>CompanyInformation/Altec</v>
      </c>
      <c r="C14" s="2" t="s">
        <v>13</v>
      </c>
      <c r="D14" s="3"/>
      <c r="E14" s="3"/>
      <c r="F14" s="2"/>
      <c r="G14" s="1"/>
      <c r="H14" s="1"/>
      <c r="I14" s="3"/>
      <c r="J14" s="3"/>
      <c r="K14" s="3"/>
      <c r="L14" s="1"/>
      <c r="M14" s="1"/>
      <c r="N14" s="4"/>
      <c r="O14" s="5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" t="str">
        <f>IFERROR(__xludf.DUMMYFUNCTION("""COMPUTED_VALUE"""),"Altria")</f>
        <v>Altria</v>
      </c>
      <c r="B15" s="1" t="str">
        <f>IFERROR(__xludf.DUMMYFUNCTION("""COMPUTED_VALUE"""),"CompanyInformation/Altria")</f>
        <v>CompanyInformation/Altria</v>
      </c>
      <c r="C15" s="2" t="s">
        <v>14</v>
      </c>
      <c r="D15" s="3"/>
      <c r="E15" s="3"/>
      <c r="F15" s="2"/>
      <c r="G15" s="1"/>
      <c r="H15" s="1"/>
      <c r="I15" s="3"/>
      <c r="J15" s="3"/>
      <c r="K15" s="3"/>
      <c r="L15" s="1"/>
      <c r="M15" s="1"/>
      <c r="N15" s="4"/>
      <c r="O15" s="5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" t="str">
        <f>IFERROR(__xludf.DUMMYFUNCTION("""COMPUTED_VALUE"""),"Amazon Web Services")</f>
        <v>Amazon Web Services</v>
      </c>
      <c r="B16" s="1" t="str">
        <f>IFERROR(__xludf.DUMMYFUNCTION("""COMPUTED_VALUE"""),"CompanyInformation/AWS")</f>
        <v>CompanyInformation/AWS</v>
      </c>
      <c r="C16" s="2" t="s">
        <v>15</v>
      </c>
      <c r="D16" s="3"/>
      <c r="E16" s="3"/>
      <c r="F16" s="2"/>
      <c r="G16" s="1"/>
      <c r="H16" s="1"/>
      <c r="I16" s="3"/>
      <c r="J16" s="3"/>
      <c r="K16" s="3"/>
      <c r="L16" s="1"/>
      <c r="M16" s="1"/>
      <c r="N16" s="4"/>
      <c r="O16" s="5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" t="str">
        <f>IFERROR(__xludf.DUMMYFUNCTION("""COMPUTED_VALUE"""),"AMERICAN Cast Iron Pipe Company (ACIPCO)")</f>
        <v>AMERICAN Cast Iron Pipe Company (ACIPCO)</v>
      </c>
      <c r="B17" s="1" t="str">
        <f>IFERROR(__xludf.DUMMYFUNCTION("""COMPUTED_VALUE"""),"CompanyInformation/AMERICAN")</f>
        <v>CompanyInformation/AMERICAN</v>
      </c>
      <c r="C17" s="2" t="s">
        <v>16</v>
      </c>
      <c r="D17" s="3"/>
      <c r="E17" s="3"/>
      <c r="F17" s="2"/>
      <c r="G17" s="1"/>
      <c r="H17" s="1"/>
      <c r="I17" s="3"/>
      <c r="J17" s="3"/>
      <c r="K17" s="3"/>
      <c r="L17" s="1"/>
      <c r="M17" s="1"/>
      <c r="N17" s="4"/>
      <c r="O17" s="5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" t="str">
        <f>IFERROR(__xludf.DUMMYFUNCTION("""COMPUTED_VALUE"""),"American Contracting &amp; Environmental Services, Inc")</f>
        <v>American Contracting &amp; Environmental Services, Inc</v>
      </c>
      <c r="B18" s="1" t="str">
        <f>IFERROR(__xludf.DUMMYFUNCTION("""COMPUTED_VALUE"""),"CompanyInformation/ACE")</f>
        <v>CompanyInformation/ACE</v>
      </c>
      <c r="C18" s="2" t="s">
        <v>17</v>
      </c>
      <c r="D18" s="3"/>
      <c r="E18" s="3"/>
      <c r="F18" s="2"/>
      <c r="G18" s="1"/>
      <c r="H18" s="1"/>
      <c r="I18" s="3"/>
      <c r="J18" s="3"/>
      <c r="K18" s="3"/>
      <c r="L18" s="1"/>
      <c r="M18" s="1"/>
      <c r="N18" s="4"/>
      <c r="O18" s="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1" t="str">
        <f>IFERROR(__xludf.DUMMYFUNCTION("""COMPUTED_VALUE"""),"American Electric Power")</f>
        <v>American Electric Power</v>
      </c>
      <c r="B19" s="1" t="str">
        <f>IFERROR(__xludf.DUMMYFUNCTION("""COMPUTED_VALUE"""),"CompanyInformation/AEP")</f>
        <v>CompanyInformation/AEP</v>
      </c>
      <c r="C19" s="2" t="s">
        <v>18</v>
      </c>
      <c r="D19" s="3"/>
      <c r="E19" s="3"/>
      <c r="F19" s="2"/>
      <c r="G19" s="1"/>
      <c r="H19" s="1"/>
      <c r="I19" s="3"/>
      <c r="J19" s="3"/>
      <c r="K19" s="3"/>
      <c r="L19" s="1"/>
      <c r="M19" s="1"/>
      <c r="N19" s="4"/>
      <c r="O19" s="5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" t="str">
        <f>IFERROR(__xludf.DUMMYFUNCTION("""COMPUTED_VALUE"""),"American Woodmark")</f>
        <v>American Woodmark</v>
      </c>
      <c r="B20" s="1" t="str">
        <f>IFERROR(__xludf.DUMMYFUNCTION("""COMPUTED_VALUE"""),"CompanyInformation/americanw")</f>
        <v>CompanyInformation/americanw</v>
      </c>
      <c r="C20" s="2" t="s">
        <v>19</v>
      </c>
      <c r="D20" s="3"/>
      <c r="E20" s="3"/>
      <c r="F20" s="2"/>
      <c r="G20" s="1"/>
      <c r="H20" s="1"/>
      <c r="I20" s="3"/>
      <c r="J20" s="3"/>
      <c r="K20" s="3"/>
      <c r="L20" s="1"/>
      <c r="M20" s="1"/>
      <c r="N20" s="4"/>
      <c r="O20" s="5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1" t="str">
        <f>IFERROR(__xludf.DUMMYFUNCTION("""COMPUTED_VALUE"""),"Amphenol Broadband Solutions")</f>
        <v>Amphenol Broadband Solutions</v>
      </c>
      <c r="B21" s="1" t="str">
        <f>IFERROR(__xludf.DUMMYFUNCTION("""COMPUTED_VALUE"""),"CompanyInformation/ABS")</f>
        <v>CompanyInformation/ABS</v>
      </c>
      <c r="C21" s="2" t="s">
        <v>20</v>
      </c>
      <c r="D21" s="3"/>
      <c r="E21" s="3"/>
      <c r="F21" s="2"/>
      <c r="G21" s="1"/>
      <c r="H21" s="1"/>
      <c r="I21" s="3"/>
      <c r="J21" s="3"/>
      <c r="K21" s="3"/>
      <c r="L21" s="1"/>
      <c r="M21" s="1"/>
      <c r="N21" s="4"/>
      <c r="O21" s="5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1" t="str">
        <f>IFERROR(__xludf.DUMMYFUNCTION("""COMPUTED_VALUE"""),"Amsted Rail")</f>
        <v>Amsted Rail</v>
      </c>
      <c r="B22" s="1" t="str">
        <f>IFERROR(__xludf.DUMMYFUNCTION("""COMPUTED_VALUE"""),"CompanyInformation/ARX")</f>
        <v>CompanyInformation/ARX</v>
      </c>
      <c r="C22" s="2" t="s">
        <v>21</v>
      </c>
      <c r="D22" s="3"/>
      <c r="E22" s="3"/>
      <c r="F22" s="2"/>
      <c r="G22" s="1"/>
      <c r="H22" s="1"/>
      <c r="I22" s="3"/>
      <c r="J22" s="3"/>
      <c r="K22" s="3"/>
      <c r="L22" s="1"/>
      <c r="M22" s="1"/>
      <c r="N22" s="4"/>
      <c r="O22" s="5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1" t="str">
        <f>IFERROR(__xludf.DUMMYFUNCTION("""COMPUTED_VALUE"""),"Analog Devices")</f>
        <v>Analog Devices</v>
      </c>
      <c r="B23" s="1" t="str">
        <f>IFERROR(__xludf.DUMMYFUNCTION("""COMPUTED_VALUE"""),"CompanyInformation/ADI")</f>
        <v>CompanyInformation/ADI</v>
      </c>
      <c r="C23" s="2" t="s">
        <v>22</v>
      </c>
      <c r="D23" s="3"/>
      <c r="E23" s="3"/>
      <c r="F23" s="2"/>
      <c r="G23" s="1"/>
      <c r="H23" s="1"/>
      <c r="I23" s="3"/>
      <c r="J23" s="3"/>
      <c r="K23" s="3"/>
      <c r="L23" s="1"/>
      <c r="M23" s="1"/>
      <c r="N23" s="4"/>
      <c r="O23" s="5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1" t="str">
        <f>IFERROR(__xludf.DUMMYFUNCTION("""COMPUTED_VALUE"""),"ANAVATION LLC")</f>
        <v>ANAVATION LLC</v>
      </c>
      <c r="B24" s="1" t="str">
        <f>IFERROR(__xludf.DUMMYFUNCTION("""COMPUTED_VALUE"""),"CompanyInformation/AnaVation")</f>
        <v>CompanyInformation/AnaVation</v>
      </c>
      <c r="C24" s="2" t="s">
        <v>23</v>
      </c>
      <c r="D24" s="3"/>
      <c r="E24" s="3"/>
      <c r="F24" s="2"/>
      <c r="G24" s="1"/>
      <c r="H24" s="1"/>
      <c r="I24" s="3"/>
      <c r="J24" s="3"/>
      <c r="K24" s="3"/>
      <c r="L24" s="1"/>
      <c r="M24" s="1"/>
      <c r="N24" s="4"/>
      <c r="O24" s="5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1" t="str">
        <f>IFERROR(__xludf.DUMMYFUNCTION("""COMPUTED_VALUE"""),"Andersen Corporation")</f>
        <v>Andersen Corporation</v>
      </c>
      <c r="B25" s="1" t="str">
        <f>IFERROR(__xludf.DUMMYFUNCTION("""COMPUTED_VALUE"""),"CompanyInformation/SDD")</f>
        <v>CompanyInformation/SDD</v>
      </c>
      <c r="C25" s="2" t="s">
        <v>24</v>
      </c>
      <c r="D25" s="3"/>
      <c r="E25" s="3"/>
      <c r="F25" s="2"/>
      <c r="G25" s="1"/>
      <c r="H25" s="1"/>
      <c r="I25" s="3"/>
      <c r="J25" s="3"/>
      <c r="K25" s="3"/>
      <c r="L25" s="1"/>
      <c r="M25" s="1"/>
      <c r="N25" s="4"/>
      <c r="O25" s="5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" t="str">
        <f>IFERROR(__xludf.DUMMYFUNCTION("""COMPUTED_VALUE"""),"Anheuser-Busch")</f>
        <v>Anheuser-Busch</v>
      </c>
      <c r="B26" s="1" t="str">
        <f>IFERROR(__xludf.DUMMYFUNCTION("""COMPUTED_VALUE"""),"CompanyInformation/ABI")</f>
        <v>CompanyInformation/ABI</v>
      </c>
      <c r="C26" s="2" t="s">
        <v>25</v>
      </c>
      <c r="D26" s="3"/>
      <c r="E26" s="3"/>
      <c r="F26" s="2"/>
      <c r="G26" s="1"/>
      <c r="H26" s="1"/>
      <c r="I26" s="3"/>
      <c r="J26" s="3"/>
      <c r="K26" s="3"/>
      <c r="L26" s="1"/>
      <c r="M26" s="1"/>
      <c r="N26" s="4"/>
      <c r="O26" s="5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1" t="str">
        <f>IFERROR(__xludf.DUMMYFUNCTION("""COMPUTED_VALUE"""),"Annapolis Micro Systems")</f>
        <v>Annapolis Micro Systems</v>
      </c>
      <c r="B27" s="1" t="str">
        <f>IFERROR(__xludf.DUMMYFUNCTION("""COMPUTED_VALUE"""),"CompanyInformation/AMS")</f>
        <v>CompanyInformation/AMS</v>
      </c>
      <c r="C27" s="2" t="s">
        <v>26</v>
      </c>
      <c r="D27" s="3"/>
      <c r="E27" s="3"/>
      <c r="F27" s="2"/>
      <c r="G27" s="1"/>
      <c r="H27" s="1"/>
      <c r="I27" s="3"/>
      <c r="J27" s="3"/>
      <c r="K27" s="3"/>
      <c r="L27" s="1"/>
      <c r="M27" s="1"/>
      <c r="N27" s="4"/>
      <c r="O27" s="5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1" t="str">
        <f>IFERROR(__xludf.DUMMYFUNCTION("""COMPUTED_VALUE"""),"Appian Corporation")</f>
        <v>Appian Corporation</v>
      </c>
      <c r="B28" s="1" t="str">
        <f>IFERROR(__xludf.DUMMYFUNCTION("""COMPUTED_VALUE"""),"CompanyInformation/Appian")</f>
        <v>CompanyInformation/Appian</v>
      </c>
      <c r="C28" s="2" t="s">
        <v>27</v>
      </c>
      <c r="D28" s="3"/>
      <c r="E28" s="3"/>
      <c r="F28" s="2"/>
      <c r="G28" s="1"/>
      <c r="H28" s="1"/>
      <c r="I28" s="3"/>
      <c r="J28" s="3"/>
      <c r="K28" s="3"/>
      <c r="L28" s="1"/>
      <c r="M28" s="1"/>
      <c r="N28" s="4"/>
      <c r="O28" s="5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1" t="str">
        <f>IFERROR(__xludf.DUMMYFUNCTION("""COMPUTED_VALUE"""),"Applied Research Associates, Inc.")</f>
        <v>Applied Research Associates, Inc.</v>
      </c>
      <c r="B29" s="1" t="str">
        <f>IFERROR(__xludf.DUMMYFUNCTION("""COMPUTED_VALUE"""),"CompanyInformation/ARA")</f>
        <v>CompanyInformation/ARA</v>
      </c>
      <c r="C29" s="2" t="s">
        <v>28</v>
      </c>
      <c r="D29" s="3"/>
      <c r="E29" s="3"/>
      <c r="F29" s="2"/>
      <c r="G29" s="1"/>
      <c r="H29" s="1"/>
      <c r="I29" s="3"/>
      <c r="J29" s="3"/>
      <c r="K29" s="3"/>
      <c r="L29" s="1"/>
      <c r="M29" s="1"/>
      <c r="N29" s="4"/>
      <c r="O29" s="5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1" t="str">
        <f>IFERROR(__xludf.DUMMYFUNCTION("""COMPUTED_VALUE"""),"Applied Research Laboratory at Penn State")</f>
        <v>Applied Research Laboratory at Penn State</v>
      </c>
      <c r="B30" s="1" t="str">
        <f>IFERROR(__xludf.DUMMYFUNCTION("""COMPUTED_VALUE"""),"CompanyInformation/ARLatPSU")</f>
        <v>CompanyInformation/ARLatPSU</v>
      </c>
      <c r="C30" s="2" t="s">
        <v>29</v>
      </c>
      <c r="D30" s="3"/>
      <c r="E30" s="3"/>
      <c r="F30" s="2"/>
      <c r="G30" s="1"/>
      <c r="H30" s="1"/>
      <c r="I30" s="3"/>
      <c r="J30" s="3"/>
      <c r="K30" s="3"/>
      <c r="L30" s="1"/>
      <c r="M30" s="1"/>
      <c r="N30" s="4"/>
      <c r="O30" s="5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" t="str">
        <f>IFERROR(__xludf.DUMMYFUNCTION("""COMPUTED_VALUE"""),"Arconic")</f>
        <v>Arconic</v>
      </c>
      <c r="B31" s="1" t="str">
        <f>IFERROR(__xludf.DUMMYFUNCTION("""COMPUTED_VALUE"""),"CompanyInformation/Arconic")</f>
        <v>CompanyInformation/Arconic</v>
      </c>
      <c r="C31" s="2" t="s">
        <v>30</v>
      </c>
      <c r="D31" s="3"/>
      <c r="E31" s="3"/>
      <c r="F31" s="2"/>
      <c r="G31" s="1"/>
      <c r="H31" s="1"/>
      <c r="I31" s="3"/>
      <c r="J31" s="3"/>
      <c r="K31" s="3"/>
      <c r="L31" s="1"/>
      <c r="M31" s="1"/>
      <c r="N31" s="4"/>
      <c r="O31" s="5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1" t="str">
        <f>IFERROR(__xludf.DUMMYFUNCTION("""COMPUTED_VALUE"""),"Argo AI")</f>
        <v>Argo AI</v>
      </c>
      <c r="B32" s="1" t="str">
        <f>IFERROR(__xludf.DUMMYFUNCTION("""COMPUTED_VALUE"""),"CompanyInformation/123")</f>
        <v>CompanyInformation/123</v>
      </c>
      <c r="C32" s="2" t="s">
        <v>31</v>
      </c>
      <c r="D32" s="3"/>
      <c r="E32" s="3"/>
      <c r="F32" s="2"/>
      <c r="G32" s="1"/>
      <c r="H32" s="1"/>
      <c r="I32" s="3"/>
      <c r="J32" s="3"/>
      <c r="K32" s="3"/>
      <c r="L32" s="1"/>
      <c r="M32" s="1"/>
      <c r="N32" s="4"/>
      <c r="O32" s="5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1" t="str">
        <f>IFERROR(__xludf.DUMMYFUNCTION("""COMPUTED_VALUE"""),"Arup")</f>
        <v>Arup</v>
      </c>
      <c r="B33" s="1" t="str">
        <f>IFERROR(__xludf.DUMMYFUNCTION("""COMPUTED_VALUE"""),"CompanyInformation/Arup")</f>
        <v>CompanyInformation/Arup</v>
      </c>
      <c r="C33" s="2" t="s">
        <v>32</v>
      </c>
      <c r="D33" s="3"/>
      <c r="E33" s="3"/>
      <c r="F33" s="2"/>
      <c r="G33" s="1"/>
      <c r="H33" s="1"/>
      <c r="I33" s="3"/>
      <c r="J33" s="3"/>
      <c r="K33" s="3"/>
      <c r="L33" s="1"/>
      <c r="M33" s="1"/>
      <c r="N33" s="4"/>
      <c r="O33" s="5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1" t="str">
        <f>IFERROR(__xludf.DUMMYFUNCTION("""COMPUTED_VALUE"""),"Atlantic Constructors, Inc.")</f>
        <v>Atlantic Constructors, Inc.</v>
      </c>
      <c r="B34" s="1" t="str">
        <f>IFERROR(__xludf.DUMMYFUNCTION("""COMPUTED_VALUE"""),"CompanyInformation/ACI")</f>
        <v>CompanyInformation/ACI</v>
      </c>
      <c r="C34" s="2" t="s">
        <v>33</v>
      </c>
      <c r="D34" s="3"/>
      <c r="E34" s="3"/>
      <c r="F34" s="2"/>
      <c r="G34" s="1"/>
      <c r="H34" s="1"/>
      <c r="I34" s="3"/>
      <c r="J34" s="3"/>
      <c r="K34" s="3"/>
      <c r="L34" s="1"/>
      <c r="M34" s="1"/>
      <c r="N34" s="4"/>
      <c r="O34" s="5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1" t="str">
        <f>IFERROR(__xludf.DUMMYFUNCTION("""COMPUTED_VALUE"""),"Aurora Flight Sciences, a Boeing Company")</f>
        <v>Aurora Flight Sciences, a Boeing Company</v>
      </c>
      <c r="B35" s="1" t="str">
        <f>IFERROR(__xludf.DUMMYFUNCTION("""COMPUTED_VALUE"""),"CompanyInformation/aurora")</f>
        <v>CompanyInformation/aurora</v>
      </c>
      <c r="C35" s="2" t="s">
        <v>34</v>
      </c>
      <c r="D35" s="3"/>
      <c r="E35" s="3"/>
      <c r="F35" s="2"/>
      <c r="G35" s="1"/>
      <c r="H35" s="1"/>
      <c r="I35" s="3"/>
      <c r="J35" s="3"/>
      <c r="K35" s="3"/>
      <c r="L35" s="1"/>
      <c r="M35" s="1"/>
      <c r="N35" s="4"/>
      <c r="O35" s="5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" t="str">
        <f>IFERROR(__xludf.DUMMYFUNCTION("""COMPUTED_VALUE"""),"Austal USA")</f>
        <v>Austal USA</v>
      </c>
      <c r="B36" s="1" t="str">
        <f>IFERROR(__xludf.DUMMYFUNCTION("""COMPUTED_VALUE"""),"CompanyInformation/Austal")</f>
        <v>CompanyInformation/Austal</v>
      </c>
      <c r="C36" s="2" t="s">
        <v>35</v>
      </c>
      <c r="D36" s="3"/>
      <c r="E36" s="3"/>
      <c r="F36" s="2"/>
      <c r="G36" s="1"/>
      <c r="H36" s="1"/>
      <c r="I36" s="3"/>
      <c r="J36" s="3"/>
      <c r="K36" s="3"/>
      <c r="L36" s="1"/>
      <c r="M36" s="1"/>
      <c r="N36" s="4"/>
      <c r="O36" s="5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1" t="str">
        <f>IFERROR(__xludf.DUMMYFUNCTION("""COMPUTED_VALUE"""),"Aviation Development Directorate")</f>
        <v>Aviation Development Directorate</v>
      </c>
      <c r="B37" s="1" t="str">
        <f>IFERROR(__xludf.DUMMYFUNCTION("""COMPUTED_VALUE"""),"CompanyInformation/ADD")</f>
        <v>CompanyInformation/ADD</v>
      </c>
      <c r="C37" s="2" t="s">
        <v>36</v>
      </c>
      <c r="D37" s="3"/>
      <c r="E37" s="3"/>
      <c r="F37" s="2"/>
      <c r="G37" s="1"/>
      <c r="H37" s="1"/>
      <c r="I37" s="3"/>
      <c r="J37" s="3"/>
      <c r="K37" s="3"/>
      <c r="L37" s="1"/>
      <c r="M37" s="1"/>
      <c r="N37" s="4"/>
      <c r="O37" s="5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1" t="str">
        <f>IFERROR(__xludf.DUMMYFUNCTION("""COMPUTED_VALUE"""),"BAE Systems")</f>
        <v>BAE Systems</v>
      </c>
      <c r="B38" s="1" t="str">
        <f>IFERROR(__xludf.DUMMYFUNCTION("""COMPUTED_VALUE"""),"CompanyInformation/BAE")</f>
        <v>CompanyInformation/BAE</v>
      </c>
      <c r="C38" s="2" t="s">
        <v>37</v>
      </c>
      <c r="D38" s="3"/>
      <c r="E38" s="3"/>
      <c r="F38" s="2"/>
      <c r="G38" s="1"/>
      <c r="H38" s="1"/>
      <c r="I38" s="3"/>
      <c r="J38" s="3"/>
      <c r="K38" s="3"/>
      <c r="L38" s="1"/>
      <c r="M38" s="1"/>
      <c r="N38" s="4"/>
      <c r="O38" s="5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1" t="str">
        <f>IFERROR(__xludf.DUMMYFUNCTION("""COMPUTED_VALUE"""),"Bechtel Plant Machinery, Inc.")</f>
        <v>Bechtel Plant Machinery, Inc.</v>
      </c>
      <c r="B39" s="1" t="str">
        <f>IFERROR(__xludf.DUMMYFUNCTION("""COMPUTED_VALUE"""),"CompanyInformation/BPMI")</f>
        <v>CompanyInformation/BPMI</v>
      </c>
      <c r="C39" s="2" t="s">
        <v>38</v>
      </c>
      <c r="D39" s="3"/>
      <c r="E39" s="3"/>
      <c r="F39" s="2"/>
      <c r="G39" s="1"/>
      <c r="H39" s="1"/>
      <c r="I39" s="3"/>
      <c r="J39" s="3"/>
      <c r="K39" s="3"/>
      <c r="L39" s="1"/>
      <c r="M39" s="1"/>
      <c r="N39" s="4"/>
      <c r="O39" s="5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1" t="str">
        <f>IFERROR(__xludf.DUMMYFUNCTION("""COMPUTED_VALUE"""),"Black and Veatch")</f>
        <v>Black and Veatch</v>
      </c>
      <c r="B40" s="1" t="str">
        <f>IFERROR(__xludf.DUMMYFUNCTION("""COMPUTED_VALUE"""),"CompanyInformation/BV1")</f>
        <v>CompanyInformation/BV1</v>
      </c>
      <c r="C40" s="2" t="s">
        <v>39</v>
      </c>
      <c r="D40" s="3"/>
      <c r="E40" s="3"/>
      <c r="F40" s="2"/>
      <c r="G40" s="1"/>
      <c r="H40" s="1"/>
      <c r="I40" s="3"/>
      <c r="J40" s="3"/>
      <c r="K40" s="3"/>
      <c r="L40" s="1"/>
      <c r="M40" s="1"/>
      <c r="N40" s="4"/>
      <c r="O40" s="5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1" t="str">
        <f>IFERROR(__xludf.DUMMYFUNCTION("""COMPUTED_VALUE"""),"BlackHorse Solutions, Inc.")</f>
        <v>BlackHorse Solutions, Inc.</v>
      </c>
      <c r="B41" s="1" t="str">
        <f>IFERROR(__xludf.DUMMYFUNCTION("""COMPUTED_VALUE"""),"CompanyInformation/BlackHorse")</f>
        <v>CompanyInformation/BlackHorse</v>
      </c>
      <c r="C41" s="2" t="s">
        <v>40</v>
      </c>
      <c r="D41" s="3"/>
      <c r="E41" s="3"/>
      <c r="F41" s="2"/>
      <c r="G41" s="1"/>
      <c r="H41" s="1"/>
      <c r="I41" s="3"/>
      <c r="J41" s="3"/>
      <c r="K41" s="3"/>
      <c r="L41" s="1"/>
      <c r="M41" s="1"/>
      <c r="N41" s="4"/>
      <c r="O41" s="5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1" t="str">
        <f>IFERROR(__xludf.DUMMYFUNCTION("""COMPUTED_VALUE"""),"Bloomberg LP")</f>
        <v>Bloomberg LP</v>
      </c>
      <c r="B42" s="1" t="str">
        <f>IFERROR(__xludf.DUMMYFUNCTION("""COMPUTED_VALUE"""),"CompanyInformation/bloomberg")</f>
        <v>CompanyInformation/bloomberg</v>
      </c>
      <c r="C42" s="2" t="s">
        <v>41</v>
      </c>
      <c r="D42" s="3"/>
      <c r="E42" s="3"/>
      <c r="F42" s="2"/>
      <c r="G42" s="1"/>
      <c r="H42" s="1"/>
      <c r="I42" s="3"/>
      <c r="J42" s="3"/>
      <c r="K42" s="3"/>
      <c r="L42" s="1"/>
      <c r="M42" s="1"/>
      <c r="N42" s="4"/>
      <c r="O42" s="5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1" t="str">
        <f>IFERROR(__xludf.DUMMYFUNCTION("""COMPUTED_VALUE"""),"Blue Ridge Envisioneering")</f>
        <v>Blue Ridge Envisioneering</v>
      </c>
      <c r="B43" s="1" t="str">
        <f>IFERROR(__xludf.DUMMYFUNCTION("""COMPUTED_VALUE"""),"CompanyInformation/BRE")</f>
        <v>CompanyInformation/BRE</v>
      </c>
      <c r="C43" s="2" t="s">
        <v>42</v>
      </c>
      <c r="D43" s="3"/>
      <c r="E43" s="3"/>
      <c r="F43" s="2"/>
      <c r="G43" s="1"/>
      <c r="H43" s="1"/>
      <c r="I43" s="3"/>
      <c r="J43" s="3"/>
      <c r="K43" s="3"/>
      <c r="L43" s="1"/>
      <c r="M43" s="1"/>
      <c r="N43" s="4"/>
      <c r="O43" s="5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1" t="str">
        <f>IFERROR(__xludf.DUMMYFUNCTION("""COMPUTED_VALUE"""),"BluePrint Automation, Inc")</f>
        <v>BluePrint Automation, Inc</v>
      </c>
      <c r="B44" s="1" t="str">
        <f>IFERROR(__xludf.DUMMYFUNCTION("""COMPUTED_VALUE"""),"CompanyInformation/BPA")</f>
        <v>CompanyInformation/BPA</v>
      </c>
      <c r="C44" s="2" t="s">
        <v>43</v>
      </c>
      <c r="D44" s="3"/>
      <c r="E44" s="3"/>
      <c r="F44" s="2"/>
      <c r="G44" s="1"/>
      <c r="H44" s="1"/>
      <c r="I44" s="3"/>
      <c r="J44" s="3"/>
      <c r="K44" s="3"/>
      <c r="L44" s="1"/>
      <c r="M44" s="1"/>
      <c r="N44" s="4"/>
      <c r="O44" s="5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1" t="str">
        <f>IFERROR(__xludf.DUMMYFUNCTION("""COMPUTED_VALUE"""),"BMW Manufacturing")</f>
        <v>BMW Manufacturing</v>
      </c>
      <c r="B45" s="1" t="str">
        <f>IFERROR(__xludf.DUMMYFUNCTION("""COMPUTED_VALUE"""),"CompanyInformation/BMW")</f>
        <v>CompanyInformation/BMW</v>
      </c>
      <c r="C45" s="2" t="s">
        <v>44</v>
      </c>
      <c r="D45" s="3"/>
      <c r="E45" s="3"/>
      <c r="F45" s="2"/>
      <c r="G45" s="1"/>
      <c r="H45" s="1"/>
      <c r="I45" s="3"/>
      <c r="J45" s="3"/>
      <c r="K45" s="3"/>
      <c r="L45" s="1"/>
      <c r="M45" s="1"/>
      <c r="N45" s="4"/>
      <c r="O45" s="5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1" t="str">
        <f>IFERROR(__xludf.DUMMYFUNCTION("""COMPUTED_VALUE"""),"Boeing")</f>
        <v>Boeing</v>
      </c>
      <c r="B46" s="1" t="str">
        <f>IFERROR(__xludf.DUMMYFUNCTION("""COMPUTED_VALUE"""),"CompanyInformation/Boeing")</f>
        <v>CompanyInformation/Boeing</v>
      </c>
      <c r="C46" s="2" t="s">
        <v>45</v>
      </c>
      <c r="D46" s="3"/>
      <c r="E46" s="3"/>
      <c r="F46" s="2"/>
      <c r="G46" s="1"/>
      <c r="H46" s="1"/>
      <c r="I46" s="3"/>
      <c r="J46" s="3"/>
      <c r="K46" s="3"/>
      <c r="L46" s="1"/>
      <c r="M46" s="1"/>
      <c r="N46" s="4"/>
      <c r="O46" s="5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1" t="str">
        <f>IFERROR(__xludf.DUMMYFUNCTION("""COMPUTED_VALUE"""),"Boise Cascade")</f>
        <v>Boise Cascade</v>
      </c>
      <c r="B47" s="1" t="str">
        <f>IFERROR(__xludf.DUMMYFUNCTION("""COMPUTED_VALUE"""),"CompanyInformation/Boise")</f>
        <v>CompanyInformation/Boise</v>
      </c>
      <c r="C47" s="2" t="s">
        <v>46</v>
      </c>
      <c r="D47" s="3"/>
      <c r="E47" s="3"/>
      <c r="F47" s="2"/>
      <c r="G47" s="1"/>
      <c r="H47" s="1"/>
      <c r="I47" s="3"/>
      <c r="J47" s="3"/>
      <c r="K47" s="3"/>
      <c r="L47" s="1"/>
      <c r="M47" s="1"/>
      <c r="N47" s="4"/>
      <c r="O47" s="5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1" t="str">
        <f>IFERROR(__xludf.DUMMYFUNCTION("""COMPUTED_VALUE"""),"Booz Allen Hamilton")</f>
        <v>Booz Allen Hamilton</v>
      </c>
      <c r="B48" s="1" t="str">
        <f>IFERROR(__xludf.DUMMYFUNCTION("""COMPUTED_VALUE"""),"CompanyInformation/BAH")</f>
        <v>CompanyInformation/BAH</v>
      </c>
      <c r="C48" s="2" t="s">
        <v>47</v>
      </c>
      <c r="D48" s="3"/>
      <c r="E48" s="3"/>
      <c r="F48" s="2"/>
      <c r="G48" s="1"/>
      <c r="H48" s="1"/>
      <c r="I48" s="3"/>
      <c r="J48" s="3"/>
      <c r="K48" s="3"/>
      <c r="L48" s="1"/>
      <c r="M48" s="1"/>
      <c r="N48" s="4"/>
      <c r="O48" s="5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1" t="str">
        <f>IFERROR(__xludf.DUMMYFUNCTION("""COMPUTED_VALUE"""),"BorgWarner")</f>
        <v>BorgWarner</v>
      </c>
      <c r="B49" s="1" t="str">
        <f>IFERROR(__xludf.DUMMYFUNCTION("""COMPUTED_VALUE"""),"CompanyInformation/BGWR")</f>
        <v>CompanyInformation/BGWR</v>
      </c>
      <c r="C49" s="2" t="s">
        <v>48</v>
      </c>
      <c r="D49" s="3"/>
      <c r="E49" s="3"/>
      <c r="F49" s="2"/>
      <c r="G49" s="1"/>
      <c r="H49" s="1"/>
      <c r="I49" s="3"/>
      <c r="J49" s="3"/>
      <c r="K49" s="3"/>
      <c r="L49" s="1"/>
      <c r="M49" s="1"/>
      <c r="N49" s="4"/>
      <c r="O49" s="5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1" t="str">
        <f>IFERROR(__xludf.DUMMYFUNCTION("""COMPUTED_VALUE"""),"BorgWarner")</f>
        <v>BorgWarner</v>
      </c>
      <c r="B50" s="1" t="str">
        <f>IFERROR(__xludf.DUMMYFUNCTION("""COMPUTED_VALUE"""),"CompanyInformation/BorgWarner")</f>
        <v>CompanyInformation/BorgWarner</v>
      </c>
      <c r="C50" s="2" t="s">
        <v>49</v>
      </c>
      <c r="D50" s="3"/>
      <c r="E50" s="3"/>
      <c r="F50" s="2"/>
      <c r="G50" s="1"/>
      <c r="H50" s="1"/>
      <c r="I50" s="3"/>
      <c r="J50" s="3"/>
      <c r="K50" s="3"/>
      <c r="L50" s="1"/>
      <c r="M50" s="1"/>
      <c r="N50" s="4"/>
      <c r="O50" s="5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1" t="str">
        <f>IFERROR(__xludf.DUMMYFUNCTION("""COMPUTED_VALUE"""),"Bowman Andros Products")</f>
        <v>Bowman Andros Products</v>
      </c>
      <c r="B51" s="1" t="str">
        <f>IFERROR(__xludf.DUMMYFUNCTION("""COMPUTED_VALUE"""),"CompanyInformation/BAP")</f>
        <v>CompanyInformation/BAP</v>
      </c>
      <c r="C51" s="2" t="s">
        <v>50</v>
      </c>
      <c r="D51" s="3"/>
      <c r="E51" s="3"/>
      <c r="F51" s="2"/>
      <c r="G51" s="1"/>
      <c r="H51" s="1"/>
      <c r="I51" s="3"/>
      <c r="J51" s="3"/>
      <c r="K51" s="3"/>
      <c r="L51" s="1"/>
      <c r="M51" s="1"/>
      <c r="N51" s="4"/>
      <c r="O51" s="5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1" t="str">
        <f>IFERROR(__xludf.DUMMYFUNCTION("""COMPUTED_VALUE"""),"Breakthru Beverage Group")</f>
        <v>Breakthru Beverage Group</v>
      </c>
      <c r="B52" s="1" t="str">
        <f>IFERROR(__xludf.DUMMYFUNCTION("""COMPUTED_VALUE"""),"CompanyInformation/18VTUFALL")</f>
        <v>CompanyInformation/18VTUFALL</v>
      </c>
      <c r="C52" s="2" t="s">
        <v>51</v>
      </c>
      <c r="D52" s="3"/>
      <c r="E52" s="3"/>
      <c r="F52" s="2"/>
      <c r="G52" s="1"/>
      <c r="H52" s="1"/>
      <c r="I52" s="3"/>
      <c r="J52" s="3"/>
      <c r="K52" s="3"/>
      <c r="L52" s="1"/>
      <c r="M52" s="1"/>
      <c r="N52" s="4"/>
      <c r="O52" s="5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1" t="str">
        <f>IFERROR(__xludf.DUMMYFUNCTION("""COMPUTED_VALUE"""),"Bristol Tennessee Essential Services")</f>
        <v>Bristol Tennessee Essential Services</v>
      </c>
      <c r="B53" s="1" t="str">
        <f>IFERROR(__xludf.DUMMYFUNCTION("""COMPUTED_VALUE"""),"CompanyInformation/BTES")</f>
        <v>CompanyInformation/BTES</v>
      </c>
      <c r="C53" s="2" t="s">
        <v>52</v>
      </c>
      <c r="D53" s="3"/>
      <c r="E53" s="3"/>
      <c r="F53" s="2"/>
      <c r="G53" s="1"/>
      <c r="H53" s="1"/>
      <c r="I53" s="3"/>
      <c r="J53" s="3"/>
      <c r="K53" s="3"/>
      <c r="L53" s="1"/>
      <c r="M53" s="1"/>
      <c r="N53" s="4"/>
      <c r="O53" s="5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1" t="str">
        <f>IFERROR(__xludf.DUMMYFUNCTION("""COMPUTED_VALUE"""),"Burns &amp; McDonnell")</f>
        <v>Burns &amp; McDonnell</v>
      </c>
      <c r="B54" s="1" t="str">
        <f>IFERROR(__xludf.DUMMYFUNCTION("""COMPUTED_VALUE"""),"CompanyInformation/BurnsMac")</f>
        <v>CompanyInformation/BurnsMac</v>
      </c>
      <c r="C54" s="2" t="s">
        <v>53</v>
      </c>
      <c r="D54" s="3"/>
      <c r="E54" s="3"/>
      <c r="F54" s="2"/>
      <c r="G54" s="1"/>
      <c r="H54" s="1"/>
      <c r="I54" s="3"/>
      <c r="J54" s="3"/>
      <c r="K54" s="3"/>
      <c r="L54" s="1"/>
      <c r="M54" s="1"/>
      <c r="N54" s="4"/>
      <c r="O54" s="5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1" t="str">
        <f>IFERROR(__xludf.DUMMYFUNCTION("""COMPUTED_VALUE"""),"BW Integrated Systems")</f>
        <v>BW Integrated Systems</v>
      </c>
      <c r="B55" s="1" t="str">
        <f>IFERROR(__xludf.DUMMYFUNCTION("""COMPUTED_VALUE"""),"CompanyInformation/BWIS")</f>
        <v>CompanyInformation/BWIS</v>
      </c>
      <c r="C55" s="2" t="s">
        <v>54</v>
      </c>
      <c r="D55" s="3"/>
      <c r="E55" s="3"/>
      <c r="F55" s="2"/>
      <c r="G55" s="1"/>
      <c r="H55" s="1"/>
      <c r="I55" s="3"/>
      <c r="J55" s="3"/>
      <c r="K55" s="3"/>
      <c r="L55" s="1"/>
      <c r="M55" s="1"/>
      <c r="N55" s="4"/>
      <c r="O55" s="5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1" t="str">
        <f>IFERROR(__xludf.DUMMYFUNCTION("""COMPUTED_VALUE"""),"BWX Technologies, Inc")</f>
        <v>BWX Technologies, Inc</v>
      </c>
      <c r="B56" s="1" t="str">
        <f>IFERROR(__xludf.DUMMYFUNCTION("""COMPUTED_VALUE"""),"CompanyInformation/BWXT")</f>
        <v>CompanyInformation/BWXT</v>
      </c>
      <c r="C56" s="2" t="s">
        <v>55</v>
      </c>
      <c r="D56" s="3"/>
      <c r="E56" s="3"/>
      <c r="F56" s="2"/>
      <c r="G56" s="1"/>
      <c r="H56" s="1"/>
      <c r="I56" s="3"/>
      <c r="J56" s="3"/>
      <c r="K56" s="3"/>
      <c r="L56" s="1"/>
      <c r="M56" s="1"/>
      <c r="N56" s="4"/>
      <c r="O56" s="5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1" t="str">
        <f>IFERROR(__xludf.DUMMYFUNCTION("""COMPUTED_VALUE"""),"CACI International")</f>
        <v>CACI International</v>
      </c>
      <c r="B57" s="1" t="str">
        <f>IFERROR(__xludf.DUMMYFUNCTION("""COMPUTED_VALUE"""),"CompanyInformation/CACI")</f>
        <v>CompanyInformation/CACI</v>
      </c>
      <c r="C57" s="2" t="s">
        <v>56</v>
      </c>
      <c r="D57" s="3"/>
      <c r="E57" s="3"/>
      <c r="F57" s="2"/>
      <c r="G57" s="1"/>
      <c r="H57" s="1"/>
      <c r="I57" s="3"/>
      <c r="J57" s="3"/>
      <c r="K57" s="3"/>
      <c r="L57" s="1"/>
      <c r="M57" s="1"/>
      <c r="N57" s="4"/>
      <c r="O57" s="5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1" t="str">
        <f>IFERROR(__xludf.DUMMYFUNCTION("""COMPUTED_VALUE"""),"Canon Virginia Inc.")</f>
        <v>Canon Virginia Inc.</v>
      </c>
      <c r="B58" s="1" t="str">
        <f>IFERROR(__xludf.DUMMYFUNCTION("""COMPUTED_VALUE"""),"CompanyInformation/CVI")</f>
        <v>CompanyInformation/CVI</v>
      </c>
      <c r="C58" s="2" t="s">
        <v>57</v>
      </c>
      <c r="D58" s="3"/>
      <c r="E58" s="3"/>
      <c r="F58" s="2"/>
      <c r="G58" s="1"/>
      <c r="H58" s="1"/>
      <c r="I58" s="3"/>
      <c r="J58" s="3"/>
      <c r="K58" s="3"/>
      <c r="L58" s="1"/>
      <c r="M58" s="1"/>
      <c r="N58" s="4"/>
      <c r="O58" s="5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1" t="str">
        <f>IFERROR(__xludf.DUMMYFUNCTION("""COMPUTED_VALUE"""),"Capital One")</f>
        <v>Capital One</v>
      </c>
      <c r="B59" s="1" t="str">
        <f>IFERROR(__xludf.DUMMYFUNCTION("""COMPUTED_VALUE"""),"CompanyInformation/CapOne")</f>
        <v>CompanyInformation/CapOne</v>
      </c>
      <c r="C59" s="2" t="s">
        <v>58</v>
      </c>
      <c r="D59" s="3"/>
      <c r="E59" s="3"/>
      <c r="F59" s="2"/>
      <c r="G59" s="1"/>
      <c r="H59" s="1"/>
      <c r="I59" s="3"/>
      <c r="J59" s="3"/>
      <c r="K59" s="3"/>
      <c r="L59" s="1"/>
      <c r="M59" s="1"/>
      <c r="N59" s="4"/>
      <c r="O59" s="5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1" t="str">
        <f>IFERROR(__xludf.DUMMYFUNCTION("""COMPUTED_VALUE"""),"Cardinal Solutions")</f>
        <v>Cardinal Solutions</v>
      </c>
      <c r="B60" s="1" t="str">
        <f>IFERROR(__xludf.DUMMYFUNCTION("""COMPUTED_VALUE"""),"CompanyInformation/Cardinal")</f>
        <v>CompanyInformation/Cardinal</v>
      </c>
      <c r="C60" s="2" t="s">
        <v>59</v>
      </c>
      <c r="D60" s="3"/>
      <c r="E60" s="3"/>
      <c r="F60" s="2"/>
      <c r="G60" s="1"/>
      <c r="H60" s="1"/>
      <c r="I60" s="3"/>
      <c r="J60" s="3"/>
      <c r="K60" s="3"/>
      <c r="L60" s="1"/>
      <c r="M60" s="1"/>
      <c r="N60" s="4"/>
      <c r="O60" s="5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1" t="str">
        <f>IFERROR(__xludf.DUMMYFUNCTION("""COMPUTED_VALUE"""),"Carrier Enterprise")</f>
        <v>Carrier Enterprise</v>
      </c>
      <c r="B61" s="1" t="str">
        <f>IFERROR(__xludf.DUMMYFUNCTION("""COMPUTED_VALUE"""),"CompanyInformation/CEMA")</f>
        <v>CompanyInformation/CEMA</v>
      </c>
      <c r="C61" s="2" t="s">
        <v>60</v>
      </c>
      <c r="D61" s="3"/>
      <c r="E61" s="3"/>
      <c r="F61" s="2"/>
      <c r="G61" s="1"/>
      <c r="H61" s="1"/>
      <c r="I61" s="3"/>
      <c r="J61" s="3"/>
      <c r="K61" s="3"/>
      <c r="L61" s="1"/>
      <c r="M61" s="1"/>
      <c r="N61" s="4"/>
      <c r="O61" s="5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1" t="str">
        <f>IFERROR(__xludf.DUMMYFUNCTION("""COMPUTED_VALUE"""),"Caterpillar Inc.")</f>
        <v>Caterpillar Inc.</v>
      </c>
      <c r="B62" s="1" t="str">
        <f>IFERROR(__xludf.DUMMYFUNCTION("""COMPUTED_VALUE"""),"CompanyInformation/Cat")</f>
        <v>CompanyInformation/Cat</v>
      </c>
      <c r="C62" s="2" t="s">
        <v>61</v>
      </c>
      <c r="D62" s="3"/>
      <c r="E62" s="3"/>
      <c r="F62" s="2"/>
      <c r="G62" s="1"/>
      <c r="H62" s="1"/>
      <c r="I62" s="3"/>
      <c r="J62" s="3"/>
      <c r="K62" s="3"/>
      <c r="L62" s="1"/>
      <c r="M62" s="1"/>
      <c r="N62" s="4"/>
      <c r="O62" s="5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1" t="str">
        <f>IFERROR(__xludf.DUMMYFUNCTION("""COMPUTED_VALUE"""),"CDM Smith")</f>
        <v>CDM Smith</v>
      </c>
      <c r="B63" s="1" t="str">
        <f>IFERROR(__xludf.DUMMYFUNCTION("""COMPUTED_VALUE"""),"CompanyInformation/CDMSmith")</f>
        <v>CompanyInformation/CDMSmith</v>
      </c>
      <c r="C63" s="2" t="s">
        <v>62</v>
      </c>
      <c r="D63" s="3"/>
      <c r="E63" s="3"/>
      <c r="F63" s="2"/>
      <c r="G63" s="1"/>
      <c r="H63" s="1"/>
      <c r="I63" s="3"/>
      <c r="J63" s="3"/>
      <c r="K63" s="3"/>
      <c r="L63" s="1"/>
      <c r="M63" s="1"/>
      <c r="N63" s="4"/>
      <c r="O63" s="5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1" t="str">
        <f>IFERROR(__xludf.DUMMYFUNCTION("""COMPUTED_VALUE"""),"Central Intelligence Agency")</f>
        <v>Central Intelligence Agency</v>
      </c>
      <c r="B64" s="1" t="str">
        <f>IFERROR(__xludf.DUMMYFUNCTION("""COMPUTED_VALUE"""),"CompanyInformation/CIA")</f>
        <v>CompanyInformation/CIA</v>
      </c>
      <c r="C64" s="2" t="s">
        <v>63</v>
      </c>
      <c r="D64" s="3"/>
      <c r="E64" s="3"/>
      <c r="F64" s="2"/>
      <c r="G64" s="1"/>
      <c r="H64" s="1"/>
      <c r="I64" s="3"/>
      <c r="J64" s="3"/>
      <c r="K64" s="3"/>
      <c r="L64" s="1"/>
      <c r="M64" s="1"/>
      <c r="N64" s="4"/>
      <c r="O64" s="5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1" t="str">
        <f>IFERROR(__xludf.DUMMYFUNCTION("""COMPUTED_VALUE"""),"Charon Technologies, LLC")</f>
        <v>Charon Technologies, LLC</v>
      </c>
      <c r="B65" s="1" t="str">
        <f>IFERROR(__xludf.DUMMYFUNCTION("""COMPUTED_VALUE"""),"CompanyInformation/charontech")</f>
        <v>CompanyInformation/charontech</v>
      </c>
      <c r="C65" s="2" t="s">
        <v>64</v>
      </c>
      <c r="D65" s="3"/>
      <c r="E65" s="3"/>
      <c r="F65" s="2"/>
      <c r="G65" s="1"/>
      <c r="H65" s="1"/>
      <c r="I65" s="3"/>
      <c r="J65" s="3"/>
      <c r="K65" s="3"/>
      <c r="L65" s="1"/>
      <c r="M65" s="1"/>
      <c r="N65" s="4"/>
      <c r="O65" s="5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1" t="str">
        <f>IFERROR(__xludf.DUMMYFUNCTION("""COMPUTED_VALUE"""),"CIMTEC Automation, LLC")</f>
        <v>CIMTEC Automation, LLC</v>
      </c>
      <c r="B66" s="1" t="str">
        <f>IFERROR(__xludf.DUMMYFUNCTION("""COMPUTED_VALUE"""),"CompanyInformation/CIMTEC")</f>
        <v>CompanyInformation/CIMTEC</v>
      </c>
      <c r="C66" s="2" t="s">
        <v>65</v>
      </c>
      <c r="D66" s="3"/>
      <c r="E66" s="3"/>
      <c r="F66" s="2"/>
      <c r="G66" s="1"/>
      <c r="H66" s="1"/>
      <c r="I66" s="3"/>
      <c r="J66" s="3"/>
      <c r="K66" s="3"/>
      <c r="L66" s="1"/>
      <c r="M66" s="1"/>
      <c r="N66" s="4"/>
      <c r="O66" s="5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1" t="str">
        <f>IFERROR(__xludf.DUMMYFUNCTION("""COMPUTED_VALUE"""),"Citrix")</f>
        <v>Citrix</v>
      </c>
      <c r="B67" s="1" t="str">
        <f>IFERROR(__xludf.DUMMYFUNCTION("""COMPUTED_VALUE"""),"CompanyInformation/Citrix")</f>
        <v>CompanyInformation/Citrix</v>
      </c>
      <c r="C67" s="2" t="s">
        <v>66</v>
      </c>
      <c r="D67" s="3"/>
      <c r="E67" s="3"/>
      <c r="F67" s="2"/>
      <c r="G67" s="1"/>
      <c r="H67" s="1"/>
      <c r="I67" s="3"/>
      <c r="J67" s="3"/>
      <c r="K67" s="3"/>
      <c r="L67" s="1"/>
      <c r="M67" s="1"/>
      <c r="N67" s="4"/>
      <c r="O67" s="5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1" t="str">
        <f>IFERROR(__xludf.DUMMYFUNCTION("""COMPUTED_VALUE"""),"Clarabridge")</f>
        <v>Clarabridge</v>
      </c>
      <c r="B68" s="1" t="str">
        <f>IFERROR(__xludf.DUMMYFUNCTION("""COMPUTED_VALUE"""),"CompanyInformation/Clarabridg")</f>
        <v>CompanyInformation/Clarabridg</v>
      </c>
      <c r="C68" s="2" t="s">
        <v>67</v>
      </c>
      <c r="D68" s="3"/>
      <c r="E68" s="3"/>
      <c r="F68" s="2"/>
      <c r="G68" s="1"/>
      <c r="H68" s="1"/>
      <c r="I68" s="3"/>
      <c r="J68" s="3"/>
      <c r="K68" s="3"/>
      <c r="L68" s="1"/>
      <c r="M68" s="1"/>
      <c r="N68" s="4"/>
      <c r="O68" s="5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1" t="str">
        <f>IFERROR(__xludf.DUMMYFUNCTION("""COMPUTED_VALUE"""),"Clark Nexsen")</f>
        <v>Clark Nexsen</v>
      </c>
      <c r="B69" s="1" t="str">
        <f>IFERROR(__xludf.DUMMYFUNCTION("""COMPUTED_VALUE"""),"CompanyInformation/ClarkNex")</f>
        <v>CompanyInformation/ClarkNex</v>
      </c>
      <c r="C69" s="2" t="s">
        <v>68</v>
      </c>
      <c r="D69" s="3"/>
      <c r="E69" s="3"/>
      <c r="F69" s="2"/>
      <c r="G69" s="1"/>
      <c r="H69" s="1"/>
      <c r="I69" s="3"/>
      <c r="J69" s="3"/>
      <c r="K69" s="3"/>
      <c r="L69" s="1"/>
      <c r="M69" s="1"/>
      <c r="N69" s="4"/>
      <c r="O69" s="5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1" t="str">
        <f>IFERROR(__xludf.DUMMYFUNCTION("""COMPUTED_VALUE"""),"Coastal Communications Consultants, Inc")</f>
        <v>Coastal Communications Consultants, Inc</v>
      </c>
      <c r="B70" s="1" t="str">
        <f>IFERROR(__xludf.DUMMYFUNCTION("""COMPUTED_VALUE"""),"CompanyInformation/CCCi")</f>
        <v>CompanyInformation/CCCi</v>
      </c>
      <c r="C70" s="2" t="s">
        <v>69</v>
      </c>
      <c r="D70" s="3"/>
      <c r="E70" s="3"/>
      <c r="F70" s="2"/>
      <c r="G70" s="1"/>
      <c r="H70" s="1"/>
      <c r="I70" s="3"/>
      <c r="J70" s="3"/>
      <c r="K70" s="3"/>
      <c r="L70" s="1"/>
      <c r="M70" s="1"/>
      <c r="N70" s="4"/>
      <c r="O70" s="5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1" t="str">
        <f>IFERROR(__xludf.DUMMYFUNCTION("""COMPUTED_VALUE"""),"CollabraLink")</f>
        <v>CollabraLink</v>
      </c>
      <c r="B71" s="1" t="str">
        <f>IFERROR(__xludf.DUMMYFUNCTION("""COMPUTED_VALUE"""),"CompanyInformation/CLT")</f>
        <v>CompanyInformation/CLT</v>
      </c>
      <c r="C71" s="2" t="s">
        <v>70</v>
      </c>
      <c r="D71" s="3"/>
      <c r="E71" s="3"/>
      <c r="F71" s="2"/>
      <c r="G71" s="1"/>
      <c r="H71" s="1"/>
      <c r="I71" s="3"/>
      <c r="J71" s="3"/>
      <c r="K71" s="3"/>
      <c r="L71" s="1"/>
      <c r="M71" s="1"/>
      <c r="N71" s="4"/>
      <c r="O71" s="5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1" t="str">
        <f>IFERROR(__xludf.DUMMYFUNCTION("""COMPUTED_VALUE"""),"Continental Automotive")</f>
        <v>Continental Automotive</v>
      </c>
      <c r="B72" s="1" t="str">
        <f>IFERROR(__xludf.DUMMYFUNCTION("""COMPUTED_VALUE"""),"CompanyInformation/Conti")</f>
        <v>CompanyInformation/Conti</v>
      </c>
      <c r="C72" s="2" t="s">
        <v>71</v>
      </c>
      <c r="D72" s="3"/>
      <c r="E72" s="3"/>
      <c r="F72" s="2"/>
      <c r="G72" s="1"/>
      <c r="H72" s="1"/>
      <c r="I72" s="3"/>
      <c r="J72" s="3"/>
      <c r="K72" s="3"/>
      <c r="L72" s="1"/>
      <c r="M72" s="1"/>
      <c r="N72" s="4"/>
      <c r="O72" s="5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1" t="str">
        <f>IFERROR(__xludf.DUMMYFUNCTION("""COMPUTED_VALUE"""),"Cooper Tire &amp; Rubber Company")</f>
        <v>Cooper Tire &amp; Rubber Company</v>
      </c>
      <c r="B73" s="1" t="str">
        <f>IFERROR(__xludf.DUMMYFUNCTION("""COMPUTED_VALUE"""),"CompanyInformation/Cooper")</f>
        <v>CompanyInformation/Cooper</v>
      </c>
      <c r="C73" s="2" t="s">
        <v>72</v>
      </c>
      <c r="D73" s="3"/>
      <c r="E73" s="3"/>
      <c r="F73" s="2"/>
      <c r="G73" s="1"/>
      <c r="H73" s="1"/>
      <c r="I73" s="3"/>
      <c r="J73" s="3"/>
      <c r="K73" s="3"/>
      <c r="L73" s="1"/>
      <c r="M73" s="1"/>
      <c r="N73" s="4"/>
      <c r="O73" s="5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1" t="str">
        <f>IFERROR(__xludf.DUMMYFUNCTION("""COMPUTED_VALUE"""),"Corning Incorporated")</f>
        <v>Corning Incorporated</v>
      </c>
      <c r="B74" s="1" t="str">
        <f>IFERROR(__xludf.DUMMYFUNCTION("""COMPUTED_VALUE"""),"CompanyInformation/CNY")</f>
        <v>CompanyInformation/CNY</v>
      </c>
      <c r="C74" s="2" t="s">
        <v>73</v>
      </c>
      <c r="D74" s="3"/>
      <c r="E74" s="3"/>
      <c r="F74" s="2"/>
      <c r="G74" s="1"/>
      <c r="H74" s="1"/>
      <c r="I74" s="3"/>
      <c r="J74" s="3"/>
      <c r="K74" s="3"/>
      <c r="L74" s="1"/>
      <c r="M74" s="1"/>
      <c r="N74" s="4"/>
      <c r="O74" s="5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1" t="str">
        <f>IFERROR(__xludf.DUMMYFUNCTION("""COMPUTED_VALUE"""),"Corvid Technologies")</f>
        <v>Corvid Technologies</v>
      </c>
      <c r="B75" s="1" t="str">
        <f>IFERROR(__xludf.DUMMYFUNCTION("""COMPUTED_VALUE"""),"CompanyInformation/Corvid")</f>
        <v>CompanyInformation/Corvid</v>
      </c>
      <c r="C75" s="2" t="s">
        <v>74</v>
      </c>
      <c r="D75" s="3"/>
      <c r="E75" s="3"/>
      <c r="F75" s="2"/>
      <c r="G75" s="1"/>
      <c r="H75" s="1"/>
      <c r="I75" s="3"/>
      <c r="J75" s="3"/>
      <c r="K75" s="3"/>
      <c r="L75" s="1"/>
      <c r="M75" s="1"/>
      <c r="N75" s="4"/>
      <c r="O75" s="5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1" t="str">
        <f>IFERROR(__xludf.DUMMYFUNCTION("""COMPUTED_VALUE"""),"Covia")</f>
        <v>Covia</v>
      </c>
      <c r="B76" s="1" t="str">
        <f>IFERROR(__xludf.DUMMYFUNCTION("""COMPUTED_VALUE"""),"CompanyInformation/Covia")</f>
        <v>CompanyInformation/Covia</v>
      </c>
      <c r="C76" s="2" t="s">
        <v>75</v>
      </c>
      <c r="D76" s="3"/>
      <c r="E76" s="3"/>
      <c r="F76" s="2"/>
      <c r="G76" s="1"/>
      <c r="H76" s="1"/>
      <c r="I76" s="3"/>
      <c r="J76" s="3"/>
      <c r="K76" s="3"/>
      <c r="L76" s="1"/>
      <c r="M76" s="1"/>
      <c r="N76" s="4"/>
      <c r="O76" s="5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1" t="str">
        <f>IFERROR(__xludf.DUMMYFUNCTION("""COMPUTED_VALUE"""),"Cree, Inc")</f>
        <v>Cree, Inc</v>
      </c>
      <c r="B77" s="1" t="str">
        <f>IFERROR(__xludf.DUMMYFUNCTION("""COMPUTED_VALUE"""),"CompanyInformation/Cree")</f>
        <v>CompanyInformation/Cree</v>
      </c>
      <c r="C77" s="2" t="s">
        <v>76</v>
      </c>
      <c r="D77" s="3"/>
      <c r="E77" s="3"/>
      <c r="F77" s="2"/>
      <c r="G77" s="1"/>
      <c r="H77" s="1"/>
      <c r="I77" s="3"/>
      <c r="J77" s="3"/>
      <c r="K77" s="3"/>
      <c r="L77" s="1"/>
      <c r="M77" s="1"/>
      <c r="N77" s="4"/>
      <c r="O77" s="5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1" t="str">
        <f>IFERROR(__xludf.DUMMYFUNCTION("""COMPUTED_VALUE"""),"Crowder Construction Company")</f>
        <v>Crowder Construction Company</v>
      </c>
      <c r="B78" s="1" t="str">
        <f>IFERROR(__xludf.DUMMYFUNCTION("""COMPUTED_VALUE"""),"CompanyInformation/ccc")</f>
        <v>CompanyInformation/ccc</v>
      </c>
      <c r="C78" s="2" t="s">
        <v>77</v>
      </c>
      <c r="D78" s="3"/>
      <c r="E78" s="3"/>
      <c r="F78" s="2"/>
      <c r="G78" s="1"/>
      <c r="H78" s="1"/>
      <c r="I78" s="3"/>
      <c r="J78" s="3"/>
      <c r="K78" s="3"/>
      <c r="L78" s="1"/>
      <c r="M78" s="1"/>
      <c r="N78" s="4"/>
      <c r="O78" s="5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1" t="str">
        <f>IFERROR(__xludf.DUMMYFUNCTION("""COMPUTED_VALUE"""),"Cummins")</f>
        <v>Cummins</v>
      </c>
      <c r="B79" s="1" t="str">
        <f>IFERROR(__xludf.DUMMYFUNCTION("""COMPUTED_VALUE"""),"CompanyInformation/CMI")</f>
        <v>CompanyInformation/CMI</v>
      </c>
      <c r="C79" s="2" t="s">
        <v>78</v>
      </c>
      <c r="D79" s="3"/>
      <c r="E79" s="3"/>
      <c r="F79" s="2"/>
      <c r="G79" s="1"/>
      <c r="H79" s="1"/>
      <c r="I79" s="3"/>
      <c r="J79" s="3"/>
      <c r="K79" s="3"/>
      <c r="L79" s="1"/>
      <c r="M79" s="1"/>
      <c r="N79" s="4"/>
      <c r="O79" s="5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1" t="str">
        <f>IFERROR(__xludf.DUMMYFUNCTION("""COMPUTED_VALUE"""),"Cvent, Inc.")</f>
        <v>Cvent, Inc.</v>
      </c>
      <c r="B80" s="1" t="str">
        <f>IFERROR(__xludf.DUMMYFUNCTION("""COMPUTED_VALUE"""),"CompanyInformation/Cvent")</f>
        <v>CompanyInformation/Cvent</v>
      </c>
      <c r="C80" s="2" t="s">
        <v>79</v>
      </c>
      <c r="D80" s="3"/>
      <c r="E80" s="3"/>
      <c r="F80" s="2"/>
      <c r="G80" s="1"/>
      <c r="H80" s="1"/>
      <c r="I80" s="3"/>
      <c r="J80" s="3"/>
      <c r="K80" s="3"/>
      <c r="L80" s="1"/>
      <c r="M80" s="1"/>
      <c r="N80" s="4"/>
      <c r="O80" s="5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1" t="str">
        <f>IFERROR(__xludf.DUMMYFUNCTION("""COMPUTED_VALUE"""),"Daimler Trucks North America")</f>
        <v>Daimler Trucks North America</v>
      </c>
      <c r="B81" s="1" t="str">
        <f>IFERROR(__xludf.DUMMYFUNCTION("""COMPUTED_VALUE"""),"CompanyInformation/DTNA")</f>
        <v>CompanyInformation/DTNA</v>
      </c>
      <c r="C81" s="2" t="s">
        <v>80</v>
      </c>
      <c r="D81" s="3"/>
      <c r="E81" s="3"/>
      <c r="F81" s="2"/>
      <c r="G81" s="1"/>
      <c r="H81" s="1"/>
      <c r="I81" s="3"/>
      <c r="J81" s="3"/>
      <c r="K81" s="3"/>
      <c r="L81" s="1"/>
      <c r="M81" s="1"/>
      <c r="N81" s="4"/>
      <c r="O81" s="5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1" t="str">
        <f>IFERROR(__xludf.DUMMYFUNCTION("""COMPUTED_VALUE"""),"DCS Corp")</f>
        <v>DCS Corp</v>
      </c>
      <c r="B82" s="1" t="str">
        <f>IFERROR(__xludf.DUMMYFUNCTION("""COMPUTED_VALUE"""),"CompanyInformation/DCS")</f>
        <v>CompanyInformation/DCS</v>
      </c>
      <c r="C82" s="2" t="s">
        <v>81</v>
      </c>
      <c r="D82" s="3"/>
      <c r="E82" s="3"/>
      <c r="F82" s="2"/>
      <c r="G82" s="1"/>
      <c r="H82" s="1"/>
      <c r="I82" s="3"/>
      <c r="J82" s="3"/>
      <c r="K82" s="3"/>
      <c r="L82" s="1"/>
      <c r="M82" s="1"/>
      <c r="N82" s="4"/>
      <c r="O82" s="5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1" t="str">
        <f>IFERROR(__xludf.DUMMYFUNCTION("""COMPUTED_VALUE"""),"Defense Intelligence Agency")</f>
        <v>Defense Intelligence Agency</v>
      </c>
      <c r="B83" s="1" t="str">
        <f>IFERROR(__xludf.DUMMYFUNCTION("""COMPUTED_VALUE"""),"CompanyInformation/DIA")</f>
        <v>CompanyInformation/DIA</v>
      </c>
      <c r="C83" s="2" t="s">
        <v>82</v>
      </c>
      <c r="D83" s="3"/>
      <c r="E83" s="3"/>
      <c r="F83" s="2"/>
      <c r="G83" s="1"/>
      <c r="H83" s="1"/>
      <c r="I83" s="3"/>
      <c r="J83" s="3"/>
      <c r="K83" s="3"/>
      <c r="L83" s="1"/>
      <c r="M83" s="1"/>
      <c r="N83" s="4"/>
      <c r="O83" s="5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1" t="str">
        <f>IFERROR(__xludf.DUMMYFUNCTION("""COMPUTED_VALUE"""),"Dell")</f>
        <v>Dell</v>
      </c>
      <c r="B84" s="1" t="str">
        <f>IFERROR(__xludf.DUMMYFUNCTION("""COMPUTED_VALUE"""),"CompanyInformation/Dell")</f>
        <v>CompanyInformation/Dell</v>
      </c>
      <c r="C84" s="2" t="s">
        <v>83</v>
      </c>
      <c r="D84" s="3"/>
      <c r="E84" s="3"/>
      <c r="F84" s="2"/>
      <c r="G84" s="1"/>
      <c r="H84" s="1"/>
      <c r="I84" s="3"/>
      <c r="J84" s="3"/>
      <c r="K84" s="3"/>
      <c r="L84" s="1"/>
      <c r="M84" s="1"/>
      <c r="N84" s="4"/>
      <c r="O84" s="5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1" t="str">
        <f>IFERROR(__xludf.DUMMYFUNCTION("""COMPUTED_VALUE"""),"Deloitte")</f>
        <v>Deloitte</v>
      </c>
      <c r="B85" s="1" t="str">
        <f>IFERROR(__xludf.DUMMYFUNCTION("""COMPUTED_VALUE"""),"CompanyInformation/Deloitte")</f>
        <v>CompanyInformation/Deloitte</v>
      </c>
      <c r="C85" s="2" t="s">
        <v>84</v>
      </c>
      <c r="D85" s="3"/>
      <c r="E85" s="3"/>
      <c r="F85" s="2"/>
      <c r="G85" s="1"/>
      <c r="H85" s="1"/>
      <c r="I85" s="3"/>
      <c r="J85" s="3"/>
      <c r="K85" s="3"/>
      <c r="L85" s="1"/>
      <c r="M85" s="1"/>
      <c r="N85" s="4"/>
      <c r="O85" s="5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1" t="str">
        <f>IFERROR(__xludf.DUMMYFUNCTION("""COMPUTED_VALUE"""),"Delphi Technologies")</f>
        <v>Delphi Technologies</v>
      </c>
      <c r="B86" s="1" t="str">
        <f>IFERROR(__xludf.DUMMYFUNCTION("""COMPUTED_VALUE"""),"CompanyInformation/delphitech")</f>
        <v>CompanyInformation/delphitech</v>
      </c>
      <c r="C86" s="2" t="s">
        <v>85</v>
      </c>
      <c r="D86" s="3"/>
      <c r="E86" s="3"/>
      <c r="F86" s="2"/>
      <c r="G86" s="1"/>
      <c r="H86" s="1"/>
      <c r="I86" s="3"/>
      <c r="J86" s="3"/>
      <c r="K86" s="3"/>
      <c r="L86" s="1"/>
      <c r="M86" s="1"/>
      <c r="N86" s="4"/>
      <c r="O86" s="5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1" t="str">
        <f>IFERROR(__xludf.DUMMYFUNCTION("""COMPUTED_VALUE"""),"Dennis Group")</f>
        <v>Dennis Group</v>
      </c>
      <c r="B87" s="1" t="str">
        <f>IFERROR(__xludf.DUMMYFUNCTION("""COMPUTED_VALUE"""),"CompanyInformation/DGL")</f>
        <v>CompanyInformation/DGL</v>
      </c>
      <c r="C87" s="2" t="s">
        <v>86</v>
      </c>
      <c r="D87" s="3"/>
      <c r="E87" s="3"/>
      <c r="F87" s="2"/>
      <c r="G87" s="1"/>
      <c r="H87" s="1"/>
      <c r="I87" s="3"/>
      <c r="J87" s="3"/>
      <c r="K87" s="3"/>
      <c r="L87" s="1"/>
      <c r="M87" s="1"/>
      <c r="N87" s="4"/>
      <c r="O87" s="5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1" t="str">
        <f>IFERROR(__xludf.DUMMYFUNCTION("""COMPUTED_VALUE"""),"DeSimone Consulting Engineers")</f>
        <v>DeSimone Consulting Engineers</v>
      </c>
      <c r="B88" s="1" t="str">
        <f>IFERROR(__xludf.DUMMYFUNCTION("""COMPUTED_VALUE"""),"CompanyInformation/DES")</f>
        <v>CompanyInformation/DES</v>
      </c>
      <c r="C88" s="2" t="s">
        <v>87</v>
      </c>
      <c r="D88" s="3"/>
      <c r="E88" s="3"/>
      <c r="F88" s="2"/>
      <c r="G88" s="1"/>
      <c r="H88" s="1"/>
      <c r="I88" s="3"/>
      <c r="J88" s="3"/>
      <c r="K88" s="3"/>
      <c r="L88" s="1"/>
      <c r="M88" s="1"/>
      <c r="N88" s="4"/>
      <c r="O88" s="5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1" t="str">
        <f>IFERROR(__xludf.DUMMYFUNCTION("""COMPUTED_VALUE"""),"Dewberry")</f>
        <v>Dewberry</v>
      </c>
      <c r="B89" s="1" t="str">
        <f>IFERROR(__xludf.DUMMYFUNCTION("""COMPUTED_VALUE"""),"CompanyInformation/Dewberry")</f>
        <v>CompanyInformation/Dewberry</v>
      </c>
      <c r="C89" s="2" t="s">
        <v>88</v>
      </c>
      <c r="D89" s="3"/>
      <c r="E89" s="3"/>
      <c r="F89" s="2"/>
      <c r="G89" s="1"/>
      <c r="H89" s="1"/>
      <c r="I89" s="3"/>
      <c r="J89" s="3"/>
      <c r="K89" s="3"/>
      <c r="L89" s="1"/>
      <c r="M89" s="1"/>
      <c r="N89" s="4"/>
      <c r="O89" s="5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1" t="str">
        <f>IFERROR(__xludf.DUMMYFUNCTION("""COMPUTED_VALUE"""),"Digital Receiver Technology, Inc. (DRT)")</f>
        <v>Digital Receiver Technology, Inc. (DRT)</v>
      </c>
      <c r="B90" s="1" t="str">
        <f>IFERROR(__xludf.DUMMYFUNCTION("""COMPUTED_VALUE"""),"CompanyInformation/DRT")</f>
        <v>CompanyInformation/DRT</v>
      </c>
      <c r="C90" s="2" t="s">
        <v>89</v>
      </c>
      <c r="D90" s="3"/>
      <c r="E90" s="3"/>
      <c r="F90" s="2"/>
      <c r="G90" s="1"/>
      <c r="H90" s="1"/>
      <c r="I90" s="3"/>
      <c r="J90" s="3"/>
      <c r="K90" s="3"/>
      <c r="L90" s="1"/>
      <c r="M90" s="1"/>
      <c r="N90" s="4"/>
      <c r="O90" s="5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1" t="str">
        <f>IFERROR(__xludf.DUMMYFUNCTION("""COMPUTED_VALUE"""),"DJG, Inc.")</f>
        <v>DJG, Inc.</v>
      </c>
      <c r="B91" s="1" t="str">
        <f>IFERROR(__xludf.DUMMYFUNCTION("""COMPUTED_VALUE"""),"CompanyInformation/DJG")</f>
        <v>CompanyInformation/DJG</v>
      </c>
      <c r="C91" s="2" t="s">
        <v>90</v>
      </c>
      <c r="D91" s="3"/>
      <c r="E91" s="3"/>
      <c r="F91" s="2"/>
      <c r="G91" s="1"/>
      <c r="H91" s="1"/>
      <c r="I91" s="3"/>
      <c r="J91" s="3"/>
      <c r="K91" s="3"/>
      <c r="L91" s="1"/>
      <c r="M91" s="1"/>
      <c r="N91" s="4"/>
      <c r="O91" s="5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1" t="str">
        <f>IFERROR(__xludf.DUMMYFUNCTION("""COMPUTED_VALUE"""),"Dominion Energy")</f>
        <v>Dominion Energy</v>
      </c>
      <c r="B92" s="1" t="str">
        <f>IFERROR(__xludf.DUMMYFUNCTION("""COMPUTED_VALUE"""),"CompanyInformation/DomEnergy")</f>
        <v>CompanyInformation/DomEnergy</v>
      </c>
      <c r="C92" s="2" t="s">
        <v>91</v>
      </c>
      <c r="D92" s="3"/>
      <c r="E92" s="3"/>
      <c r="F92" s="2"/>
      <c r="G92" s="1"/>
      <c r="H92" s="1"/>
      <c r="I92" s="3"/>
      <c r="J92" s="3"/>
      <c r="K92" s="3"/>
      <c r="L92" s="1"/>
      <c r="M92" s="1"/>
      <c r="N92" s="4"/>
      <c r="O92" s="5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1" t="str">
        <f>IFERROR(__xludf.DUMMYFUNCTION("""COMPUTED_VALUE"""),"Doosan Bobcat")</f>
        <v>Doosan Bobcat</v>
      </c>
      <c r="B93" s="1" t="str">
        <f>IFERROR(__xludf.DUMMYFUNCTION("""COMPUTED_VALUE"""),"CompanyInformation/Doosan")</f>
        <v>CompanyInformation/Doosan</v>
      </c>
      <c r="C93" s="2" t="s">
        <v>92</v>
      </c>
      <c r="D93" s="3"/>
      <c r="E93" s="3"/>
      <c r="F93" s="2"/>
      <c r="G93" s="1"/>
      <c r="H93" s="1"/>
      <c r="I93" s="3"/>
      <c r="J93" s="3"/>
      <c r="K93" s="3"/>
      <c r="L93" s="1"/>
      <c r="M93" s="1"/>
      <c r="N93" s="4"/>
      <c r="O93" s="5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1" t="str">
        <f>IFERROR(__xludf.DUMMYFUNCTION("""COMPUTED_VALUE"""),"Dover Corporation")</f>
        <v>Dover Corporation</v>
      </c>
      <c r="B94" s="1" t="str">
        <f>IFERROR(__xludf.DUMMYFUNCTION("""COMPUTED_VALUE"""),"CompanyInformation/Dover")</f>
        <v>CompanyInformation/Dover</v>
      </c>
      <c r="C94" s="2" t="s">
        <v>93</v>
      </c>
      <c r="D94" s="3"/>
      <c r="E94" s="3"/>
      <c r="F94" s="2"/>
      <c r="G94" s="1"/>
      <c r="H94" s="1"/>
      <c r="I94" s="3"/>
      <c r="J94" s="3"/>
      <c r="K94" s="3"/>
      <c r="L94" s="1"/>
      <c r="M94" s="1"/>
      <c r="N94" s="4"/>
      <c r="O94" s="5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1" t="str">
        <f>IFERROR(__xludf.DUMMYFUNCTION("""COMPUTED_VALUE"""),"Duke Energy")</f>
        <v>Duke Energy</v>
      </c>
      <c r="B95" s="1" t="str">
        <f>IFERROR(__xludf.DUMMYFUNCTION("""COMPUTED_VALUE"""),"CompanyInformation/DE2018")</f>
        <v>CompanyInformation/DE2018</v>
      </c>
      <c r="C95" s="2" t="s">
        <v>94</v>
      </c>
      <c r="D95" s="3"/>
      <c r="E95" s="3"/>
      <c r="F95" s="2"/>
      <c r="G95" s="1"/>
      <c r="H95" s="1"/>
      <c r="I95" s="3"/>
      <c r="J95" s="3"/>
      <c r="K95" s="3"/>
      <c r="L95" s="1"/>
      <c r="M95" s="1"/>
      <c r="N95" s="4"/>
      <c r="O95" s="5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1" t="str">
        <f>IFERROR(__xludf.DUMMYFUNCTION("""COMPUTED_VALUE"""),"Duke University Health System")</f>
        <v>Duke University Health System</v>
      </c>
      <c r="B96" s="1" t="str">
        <f>IFERROR(__xludf.DUMMYFUNCTION("""COMPUTED_VALUE"""),"CompanyInformation/DUHS")</f>
        <v>CompanyInformation/DUHS</v>
      </c>
      <c r="C96" s="2" t="s">
        <v>95</v>
      </c>
      <c r="D96" s="3"/>
      <c r="E96" s="3"/>
      <c r="F96" s="2"/>
      <c r="G96" s="1"/>
      <c r="H96" s="1"/>
      <c r="I96" s="3"/>
      <c r="J96" s="3"/>
      <c r="K96" s="3"/>
      <c r="L96" s="1"/>
      <c r="M96" s="1"/>
      <c r="N96" s="4"/>
      <c r="O96" s="5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1" t="str">
        <f>IFERROR(__xludf.DUMMYFUNCTION("""COMPUTED_VALUE"""),"DuPont")</f>
        <v>DuPont</v>
      </c>
      <c r="B97" s="1" t="str">
        <f>IFERROR(__xludf.DUMMYFUNCTION("""COMPUTED_VALUE"""),"CompanyInformation/DuPont")</f>
        <v>CompanyInformation/DuPont</v>
      </c>
      <c r="C97" s="2" t="s">
        <v>96</v>
      </c>
      <c r="D97" s="3"/>
      <c r="E97" s="3"/>
      <c r="F97" s="2"/>
      <c r="G97" s="1"/>
      <c r="H97" s="1"/>
      <c r="I97" s="3"/>
      <c r="J97" s="3"/>
      <c r="K97" s="3"/>
      <c r="L97" s="1"/>
      <c r="M97" s="1"/>
      <c r="N97" s="4"/>
      <c r="O97" s="5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1" t="str">
        <f>IFERROR(__xludf.DUMMYFUNCTION("""COMPUTED_VALUE"""),"EASi")</f>
        <v>EASi</v>
      </c>
      <c r="B98" s="1" t="str">
        <f>IFERROR(__xludf.DUMMYFUNCTION("""COMPUTED_VALUE"""),"CompanyInformation/EASi")</f>
        <v>CompanyInformation/EASi</v>
      </c>
      <c r="C98" s="2" t="s">
        <v>97</v>
      </c>
      <c r="D98" s="3"/>
      <c r="E98" s="3"/>
      <c r="F98" s="2"/>
      <c r="G98" s="1"/>
      <c r="H98" s="1"/>
      <c r="I98" s="3"/>
      <c r="J98" s="3"/>
      <c r="K98" s="3"/>
      <c r="L98" s="1"/>
      <c r="M98" s="1"/>
      <c r="N98" s="4"/>
      <c r="O98" s="5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1" t="str">
        <f>IFERROR(__xludf.DUMMYFUNCTION("""COMPUTED_VALUE"""),"Eastern Research Group, Inc.")</f>
        <v>Eastern Research Group, Inc.</v>
      </c>
      <c r="B99" s="1" t="str">
        <f>IFERROR(__xludf.DUMMYFUNCTION("""COMPUTED_VALUE"""),"CompanyInformation/ERG")</f>
        <v>CompanyInformation/ERG</v>
      </c>
      <c r="C99" s="2" t="s">
        <v>98</v>
      </c>
      <c r="D99" s="3"/>
      <c r="E99" s="3"/>
      <c r="F99" s="2"/>
      <c r="G99" s="1"/>
      <c r="H99" s="1"/>
      <c r="I99" s="3"/>
      <c r="J99" s="3"/>
      <c r="K99" s="3"/>
      <c r="L99" s="1"/>
      <c r="M99" s="1"/>
      <c r="N99" s="4"/>
      <c r="O99" s="5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1" t="str">
        <f>IFERROR(__xludf.DUMMYFUNCTION("""COMPUTED_VALUE"""),"Eastman")</f>
        <v>Eastman</v>
      </c>
      <c r="B100" s="1" t="str">
        <f>IFERROR(__xludf.DUMMYFUNCTION("""COMPUTED_VALUE"""),"CompanyInformation/EMN")</f>
        <v>CompanyInformation/EMN</v>
      </c>
      <c r="C100" s="2" t="s">
        <v>99</v>
      </c>
      <c r="D100" s="3"/>
      <c r="E100" s="3"/>
      <c r="F100" s="2"/>
      <c r="G100" s="1"/>
      <c r="H100" s="1"/>
      <c r="I100" s="3"/>
      <c r="J100" s="3"/>
      <c r="K100" s="3"/>
      <c r="L100" s="1"/>
      <c r="M100" s="1"/>
      <c r="N100" s="4"/>
      <c r="O100" s="5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1" t="str">
        <f>IFERROR(__xludf.DUMMYFUNCTION("""COMPUTED_VALUE"""),"Eaton Corporation")</f>
        <v>Eaton Corporation</v>
      </c>
      <c r="B101" s="1" t="str">
        <f>IFERROR(__xludf.DUMMYFUNCTION("""COMPUTED_VALUE"""),"CompanyInformation/Eaton")</f>
        <v>CompanyInformation/Eaton</v>
      </c>
      <c r="C101" s="2" t="s">
        <v>100</v>
      </c>
      <c r="D101" s="3"/>
      <c r="E101" s="3"/>
      <c r="F101" s="2"/>
      <c r="G101" s="1"/>
      <c r="H101" s="1"/>
      <c r="I101" s="3"/>
      <c r="J101" s="3"/>
      <c r="K101" s="3"/>
      <c r="L101" s="1"/>
      <c r="M101" s="1"/>
      <c r="N101" s="4"/>
      <c r="O101" s="5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1" t="str">
        <f>IFERROR(__xludf.DUMMYFUNCTION("""COMPUTED_VALUE"""),"ECS")</f>
        <v>ECS</v>
      </c>
      <c r="B102" s="1" t="str">
        <f>IFERROR(__xludf.DUMMYFUNCTION("""COMPUTED_VALUE"""),"CompanyInformation/ECS")</f>
        <v>CompanyInformation/ECS</v>
      </c>
      <c r="C102" s="2" t="s">
        <v>101</v>
      </c>
      <c r="D102" s="3"/>
      <c r="E102" s="3"/>
      <c r="F102" s="2"/>
      <c r="G102" s="1"/>
      <c r="H102" s="1"/>
      <c r="I102" s="3"/>
      <c r="J102" s="3"/>
      <c r="K102" s="3"/>
      <c r="L102" s="1"/>
      <c r="M102" s="1"/>
      <c r="N102" s="4"/>
      <c r="O102" s="5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1" t="str">
        <f>IFERROR(__xludf.DUMMYFUNCTION("""COMPUTED_VALUE"""),"Engility")</f>
        <v>Engility</v>
      </c>
      <c r="B103" s="1" t="str">
        <f>IFERROR(__xludf.DUMMYFUNCTION("""COMPUTED_VALUE"""),"CompanyInformation/Engility")</f>
        <v>CompanyInformation/Engility</v>
      </c>
      <c r="C103" s="2" t="s">
        <v>102</v>
      </c>
      <c r="D103" s="3"/>
      <c r="E103" s="3"/>
      <c r="F103" s="2"/>
      <c r="G103" s="1"/>
      <c r="H103" s="1"/>
      <c r="I103" s="3"/>
      <c r="J103" s="3"/>
      <c r="K103" s="3"/>
      <c r="L103" s="1"/>
      <c r="M103" s="1"/>
      <c r="N103" s="4"/>
      <c r="O103" s="5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1" t="str">
        <f>IFERROR(__xludf.DUMMYFUNCTION("""COMPUTED_VALUE"""),"ENSCO, Inc.")</f>
        <v>ENSCO, Inc.</v>
      </c>
      <c r="B104" s="1" t="str">
        <f>IFERROR(__xludf.DUMMYFUNCTION("""COMPUTED_VALUE"""),"CompanyInformation/Ensco")</f>
        <v>CompanyInformation/Ensco</v>
      </c>
      <c r="C104" s="2" t="s">
        <v>103</v>
      </c>
      <c r="D104" s="3"/>
      <c r="E104" s="3"/>
      <c r="F104" s="2"/>
      <c r="G104" s="1"/>
      <c r="H104" s="1"/>
      <c r="I104" s="3"/>
      <c r="J104" s="3"/>
      <c r="K104" s="3"/>
      <c r="L104" s="1"/>
      <c r="M104" s="1"/>
      <c r="N104" s="4"/>
      <c r="O104" s="5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1" t="str">
        <f>IFERROR(__xludf.DUMMYFUNCTION("""COMPUTED_VALUE"""),"Enviva Biomass")</f>
        <v>Enviva Biomass</v>
      </c>
      <c r="B105" s="1" t="str">
        <f>IFERROR(__xludf.DUMMYFUNCTION("""COMPUTED_VALUE"""),"CompanyInformation/Enviva")</f>
        <v>CompanyInformation/Enviva</v>
      </c>
      <c r="C105" s="2" t="s">
        <v>104</v>
      </c>
      <c r="D105" s="3"/>
      <c r="E105" s="3"/>
      <c r="F105" s="2"/>
      <c r="G105" s="1"/>
      <c r="H105" s="1"/>
      <c r="I105" s="3"/>
      <c r="J105" s="3"/>
      <c r="K105" s="3"/>
      <c r="L105" s="1"/>
      <c r="M105" s="1"/>
      <c r="N105" s="4"/>
      <c r="O105" s="5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1" t="str">
        <f>IFERROR(__xludf.DUMMYFUNCTION("""COMPUTED_VALUE"""),"Epic")</f>
        <v>Epic</v>
      </c>
      <c r="B106" s="1" t="str">
        <f>IFERROR(__xludf.DUMMYFUNCTION("""COMPUTED_VALUE"""),"CompanyInformation/Epic")</f>
        <v>CompanyInformation/Epic</v>
      </c>
      <c r="C106" s="2" t="s">
        <v>105</v>
      </c>
      <c r="D106" s="3"/>
      <c r="E106" s="3"/>
      <c r="F106" s="2"/>
      <c r="G106" s="1"/>
      <c r="H106" s="1"/>
      <c r="I106" s="3"/>
      <c r="J106" s="3"/>
      <c r="K106" s="3"/>
      <c r="L106" s="1"/>
      <c r="M106" s="1"/>
      <c r="N106" s="4"/>
      <c r="O106" s="5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1" t="str">
        <f>IFERROR(__xludf.DUMMYFUNCTION("""COMPUTED_VALUE"""),"Ernst &amp; Young")</f>
        <v>Ernst &amp; Young</v>
      </c>
      <c r="B107" s="1" t="str">
        <f>IFERROR(__xludf.DUMMYFUNCTION("""COMPUTED_VALUE"""),"CompanyInformation/EY1")</f>
        <v>CompanyInformation/EY1</v>
      </c>
      <c r="C107" s="2" t="s">
        <v>106</v>
      </c>
      <c r="D107" s="3"/>
      <c r="E107" s="3"/>
      <c r="F107" s="2"/>
      <c r="G107" s="1"/>
      <c r="H107" s="1"/>
      <c r="I107" s="3"/>
      <c r="J107" s="3"/>
      <c r="K107" s="3"/>
      <c r="L107" s="1"/>
      <c r="M107" s="1"/>
      <c r="N107" s="4"/>
      <c r="O107" s="5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1" t="str">
        <f>IFERROR(__xludf.DUMMYFUNCTION("""COMPUTED_VALUE"""),"Evapco")</f>
        <v>Evapco</v>
      </c>
      <c r="B108" s="1" t="str">
        <f>IFERROR(__xludf.DUMMYFUNCTION("""COMPUTED_VALUE"""),"CompanyInformation/Evapco")</f>
        <v>CompanyInformation/Evapco</v>
      </c>
      <c r="C108" s="2" t="s">
        <v>107</v>
      </c>
      <c r="D108" s="3"/>
      <c r="E108" s="3"/>
      <c r="F108" s="2"/>
      <c r="G108" s="1"/>
      <c r="H108" s="1"/>
      <c r="I108" s="3"/>
      <c r="J108" s="3"/>
      <c r="K108" s="3"/>
      <c r="L108" s="1"/>
      <c r="M108" s="1"/>
      <c r="N108" s="4"/>
      <c r="O108" s="5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1" t="str">
        <f>IFERROR(__xludf.DUMMYFUNCTION("""COMPUTED_VALUE"""),"Evonik")</f>
        <v>Evonik</v>
      </c>
      <c r="B109" s="1" t="str">
        <f>IFERROR(__xludf.DUMMYFUNCTION("""COMPUTED_VALUE"""),"CompanyInformation/Evonik")</f>
        <v>CompanyInformation/Evonik</v>
      </c>
      <c r="C109" s="2" t="s">
        <v>108</v>
      </c>
      <c r="D109" s="3"/>
      <c r="E109" s="3"/>
      <c r="F109" s="2"/>
      <c r="G109" s="1"/>
      <c r="H109" s="1"/>
      <c r="I109" s="3"/>
      <c r="J109" s="3"/>
      <c r="K109" s="3"/>
      <c r="L109" s="1"/>
      <c r="M109" s="1"/>
      <c r="N109" s="4"/>
      <c r="O109" s="5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1" t="str">
        <f>IFERROR(__xludf.DUMMYFUNCTION("""COMPUTED_VALUE"""),"Excella")</f>
        <v>Excella</v>
      </c>
      <c r="B110" s="1" t="str">
        <f>IFERROR(__xludf.DUMMYFUNCTION("""COMPUTED_VALUE"""),"CompanyInformation/Excella")</f>
        <v>CompanyInformation/Excella</v>
      </c>
      <c r="C110" s="2" t="s">
        <v>109</v>
      </c>
      <c r="D110" s="3"/>
      <c r="E110" s="3"/>
      <c r="F110" s="2"/>
      <c r="G110" s="1"/>
      <c r="H110" s="1"/>
      <c r="I110" s="3"/>
      <c r="J110" s="3"/>
      <c r="K110" s="3"/>
      <c r="L110" s="1"/>
      <c r="M110" s="1"/>
      <c r="N110" s="4"/>
      <c r="O110" s="5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1" t="str">
        <f>IFERROR(__xludf.DUMMYFUNCTION("""COMPUTED_VALUE"""),"Expedition Technology, Inc.")</f>
        <v>Expedition Technology, Inc.</v>
      </c>
      <c r="B111" s="1" t="str">
        <f>IFERROR(__xludf.DUMMYFUNCTION("""COMPUTED_VALUE"""),"CompanyInformation/EXP")</f>
        <v>CompanyInformation/EXP</v>
      </c>
      <c r="C111" s="2" t="s">
        <v>110</v>
      </c>
      <c r="D111" s="3"/>
      <c r="E111" s="3"/>
      <c r="F111" s="2"/>
      <c r="G111" s="1"/>
      <c r="H111" s="1"/>
      <c r="I111" s="3"/>
      <c r="J111" s="3"/>
      <c r="K111" s="3"/>
      <c r="L111" s="1"/>
      <c r="M111" s="1"/>
      <c r="N111" s="4"/>
      <c r="O111" s="5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1" t="str">
        <f>IFERROR(__xludf.DUMMYFUNCTION("""COMPUTED_VALUE"""),"ExxonMobil")</f>
        <v>ExxonMobil</v>
      </c>
      <c r="B112" s="1" t="str">
        <f>IFERROR(__xludf.DUMMYFUNCTION("""COMPUTED_VALUE"""),"CompanyInformation/XOM")</f>
        <v>CompanyInformation/XOM</v>
      </c>
      <c r="C112" s="2" t="s">
        <v>111</v>
      </c>
      <c r="D112" s="3"/>
      <c r="E112" s="3"/>
      <c r="F112" s="2"/>
      <c r="G112" s="1"/>
      <c r="H112" s="1"/>
      <c r="I112" s="3"/>
      <c r="J112" s="3"/>
      <c r="K112" s="3"/>
      <c r="L112" s="1"/>
      <c r="M112" s="1"/>
      <c r="N112" s="4"/>
      <c r="O112" s="5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1" t="str">
        <f>IFERROR(__xludf.DUMMYFUNCTION("""COMPUTED_VALUE"""),"FBI")</f>
        <v>FBI</v>
      </c>
      <c r="B113" s="1" t="str">
        <f>IFERROR(__xludf.DUMMYFUNCTION("""COMPUTED_VALUE"""),"CompanyInformation/FBI")</f>
        <v>CompanyInformation/FBI</v>
      </c>
      <c r="C113" s="2" t="s">
        <v>112</v>
      </c>
      <c r="D113" s="3"/>
      <c r="E113" s="3"/>
      <c r="F113" s="2"/>
      <c r="G113" s="1"/>
      <c r="H113" s="1"/>
      <c r="I113" s="3"/>
      <c r="J113" s="3"/>
      <c r="K113" s="3"/>
      <c r="L113" s="1"/>
      <c r="M113" s="1"/>
      <c r="N113" s="4"/>
      <c r="O113" s="5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1" t="str">
        <f>IFERROR(__xludf.DUMMYFUNCTION("""COMPUTED_VALUE"""),"Federal-Mogul")</f>
        <v>Federal-Mogul</v>
      </c>
      <c r="B114" s="1" t="str">
        <f>IFERROR(__xludf.DUMMYFUNCTION("""COMPUTED_VALUE"""),"CompanyInformation/FEDMOG")</f>
        <v>CompanyInformation/FEDMOG</v>
      </c>
      <c r="C114" s="2" t="s">
        <v>113</v>
      </c>
      <c r="D114" s="3"/>
      <c r="E114" s="3"/>
      <c r="F114" s="2"/>
      <c r="G114" s="1"/>
      <c r="H114" s="1"/>
      <c r="I114" s="3"/>
      <c r="J114" s="3"/>
      <c r="K114" s="3"/>
      <c r="L114" s="1"/>
      <c r="M114" s="1"/>
      <c r="N114" s="4"/>
      <c r="O114" s="5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1" t="str">
        <f>IFERROR(__xludf.DUMMYFUNCTION("""COMPUTED_VALUE"""),"FedEx Ground")</f>
        <v>FedEx Ground</v>
      </c>
      <c r="B115" s="1" t="str">
        <f>IFERROR(__xludf.DUMMYFUNCTION("""COMPUTED_VALUE"""),"CompanyInformation/FedExG")</f>
        <v>CompanyInformation/FedExG</v>
      </c>
      <c r="C115" s="2" t="s">
        <v>114</v>
      </c>
      <c r="D115" s="3"/>
      <c r="E115" s="3"/>
      <c r="F115" s="2"/>
      <c r="G115" s="1"/>
      <c r="H115" s="1"/>
      <c r="I115" s="3"/>
      <c r="J115" s="3"/>
      <c r="K115" s="3"/>
      <c r="L115" s="1"/>
      <c r="M115" s="1"/>
      <c r="N115" s="4"/>
      <c r="O115" s="5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1" t="str">
        <f>IFERROR(__xludf.DUMMYFUNCTION("""COMPUTED_VALUE"""),"FM Global")</f>
        <v>FM Global</v>
      </c>
      <c r="B116" s="1" t="str">
        <f>IFERROR(__xludf.DUMMYFUNCTION("""COMPUTED_VALUE"""),"CompanyInformation/FMG")</f>
        <v>CompanyInformation/FMG</v>
      </c>
      <c r="C116" s="2" t="s">
        <v>115</v>
      </c>
      <c r="D116" s="3"/>
      <c r="E116" s="3"/>
      <c r="F116" s="2"/>
      <c r="G116" s="1"/>
      <c r="H116" s="1"/>
      <c r="I116" s="3"/>
      <c r="J116" s="3"/>
      <c r="K116" s="3"/>
      <c r="L116" s="1"/>
      <c r="M116" s="1"/>
      <c r="N116" s="4"/>
      <c r="O116" s="5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1" t="str">
        <f>IFERROR(__xludf.DUMMYFUNCTION("""COMPUTED_VALUE"""),"Fortive")</f>
        <v>Fortive</v>
      </c>
      <c r="B117" s="1" t="str">
        <f>IFERROR(__xludf.DUMMYFUNCTION("""COMPUTED_VALUE"""),"CompanyInformation/FTV")</f>
        <v>CompanyInformation/FTV</v>
      </c>
      <c r="C117" s="2" t="s">
        <v>116</v>
      </c>
      <c r="D117" s="3"/>
      <c r="E117" s="3"/>
      <c r="F117" s="2"/>
      <c r="G117" s="1"/>
      <c r="H117" s="1"/>
      <c r="I117" s="3"/>
      <c r="J117" s="3"/>
      <c r="K117" s="3"/>
      <c r="L117" s="1"/>
      <c r="M117" s="1"/>
      <c r="N117" s="4"/>
      <c r="O117" s="5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1" t="str">
        <f>IFERROR(__xludf.DUMMYFUNCTION("""COMPUTED_VALUE"""),"Fortna")</f>
        <v>Fortna</v>
      </c>
      <c r="B118" s="1" t="str">
        <f>IFERROR(__xludf.DUMMYFUNCTION("""COMPUTED_VALUE"""),"CompanyInformation/For")</f>
        <v>CompanyInformation/For</v>
      </c>
      <c r="C118" s="2" t="s">
        <v>117</v>
      </c>
      <c r="D118" s="3"/>
      <c r="E118" s="3"/>
      <c r="F118" s="2"/>
      <c r="G118" s="1"/>
      <c r="H118" s="1"/>
      <c r="I118" s="3"/>
      <c r="J118" s="3"/>
      <c r="K118" s="3"/>
      <c r="L118" s="1"/>
      <c r="M118" s="1"/>
      <c r="N118" s="4"/>
      <c r="O118" s="5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1" t="str">
        <f>IFERROR(__xludf.DUMMYFUNCTION("""COMPUTED_VALUE"""),"Fox Factory")</f>
        <v>Fox Factory</v>
      </c>
      <c r="B119" s="1" t="str">
        <f>IFERROR(__xludf.DUMMYFUNCTION("""COMPUTED_VALUE"""),"CompanyInformation/FOX")</f>
        <v>CompanyInformation/FOX</v>
      </c>
      <c r="C119" s="2" t="s">
        <v>118</v>
      </c>
      <c r="D119" s="3"/>
      <c r="E119" s="3"/>
      <c r="F119" s="2"/>
      <c r="G119" s="1"/>
      <c r="H119" s="1"/>
      <c r="I119" s="3"/>
      <c r="J119" s="3"/>
      <c r="K119" s="3"/>
      <c r="L119" s="1"/>
      <c r="M119" s="1"/>
      <c r="N119" s="4"/>
      <c r="O119" s="5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1" t="str">
        <f>IFERROR(__xludf.DUMMYFUNCTION("""COMPUTED_VALUE"""),"Framatome")</f>
        <v>Framatome</v>
      </c>
      <c r="B120" s="1" t="str">
        <f>IFERROR(__xludf.DUMMYFUNCTION("""COMPUTED_VALUE"""),"CompanyInformation/Framatome")</f>
        <v>CompanyInformation/Framatome</v>
      </c>
      <c r="C120" s="2" t="s">
        <v>119</v>
      </c>
      <c r="D120" s="3"/>
      <c r="E120" s="3"/>
      <c r="F120" s="2"/>
      <c r="G120" s="1"/>
      <c r="H120" s="1"/>
      <c r="I120" s="3"/>
      <c r="J120" s="3"/>
      <c r="K120" s="3"/>
      <c r="L120" s="1"/>
      <c r="M120" s="1"/>
      <c r="N120" s="4"/>
      <c r="O120" s="5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1" t="str">
        <f>IFERROR(__xludf.DUMMYFUNCTION("""COMPUTED_VALUE"""),"Freese and Nichols, Inc.")</f>
        <v>Freese and Nichols, Inc.</v>
      </c>
      <c r="B121" s="1" t="str">
        <f>IFERROR(__xludf.DUMMYFUNCTION("""COMPUTED_VALUE"""),"CompanyInformation/FNI")</f>
        <v>CompanyInformation/FNI</v>
      </c>
      <c r="C121" s="2" t="s">
        <v>120</v>
      </c>
      <c r="D121" s="3"/>
      <c r="E121" s="3"/>
      <c r="F121" s="2"/>
      <c r="G121" s="1"/>
      <c r="H121" s="1"/>
      <c r="I121" s="3"/>
      <c r="J121" s="3"/>
      <c r="K121" s="3"/>
      <c r="L121" s="1"/>
      <c r="M121" s="1"/>
      <c r="N121" s="4"/>
      <c r="O121" s="5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1" t="str">
        <f>IFERROR(__xludf.DUMMYFUNCTION("""COMPUTED_VALUE"""),"G2 Ops, Inc.")</f>
        <v>G2 Ops, Inc.</v>
      </c>
      <c r="B122" s="1" t="str">
        <f>IFERROR(__xludf.DUMMYFUNCTION("""COMPUTED_VALUE"""),"CompanyInformation/G2Ops")</f>
        <v>CompanyInformation/G2Ops</v>
      </c>
      <c r="C122" s="2" t="s">
        <v>121</v>
      </c>
      <c r="D122" s="3"/>
      <c r="E122" s="3"/>
      <c r="F122" s="2"/>
      <c r="G122" s="1"/>
      <c r="H122" s="1"/>
      <c r="I122" s="3"/>
      <c r="J122" s="3"/>
      <c r="K122" s="3"/>
      <c r="L122" s="1"/>
      <c r="M122" s="1"/>
      <c r="N122" s="4"/>
      <c r="O122" s="5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1" t="str">
        <f>IFERROR(__xludf.DUMMYFUNCTION("""COMPUTED_VALUE"""),"G3 Technologies, Inc.")</f>
        <v>G3 Technologies, Inc.</v>
      </c>
      <c r="B123" s="1" t="str">
        <f>IFERROR(__xludf.DUMMYFUNCTION("""COMPUTED_VALUE"""),"CompanyInformation/G3T")</f>
        <v>CompanyInformation/G3T</v>
      </c>
      <c r="C123" s="2" t="s">
        <v>122</v>
      </c>
      <c r="D123" s="3"/>
      <c r="E123" s="3"/>
      <c r="F123" s="2"/>
      <c r="G123" s="1"/>
      <c r="H123" s="1"/>
      <c r="I123" s="3"/>
      <c r="J123" s="3"/>
      <c r="K123" s="3"/>
      <c r="L123" s="1"/>
      <c r="M123" s="1"/>
      <c r="N123" s="4"/>
      <c r="O123" s="5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1" t="str">
        <f>IFERROR(__xludf.DUMMYFUNCTION("""COMPUTED_VALUE"""),"GAF")</f>
        <v>GAF</v>
      </c>
      <c r="B124" s="1" t="str">
        <f>IFERROR(__xludf.DUMMYFUNCTION("""COMPUTED_VALUE"""),"CompanyInformation/GAF")</f>
        <v>CompanyInformation/GAF</v>
      </c>
      <c r="C124" s="2" t="s">
        <v>123</v>
      </c>
      <c r="D124" s="3"/>
      <c r="E124" s="3"/>
      <c r="F124" s="2"/>
      <c r="G124" s="1"/>
      <c r="H124" s="1"/>
      <c r="I124" s="3"/>
      <c r="J124" s="3"/>
      <c r="K124" s="3"/>
      <c r="L124" s="1"/>
      <c r="M124" s="1"/>
      <c r="N124" s="4"/>
      <c r="O124" s="5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1" t="str">
        <f>IFERROR(__xludf.DUMMYFUNCTION("""COMPUTED_VALUE"""),"Galatea Associates LLC")</f>
        <v>Galatea Associates LLC</v>
      </c>
      <c r="B125" s="1" t="str">
        <f>IFERROR(__xludf.DUMMYFUNCTION("""COMPUTED_VALUE"""),"CompanyInformation/Galatea")</f>
        <v>CompanyInformation/Galatea</v>
      </c>
      <c r="C125" s="2" t="s">
        <v>124</v>
      </c>
      <c r="D125" s="3"/>
      <c r="E125" s="3"/>
      <c r="F125" s="2"/>
      <c r="G125" s="1"/>
      <c r="H125" s="1"/>
      <c r="I125" s="3"/>
      <c r="J125" s="3"/>
      <c r="K125" s="3"/>
      <c r="L125" s="1"/>
      <c r="M125" s="1"/>
      <c r="N125" s="4"/>
      <c r="O125" s="5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1" t="str">
        <f>IFERROR(__xludf.DUMMYFUNCTION("""COMPUTED_VALUE"""),"Garney Construction")</f>
        <v>Garney Construction</v>
      </c>
      <c r="B126" s="1" t="str">
        <f>IFERROR(__xludf.DUMMYFUNCTION("""COMPUTED_VALUE"""),"CompanyInformation/Garney")</f>
        <v>CompanyInformation/Garney</v>
      </c>
      <c r="C126" s="2" t="s">
        <v>125</v>
      </c>
      <c r="D126" s="3"/>
      <c r="E126" s="3"/>
      <c r="F126" s="2"/>
      <c r="G126" s="1"/>
      <c r="H126" s="1"/>
      <c r="I126" s="3"/>
      <c r="J126" s="3"/>
      <c r="K126" s="3"/>
      <c r="L126" s="1"/>
      <c r="M126" s="1"/>
      <c r="N126" s="4"/>
      <c r="O126" s="5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1" t="str">
        <f>IFERROR(__xludf.DUMMYFUNCTION("""COMPUTED_VALUE"""),"Gaumard Scientific")</f>
        <v>Gaumard Scientific</v>
      </c>
      <c r="B127" s="1" t="str">
        <f>IFERROR(__xludf.DUMMYFUNCTION("""COMPUTED_VALUE"""),"CompanyInformation/Gaumard")</f>
        <v>CompanyInformation/Gaumard</v>
      </c>
      <c r="C127" s="2" t="s">
        <v>126</v>
      </c>
      <c r="D127" s="3"/>
      <c r="E127" s="3"/>
      <c r="F127" s="2"/>
      <c r="G127" s="1"/>
      <c r="H127" s="1"/>
      <c r="I127" s="3"/>
      <c r="J127" s="3"/>
      <c r="K127" s="3"/>
      <c r="L127" s="1"/>
      <c r="M127" s="1"/>
      <c r="N127" s="4"/>
      <c r="O127" s="5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1" t="str">
        <f>IFERROR(__xludf.DUMMYFUNCTION("""COMPUTED_VALUE"""),"General Dynamics Electric Boat")</f>
        <v>General Dynamics Electric Boat</v>
      </c>
      <c r="B128" s="1" t="str">
        <f>IFERROR(__xludf.DUMMYFUNCTION("""COMPUTED_VALUE"""),"CompanyInformation/GDEB")</f>
        <v>CompanyInformation/GDEB</v>
      </c>
      <c r="C128" s="2" t="s">
        <v>127</v>
      </c>
      <c r="D128" s="3"/>
      <c r="E128" s="3"/>
      <c r="F128" s="2"/>
      <c r="G128" s="1"/>
      <c r="H128" s="1"/>
      <c r="I128" s="3"/>
      <c r="J128" s="3"/>
      <c r="K128" s="3"/>
      <c r="L128" s="1"/>
      <c r="M128" s="1"/>
      <c r="N128" s="4"/>
      <c r="O128" s="5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1" t="str">
        <f>IFERROR(__xludf.DUMMYFUNCTION("""COMPUTED_VALUE"""),"General Dynamics Mission Systems")</f>
        <v>General Dynamics Mission Systems</v>
      </c>
      <c r="B129" s="1" t="str">
        <f>IFERROR(__xludf.DUMMYFUNCTION("""COMPUTED_VALUE"""),"CompanyInformation/GDMS")</f>
        <v>CompanyInformation/GDMS</v>
      </c>
      <c r="C129" s="2" t="s">
        <v>128</v>
      </c>
      <c r="D129" s="3"/>
      <c r="E129" s="3"/>
      <c r="F129" s="2"/>
      <c r="G129" s="1"/>
      <c r="H129" s="1"/>
      <c r="I129" s="3"/>
      <c r="J129" s="3"/>
      <c r="K129" s="3"/>
      <c r="L129" s="1"/>
      <c r="M129" s="1"/>
      <c r="N129" s="4"/>
      <c r="O129" s="5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1" t="str">
        <f>IFERROR(__xludf.DUMMYFUNCTION("""COMPUTED_VALUE"""),"General Electric")</f>
        <v>General Electric</v>
      </c>
      <c r="B130" s="1" t="str">
        <f>IFERROR(__xludf.DUMMYFUNCTION("""COMPUTED_VALUE"""),"CompanyInformation/gGE")</f>
        <v>CompanyInformation/gGE</v>
      </c>
      <c r="C130" s="2" t="s">
        <v>129</v>
      </c>
      <c r="D130" s="3"/>
      <c r="E130" s="3"/>
      <c r="F130" s="2"/>
      <c r="G130" s="1"/>
      <c r="H130" s="1"/>
      <c r="I130" s="3"/>
      <c r="J130" s="3"/>
      <c r="K130" s="3"/>
      <c r="L130" s="1"/>
      <c r="M130" s="1"/>
      <c r="N130" s="4"/>
      <c r="O130" s="5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1" t="str">
        <f>IFERROR(__xludf.DUMMYFUNCTION("""COMPUTED_VALUE"""),"General Motors")</f>
        <v>General Motors</v>
      </c>
      <c r="B131" s="1" t="str">
        <f>IFERROR(__xludf.DUMMYFUNCTION("""COMPUTED_VALUE"""),"CompanyInformation/GMVT")</f>
        <v>CompanyInformation/GMVT</v>
      </c>
      <c r="C131" s="2" t="s">
        <v>130</v>
      </c>
      <c r="D131" s="3"/>
      <c r="E131" s="3"/>
      <c r="F131" s="2"/>
      <c r="G131" s="1"/>
      <c r="H131" s="1"/>
      <c r="I131" s="3"/>
      <c r="J131" s="3"/>
      <c r="K131" s="3"/>
      <c r="L131" s="1"/>
      <c r="M131" s="1"/>
      <c r="N131" s="4"/>
      <c r="O131" s="5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1" t="str">
        <f>IFERROR(__xludf.DUMMYFUNCTION("""COMPUTED_VALUE"""),"Georgia Pacific")</f>
        <v>Georgia Pacific</v>
      </c>
      <c r="B132" s="1" t="str">
        <f>IFERROR(__xludf.DUMMYFUNCTION("""COMPUTED_VALUE"""),"CompanyInformation/GeorgiaPac")</f>
        <v>CompanyInformation/GeorgiaPac</v>
      </c>
      <c r="C132" s="2" t="s">
        <v>131</v>
      </c>
      <c r="D132" s="3"/>
      <c r="E132" s="3"/>
      <c r="F132" s="2"/>
      <c r="G132" s="1"/>
      <c r="H132" s="1"/>
      <c r="I132" s="3"/>
      <c r="J132" s="3"/>
      <c r="K132" s="3"/>
      <c r="L132" s="1"/>
      <c r="M132" s="1"/>
      <c r="N132" s="4"/>
      <c r="O132" s="5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1" t="str">
        <f>IFERROR(__xludf.DUMMYFUNCTION("""COMPUTED_VALUE"""),"GHT Limited")</f>
        <v>GHT Limited</v>
      </c>
      <c r="B133" s="1" t="str">
        <f>IFERROR(__xludf.DUMMYFUNCTION("""COMPUTED_VALUE"""),"CompanyInformation/GHTLTD")</f>
        <v>CompanyInformation/GHTLTD</v>
      </c>
      <c r="C133" s="2" t="s">
        <v>132</v>
      </c>
      <c r="D133" s="3"/>
      <c r="E133" s="3"/>
      <c r="F133" s="2"/>
      <c r="G133" s="1"/>
      <c r="H133" s="1"/>
      <c r="I133" s="3"/>
      <c r="J133" s="3"/>
      <c r="K133" s="3"/>
      <c r="L133" s="1"/>
      <c r="M133" s="1"/>
      <c r="N133" s="4"/>
      <c r="O133" s="5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1" t="str">
        <f>IFERROR(__xludf.DUMMYFUNCTION("""COMPUTED_VALUE"""),"Goodyear Tire &amp; Rubber Company")</f>
        <v>Goodyear Tire &amp; Rubber Company</v>
      </c>
      <c r="B134" s="1" t="str">
        <f>IFERROR(__xludf.DUMMYFUNCTION("""COMPUTED_VALUE"""),"CompanyInformation/Goodyear")</f>
        <v>CompanyInformation/Goodyear</v>
      </c>
      <c r="C134" s="2" t="s">
        <v>133</v>
      </c>
      <c r="D134" s="3"/>
      <c r="E134" s="3"/>
      <c r="F134" s="2"/>
      <c r="G134" s="1"/>
      <c r="H134" s="1"/>
      <c r="I134" s="3"/>
      <c r="J134" s="3"/>
      <c r="K134" s="3"/>
      <c r="L134" s="1"/>
      <c r="M134" s="1"/>
      <c r="N134" s="4"/>
      <c r="O134" s="5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1" t="str">
        <f>IFERROR(__xludf.DUMMYFUNCTION("""COMPUTED_VALUE"""),"Grant Thornton")</f>
        <v>Grant Thornton</v>
      </c>
      <c r="B135" s="1" t="str">
        <f>IFERROR(__xludf.DUMMYFUNCTION("""COMPUTED_VALUE"""),"CompanyInformation/GTUS")</f>
        <v>CompanyInformation/GTUS</v>
      </c>
      <c r="C135" s="2" t="s">
        <v>134</v>
      </c>
      <c r="D135" s="3"/>
      <c r="E135" s="3"/>
      <c r="F135" s="2"/>
      <c r="G135" s="1"/>
      <c r="H135" s="1"/>
      <c r="I135" s="3"/>
      <c r="J135" s="3"/>
      <c r="K135" s="3"/>
      <c r="L135" s="1"/>
      <c r="M135" s="1"/>
      <c r="N135" s="4"/>
      <c r="O135" s="5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1" t="str">
        <f>IFERROR(__xludf.DUMMYFUNCTION("""COMPUTED_VALUE"""),"Gulfstream Aerospace Corporation")</f>
        <v>Gulfstream Aerospace Corporation</v>
      </c>
      <c r="B136" s="1" t="str">
        <f>IFERROR(__xludf.DUMMYFUNCTION("""COMPUTED_VALUE"""),"CompanyInformation/GAC")</f>
        <v>CompanyInformation/GAC</v>
      </c>
      <c r="C136" s="2" t="s">
        <v>135</v>
      </c>
      <c r="D136" s="3"/>
      <c r="E136" s="3"/>
      <c r="F136" s="2"/>
      <c r="G136" s="1"/>
      <c r="H136" s="1"/>
      <c r="I136" s="3"/>
      <c r="J136" s="3"/>
      <c r="K136" s="3"/>
      <c r="L136" s="1"/>
      <c r="M136" s="1"/>
      <c r="N136" s="4"/>
      <c r="O136" s="5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1" t="str">
        <f>IFERROR(__xludf.DUMMYFUNCTION("""COMPUTED_VALUE"""),"HAECO Americas")</f>
        <v>HAECO Americas</v>
      </c>
      <c r="B137" s="1" t="str">
        <f>IFERROR(__xludf.DUMMYFUNCTION("""COMPUTED_VALUE"""),"CompanyInformation/HAECO")</f>
        <v>CompanyInformation/HAECO</v>
      </c>
      <c r="C137" s="2" t="s">
        <v>136</v>
      </c>
      <c r="D137" s="3"/>
      <c r="E137" s="3"/>
      <c r="F137" s="2"/>
      <c r="G137" s="1"/>
      <c r="H137" s="1"/>
      <c r="I137" s="3"/>
      <c r="J137" s="3"/>
      <c r="K137" s="3"/>
      <c r="L137" s="1"/>
      <c r="M137" s="1"/>
      <c r="N137" s="4"/>
      <c r="O137" s="5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1" t="str">
        <f>IFERROR(__xludf.DUMMYFUNCTION("""COMPUTED_VALUE"""),"Hardesty &amp; Hanover")</f>
        <v>Hardesty &amp; Hanover</v>
      </c>
      <c r="B138" s="1" t="str">
        <f>IFERROR(__xludf.DUMMYFUNCTION("""COMPUTED_VALUE"""),"CompanyInformation/Hardesty")</f>
        <v>CompanyInformation/Hardesty</v>
      </c>
      <c r="C138" s="2" t="s">
        <v>137</v>
      </c>
      <c r="D138" s="3"/>
      <c r="E138" s="3"/>
      <c r="F138" s="2"/>
      <c r="G138" s="1"/>
      <c r="H138" s="1"/>
      <c r="I138" s="3"/>
      <c r="J138" s="3"/>
      <c r="K138" s="3"/>
      <c r="L138" s="1"/>
      <c r="M138" s="1"/>
      <c r="N138" s="4"/>
      <c r="O138" s="5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1" t="str">
        <f>IFERROR(__xludf.DUMMYFUNCTION("""COMPUTED_VALUE"""),"Harmon Inc")</f>
        <v>Harmon Inc</v>
      </c>
      <c r="B139" s="1" t="str">
        <f>IFERROR(__xludf.DUMMYFUNCTION("""COMPUTED_VALUE"""),"CompanyInformation/Harmon")</f>
        <v>CompanyInformation/Harmon</v>
      </c>
      <c r="C139" s="2" t="s">
        <v>138</v>
      </c>
      <c r="D139" s="3"/>
      <c r="E139" s="3"/>
      <c r="F139" s="2"/>
      <c r="G139" s="1"/>
      <c r="H139" s="1"/>
      <c r="I139" s="3"/>
      <c r="J139" s="3"/>
      <c r="K139" s="3"/>
      <c r="L139" s="1"/>
      <c r="M139" s="1"/>
      <c r="N139" s="4"/>
      <c r="O139" s="5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1" t="str">
        <f>IFERROR(__xludf.DUMMYFUNCTION("""COMPUTED_VALUE"""),"Harris Corporation")</f>
        <v>Harris Corporation</v>
      </c>
      <c r="B140" s="1" t="str">
        <f>IFERROR(__xludf.DUMMYFUNCTION("""COMPUTED_VALUE"""),"CompanyInformation/Harris")</f>
        <v>CompanyInformation/Harris</v>
      </c>
      <c r="C140" s="2" t="s">
        <v>139</v>
      </c>
      <c r="D140" s="3"/>
      <c r="E140" s="3"/>
      <c r="F140" s="2"/>
      <c r="G140" s="1"/>
      <c r="H140" s="1"/>
      <c r="I140" s="3"/>
      <c r="J140" s="3"/>
      <c r="K140" s="3"/>
      <c r="L140" s="1"/>
      <c r="M140" s="1"/>
      <c r="N140" s="4"/>
      <c r="O140" s="5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1" t="str">
        <f>IFERROR(__xludf.DUMMYFUNCTION("""COMPUTED_VALUE"""),"Hartness, An ITW Company")</f>
        <v>Hartness, An ITW Company</v>
      </c>
      <c r="B141" s="1" t="str">
        <f>IFERROR(__xludf.DUMMYFUNCTION("""COMPUTED_VALUE"""),"CompanyInformation/Hartness")</f>
        <v>CompanyInformation/Hartness</v>
      </c>
      <c r="C141" s="2" t="s">
        <v>140</v>
      </c>
      <c r="D141" s="3"/>
      <c r="E141" s="3"/>
      <c r="F141" s="2"/>
      <c r="G141" s="1"/>
      <c r="H141" s="1"/>
      <c r="I141" s="3"/>
      <c r="J141" s="3"/>
      <c r="K141" s="3"/>
      <c r="L141" s="1"/>
      <c r="M141" s="1"/>
      <c r="N141" s="4"/>
      <c r="O141" s="5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1" t="str">
        <f>IFERROR(__xludf.DUMMYFUNCTION("""COMPUTED_VALUE"""),"Hayward Industries, Inc.")</f>
        <v>Hayward Industries, Inc.</v>
      </c>
      <c r="B142" s="1" t="str">
        <f>IFERROR(__xludf.DUMMYFUNCTION("""COMPUTED_VALUE"""),"CompanyInformation/Hayward")</f>
        <v>CompanyInformation/Hayward</v>
      </c>
      <c r="C142" s="2" t="s">
        <v>141</v>
      </c>
      <c r="D142" s="3"/>
      <c r="E142" s="3"/>
      <c r="F142" s="2"/>
      <c r="G142" s="1"/>
      <c r="H142" s="1"/>
      <c r="I142" s="3"/>
      <c r="J142" s="3"/>
      <c r="K142" s="3"/>
      <c r="L142" s="1"/>
      <c r="M142" s="1"/>
      <c r="N142" s="4"/>
      <c r="O142" s="5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1" t="str">
        <f>IFERROR(__xludf.DUMMYFUNCTION("""COMPUTED_VALUE"""),"HDT Global")</f>
        <v>HDT Global</v>
      </c>
      <c r="B143" s="1" t="str">
        <f>IFERROR(__xludf.DUMMYFUNCTION("""COMPUTED_VALUE"""),"CompanyInformation/HDT")</f>
        <v>CompanyInformation/HDT</v>
      </c>
      <c r="C143" s="2" t="s">
        <v>142</v>
      </c>
      <c r="D143" s="3"/>
      <c r="E143" s="3"/>
      <c r="F143" s="2"/>
      <c r="G143" s="1"/>
      <c r="H143" s="1"/>
      <c r="I143" s="3"/>
      <c r="J143" s="3"/>
      <c r="K143" s="3"/>
      <c r="L143" s="1"/>
      <c r="M143" s="1"/>
      <c r="N143" s="4"/>
      <c r="O143" s="5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1" t="str">
        <f>IFERROR(__xludf.DUMMYFUNCTION("""COMPUTED_VALUE"""),"Herren Associates")</f>
        <v>Herren Associates</v>
      </c>
      <c r="B144" s="1" t="str">
        <f>IFERROR(__xludf.DUMMYFUNCTION("""COMPUTED_VALUE"""),"CompanyInformation/Herren")</f>
        <v>CompanyInformation/Herren</v>
      </c>
      <c r="C144" s="2" t="s">
        <v>143</v>
      </c>
      <c r="D144" s="3"/>
      <c r="E144" s="3"/>
      <c r="F144" s="2"/>
      <c r="G144" s="1"/>
      <c r="H144" s="1"/>
      <c r="I144" s="3"/>
      <c r="J144" s="3"/>
      <c r="K144" s="3"/>
      <c r="L144" s="1"/>
      <c r="M144" s="1"/>
      <c r="N144" s="4"/>
      <c r="O144" s="5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1" t="str">
        <f>IFERROR(__xludf.DUMMYFUNCTION("""COMPUTED_VALUE"""),"Herrick Technology Laboratories, Inc.")</f>
        <v>Herrick Technology Laboratories, Inc.</v>
      </c>
      <c r="B145" s="1" t="str">
        <f>IFERROR(__xludf.DUMMYFUNCTION("""COMPUTED_VALUE"""),"CompanyInformation/HTL")</f>
        <v>CompanyInformation/HTL</v>
      </c>
      <c r="C145" s="2" t="s">
        <v>144</v>
      </c>
      <c r="D145" s="3"/>
      <c r="E145" s="3"/>
      <c r="F145" s="2"/>
      <c r="G145" s="1"/>
      <c r="H145" s="1"/>
      <c r="I145" s="3"/>
      <c r="J145" s="3"/>
      <c r="K145" s="3"/>
      <c r="L145" s="1"/>
      <c r="M145" s="1"/>
      <c r="N145" s="4"/>
      <c r="O145" s="5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1" t="str">
        <f>IFERROR(__xludf.DUMMYFUNCTION("""COMPUTED_VALUE"""),"Hexcel")</f>
        <v>Hexcel</v>
      </c>
      <c r="B146" s="1" t="str">
        <f>IFERROR(__xludf.DUMMYFUNCTION("""COMPUTED_VALUE"""),"CompanyInformation/HEX")</f>
        <v>CompanyInformation/HEX</v>
      </c>
      <c r="C146" s="2" t="s">
        <v>145</v>
      </c>
      <c r="D146" s="3"/>
      <c r="E146" s="3"/>
      <c r="F146" s="2"/>
      <c r="G146" s="1"/>
      <c r="H146" s="1"/>
      <c r="I146" s="3"/>
      <c r="J146" s="3"/>
      <c r="K146" s="3"/>
      <c r="L146" s="1"/>
      <c r="M146" s="1"/>
      <c r="N146" s="4"/>
      <c r="O146" s="5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1" t="str">
        <f>IFERROR(__xludf.DUMMYFUNCTION("""COMPUTED_VALUE"""),"Hillenbrand")</f>
        <v>Hillenbrand</v>
      </c>
      <c r="B147" s="1" t="str">
        <f>IFERROR(__xludf.DUMMYFUNCTION("""COMPUTED_VALUE"""),"CompanyInformation/HIL")</f>
        <v>CompanyInformation/HIL</v>
      </c>
      <c r="C147" s="2" t="s">
        <v>146</v>
      </c>
      <c r="D147" s="3"/>
      <c r="E147" s="3"/>
      <c r="F147" s="2"/>
      <c r="G147" s="1"/>
      <c r="H147" s="1"/>
      <c r="I147" s="3"/>
      <c r="J147" s="3"/>
      <c r="K147" s="3"/>
      <c r="L147" s="1"/>
      <c r="M147" s="1"/>
      <c r="N147" s="4"/>
      <c r="O147" s="5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1" t="str">
        <f>IFERROR(__xludf.DUMMYFUNCTION("""COMPUTED_VALUE"""),"Hollingsworth &amp; Vose")</f>
        <v>Hollingsworth &amp; Vose</v>
      </c>
      <c r="B148" s="1" t="str">
        <f>IFERROR(__xludf.DUMMYFUNCTION("""COMPUTED_VALUE"""),"CompanyInformation/HVCareers")</f>
        <v>CompanyInformation/HVCareers</v>
      </c>
      <c r="C148" s="2" t="s">
        <v>147</v>
      </c>
      <c r="D148" s="3"/>
      <c r="E148" s="3"/>
      <c r="F148" s="2"/>
      <c r="G148" s="1"/>
      <c r="H148" s="1"/>
      <c r="I148" s="3"/>
      <c r="J148" s="3"/>
      <c r="K148" s="3"/>
      <c r="L148" s="1"/>
      <c r="M148" s="1"/>
      <c r="N148" s="4"/>
      <c r="O148" s="5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1" t="str">
        <f>IFERROR(__xludf.DUMMYFUNCTION("""COMPUTED_VALUE"""),"Honda R&amp;D Americas, Inc.")</f>
        <v>Honda R&amp;D Americas, Inc.</v>
      </c>
      <c r="B149" s="1" t="str">
        <f>IFERROR(__xludf.DUMMYFUNCTION("""COMPUTED_VALUE"""),"CompanyInformation/Honda")</f>
        <v>CompanyInformation/Honda</v>
      </c>
      <c r="C149" s="2" t="s">
        <v>148</v>
      </c>
      <c r="D149" s="3"/>
      <c r="E149" s="3"/>
      <c r="F149" s="2"/>
      <c r="G149" s="1"/>
      <c r="H149" s="1"/>
      <c r="I149" s="3"/>
      <c r="J149" s="3"/>
      <c r="K149" s="3"/>
      <c r="L149" s="1"/>
      <c r="M149" s="1"/>
      <c r="N149" s="4"/>
      <c r="O149" s="5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1" t="str">
        <f>IFERROR(__xludf.DUMMYFUNCTION("""COMPUTED_VALUE"""),"Honeywell")</f>
        <v>Honeywell</v>
      </c>
      <c r="B150" s="1" t="str">
        <f>IFERROR(__xludf.DUMMYFUNCTION("""COMPUTED_VALUE"""),"CompanyInformation/HON")</f>
        <v>CompanyInformation/HON</v>
      </c>
      <c r="C150" s="2" t="s">
        <v>149</v>
      </c>
      <c r="D150" s="3"/>
      <c r="E150" s="3"/>
      <c r="F150" s="2"/>
      <c r="G150" s="1"/>
      <c r="H150" s="1"/>
      <c r="I150" s="3"/>
      <c r="J150" s="3"/>
      <c r="K150" s="3"/>
      <c r="L150" s="1"/>
      <c r="M150" s="1"/>
      <c r="N150" s="4"/>
      <c r="O150" s="5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1" t="str">
        <f>IFERROR(__xludf.DUMMYFUNCTION("""COMPUTED_VALUE"""),"Hughes Network Systems")</f>
        <v>Hughes Network Systems</v>
      </c>
      <c r="B151" s="1" t="str">
        <f>IFERROR(__xludf.DUMMYFUNCTION("""COMPUTED_VALUE"""),"CompanyInformation/HNS")</f>
        <v>CompanyInformation/HNS</v>
      </c>
      <c r="C151" s="2" t="s">
        <v>150</v>
      </c>
      <c r="D151" s="3"/>
      <c r="E151" s="3"/>
      <c r="F151" s="2"/>
      <c r="G151" s="1"/>
      <c r="H151" s="1"/>
      <c r="I151" s="3"/>
      <c r="J151" s="3"/>
      <c r="K151" s="3"/>
      <c r="L151" s="1"/>
      <c r="M151" s="1"/>
      <c r="N151" s="4"/>
      <c r="O151" s="5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1" t="str">
        <f>IFERROR(__xludf.DUMMYFUNCTION("""COMPUTED_VALUE"""),"IBM")</f>
        <v>IBM</v>
      </c>
      <c r="B152" s="1" t="str">
        <f>IFERROR(__xludf.DUMMYFUNCTION("""COMPUTED_VALUE"""),"CompanyInformation/IBM")</f>
        <v>CompanyInformation/IBM</v>
      </c>
      <c r="C152" s="2" t="s">
        <v>151</v>
      </c>
      <c r="D152" s="3"/>
      <c r="E152" s="3"/>
      <c r="F152" s="2"/>
      <c r="G152" s="1"/>
      <c r="H152" s="1"/>
      <c r="I152" s="3"/>
      <c r="J152" s="3"/>
      <c r="K152" s="3"/>
      <c r="L152" s="1"/>
      <c r="M152" s="1"/>
      <c r="N152" s="4"/>
      <c r="O152" s="5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1" t="str">
        <f>IFERROR(__xludf.DUMMYFUNCTION("""COMPUTED_VALUE"""),"Imerys")</f>
        <v>Imerys</v>
      </c>
      <c r="B153" s="1" t="str">
        <f>IFERROR(__xludf.DUMMYFUNCTION("""COMPUTED_VALUE"""),"CompanyInformation/IMS2018")</f>
        <v>CompanyInformation/IMS2018</v>
      </c>
      <c r="C153" s="2" t="s">
        <v>152</v>
      </c>
      <c r="D153" s="3"/>
      <c r="E153" s="3"/>
      <c r="F153" s="2"/>
      <c r="G153" s="1"/>
      <c r="H153" s="1"/>
      <c r="I153" s="3"/>
      <c r="J153" s="3"/>
      <c r="K153" s="3"/>
      <c r="L153" s="1"/>
      <c r="M153" s="1"/>
      <c r="N153" s="4"/>
      <c r="O153" s="5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1" t="str">
        <f>IFERROR(__xludf.DUMMYFUNCTION("""COMPUTED_VALUE"""),"INDA, Association of the Nonwoven Fabrics Industry")</f>
        <v>INDA, Association of the Nonwoven Fabrics Industry</v>
      </c>
      <c r="B154" s="1" t="str">
        <f>IFERROR(__xludf.DUMMYFUNCTION("""COMPUTED_VALUE"""),"CompanyInformation/INDA")</f>
        <v>CompanyInformation/INDA</v>
      </c>
      <c r="C154" s="2" t="s">
        <v>153</v>
      </c>
      <c r="D154" s="3"/>
      <c r="E154" s="3"/>
      <c r="F154" s="2"/>
      <c r="G154" s="1"/>
      <c r="H154" s="1"/>
      <c r="I154" s="3"/>
      <c r="J154" s="3"/>
      <c r="K154" s="3"/>
      <c r="L154" s="1"/>
      <c r="M154" s="1"/>
      <c r="N154" s="4"/>
      <c r="O154" s="5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1" t="str">
        <f>IFERROR(__xludf.DUMMYFUNCTION("""COMPUTED_VALUE"""),"Ingersoll Rand")</f>
        <v>Ingersoll Rand</v>
      </c>
      <c r="B155" s="1" t="str">
        <f>IFERROR(__xludf.DUMMYFUNCTION("""COMPUTED_VALUE"""),"CompanyInformation/IRC")</f>
        <v>CompanyInformation/IRC</v>
      </c>
      <c r="C155" s="2" t="s">
        <v>154</v>
      </c>
      <c r="D155" s="3"/>
      <c r="E155" s="3"/>
      <c r="F155" s="2"/>
      <c r="G155" s="1"/>
      <c r="H155" s="1"/>
      <c r="I155" s="3"/>
      <c r="J155" s="3"/>
      <c r="K155" s="3"/>
      <c r="L155" s="1"/>
      <c r="M155" s="1"/>
      <c r="N155" s="4"/>
      <c r="O155" s="5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1" t="str">
        <f>IFERROR(__xludf.DUMMYFUNCTION("""COMPUTED_VALUE"""),"Ingevity")</f>
        <v>Ingevity</v>
      </c>
      <c r="B156" s="1" t="str">
        <f>IFERROR(__xludf.DUMMYFUNCTION("""COMPUTED_VALUE"""),"CompanyInformation/Ingevity")</f>
        <v>CompanyInformation/Ingevity</v>
      </c>
      <c r="C156" s="2" t="s">
        <v>155</v>
      </c>
      <c r="D156" s="3"/>
      <c r="E156" s="3"/>
      <c r="F156" s="2"/>
      <c r="G156" s="1"/>
      <c r="H156" s="1"/>
      <c r="I156" s="3"/>
      <c r="J156" s="3"/>
      <c r="K156" s="3"/>
      <c r="L156" s="1"/>
      <c r="M156" s="1"/>
      <c r="N156" s="4"/>
      <c r="O156" s="5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1" t="str">
        <f>IFERROR(__xludf.DUMMYFUNCTION("""COMPUTED_VALUE"""),"Innovative Refrigeration Systems, Inc.")</f>
        <v>Innovative Refrigeration Systems, Inc.</v>
      </c>
      <c r="B157" s="1" t="str">
        <f>IFERROR(__xludf.DUMMYFUNCTION("""COMPUTED_VALUE"""),"CompanyInformation/irs")</f>
        <v>CompanyInformation/irs</v>
      </c>
      <c r="C157" s="2" t="s">
        <v>156</v>
      </c>
      <c r="D157" s="3"/>
      <c r="E157" s="3"/>
      <c r="F157" s="2"/>
      <c r="G157" s="1"/>
      <c r="H157" s="1"/>
      <c r="I157" s="3"/>
      <c r="J157" s="3"/>
      <c r="K157" s="3"/>
      <c r="L157" s="1"/>
      <c r="M157" s="1"/>
      <c r="N157" s="4"/>
      <c r="O157" s="5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1" t="str">
        <f>IFERROR(__xludf.DUMMYFUNCTION("""COMPUTED_VALUE"""),"Institute for Defense Analyses")</f>
        <v>Institute for Defense Analyses</v>
      </c>
      <c r="B158" s="1" t="str">
        <f>IFERROR(__xludf.DUMMYFUNCTION("""COMPUTED_VALUE"""),"CompanyInformation/IDA")</f>
        <v>CompanyInformation/IDA</v>
      </c>
      <c r="C158" s="2" t="s">
        <v>157</v>
      </c>
      <c r="D158" s="3"/>
      <c r="E158" s="3"/>
      <c r="F158" s="2"/>
      <c r="G158" s="1"/>
      <c r="H158" s="1"/>
      <c r="I158" s="3"/>
      <c r="J158" s="3"/>
      <c r="K158" s="3"/>
      <c r="L158" s="1"/>
      <c r="M158" s="1"/>
      <c r="N158" s="4"/>
      <c r="O158" s="5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1" t="str">
        <f>IFERROR(__xludf.DUMMYFUNCTION("""COMPUTED_VALUE"""),"International Paper")</f>
        <v>International Paper</v>
      </c>
      <c r="B159" s="1" t="str">
        <f>IFERROR(__xludf.DUMMYFUNCTION("""COMPUTED_VALUE"""),"CompanyInformation/IPaper")</f>
        <v>CompanyInformation/IPaper</v>
      </c>
      <c r="C159" s="2" t="s">
        <v>158</v>
      </c>
      <c r="D159" s="3"/>
      <c r="E159" s="3"/>
      <c r="F159" s="2"/>
      <c r="G159" s="1"/>
      <c r="H159" s="1"/>
      <c r="I159" s="3"/>
      <c r="J159" s="3"/>
      <c r="K159" s="3"/>
      <c r="L159" s="1"/>
      <c r="M159" s="1"/>
      <c r="N159" s="4"/>
      <c r="O159" s="5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1" t="str">
        <f>IFERROR(__xludf.DUMMYFUNCTION("""COMPUTED_VALUE"""),"J.B. Hunt Transport")</f>
        <v>J.B. Hunt Transport</v>
      </c>
      <c r="B160" s="1" t="str">
        <f>IFERROR(__xludf.DUMMYFUNCTION("""COMPUTED_VALUE"""),"CompanyInformation/JBHT")</f>
        <v>CompanyInformation/JBHT</v>
      </c>
      <c r="C160" s="2" t="s">
        <v>159</v>
      </c>
      <c r="D160" s="3"/>
      <c r="E160" s="3"/>
      <c r="F160" s="2"/>
      <c r="G160" s="1"/>
      <c r="H160" s="1"/>
      <c r="I160" s="3"/>
      <c r="J160" s="3"/>
      <c r="K160" s="3"/>
      <c r="L160" s="1"/>
      <c r="M160" s="1"/>
      <c r="N160" s="4"/>
      <c r="O160" s="5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1" t="str">
        <f>IFERROR(__xludf.DUMMYFUNCTION("""COMPUTED_VALUE"""),"J.F. Taylor, Inc.")</f>
        <v>J.F. Taylor, Inc.</v>
      </c>
      <c r="B161" s="1" t="str">
        <f>IFERROR(__xludf.DUMMYFUNCTION("""COMPUTED_VALUE"""),"CompanyInformation/JFTI")</f>
        <v>CompanyInformation/JFTI</v>
      </c>
      <c r="C161" s="2" t="s">
        <v>160</v>
      </c>
      <c r="D161" s="3"/>
      <c r="E161" s="3"/>
      <c r="F161" s="2"/>
      <c r="G161" s="1"/>
      <c r="H161" s="1"/>
      <c r="I161" s="3"/>
      <c r="J161" s="3"/>
      <c r="K161" s="3"/>
      <c r="L161" s="1"/>
      <c r="M161" s="1"/>
      <c r="N161" s="4"/>
      <c r="O161" s="5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1" t="str">
        <f>IFERROR(__xludf.DUMMYFUNCTION("""COMPUTED_VALUE"""),"Jacobs Engineering Group, Inc.")</f>
        <v>Jacobs Engineering Group, Inc.</v>
      </c>
      <c r="B162" s="1" t="str">
        <f>IFERROR(__xludf.DUMMYFUNCTION("""COMPUTED_VALUE"""),"CompanyInformation/JEG")</f>
        <v>CompanyInformation/JEG</v>
      </c>
      <c r="C162" s="2" t="s">
        <v>161</v>
      </c>
      <c r="D162" s="3"/>
      <c r="E162" s="3"/>
      <c r="F162" s="2"/>
      <c r="G162" s="1"/>
      <c r="H162" s="1"/>
      <c r="I162" s="3"/>
      <c r="J162" s="3"/>
      <c r="K162" s="3"/>
      <c r="L162" s="1"/>
      <c r="M162" s="1"/>
      <c r="N162" s="4"/>
      <c r="O162" s="5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1" t="str">
        <f>IFERROR(__xludf.DUMMYFUNCTION("""COMPUTED_VALUE"""),"John Galt Staffing, Inc.")</f>
        <v>John Galt Staffing, Inc.</v>
      </c>
      <c r="B163" s="1" t="str">
        <f>IFERROR(__xludf.DUMMYFUNCTION("""COMPUTED_VALUE"""),"CompanyInformation/JGS")</f>
        <v>CompanyInformation/JGS</v>
      </c>
      <c r="C163" s="2" t="s">
        <v>162</v>
      </c>
      <c r="D163" s="3"/>
      <c r="E163" s="3"/>
      <c r="F163" s="2"/>
      <c r="G163" s="1"/>
      <c r="H163" s="1"/>
      <c r="I163" s="3"/>
      <c r="J163" s="3"/>
      <c r="K163" s="3"/>
      <c r="L163" s="1"/>
      <c r="M163" s="1"/>
      <c r="N163" s="4"/>
      <c r="O163" s="5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1" t="str">
        <f>IFERROR(__xludf.DUMMYFUNCTION("""COMPUTED_VALUE"""),"Johns Hopkins University Applied Physics Lab")</f>
        <v>Johns Hopkins University Applied Physics Lab</v>
      </c>
      <c r="B164" s="1" t="str">
        <f>IFERROR(__xludf.DUMMYFUNCTION("""COMPUTED_VALUE"""),"CompanyInformation/JHUAPL")</f>
        <v>CompanyInformation/JHUAPL</v>
      </c>
      <c r="C164" s="2" t="s">
        <v>163</v>
      </c>
      <c r="D164" s="3"/>
      <c r="E164" s="3"/>
      <c r="F164" s="2"/>
      <c r="G164" s="1"/>
      <c r="H164" s="1"/>
      <c r="I164" s="3"/>
      <c r="J164" s="3"/>
      <c r="K164" s="3"/>
      <c r="L164" s="1"/>
      <c r="M164" s="1"/>
      <c r="N164" s="4"/>
      <c r="O164" s="5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1" t="str">
        <f>IFERROR(__xludf.DUMMYFUNCTION("""COMPUTED_VALUE"""),"K2M")</f>
        <v>K2M</v>
      </c>
      <c r="B165" s="1" t="str">
        <f>IFERROR(__xludf.DUMMYFUNCTION("""COMPUTED_VALUE"""),"CompanyInformation/K2M")</f>
        <v>CompanyInformation/K2M</v>
      </c>
      <c r="C165" s="2" t="s">
        <v>164</v>
      </c>
      <c r="D165" s="3"/>
      <c r="E165" s="3"/>
      <c r="F165" s="2"/>
      <c r="G165" s="1"/>
      <c r="H165" s="1"/>
      <c r="I165" s="3"/>
      <c r="J165" s="3"/>
      <c r="K165" s="3"/>
      <c r="L165" s="1"/>
      <c r="M165" s="1"/>
      <c r="N165" s="4"/>
      <c r="O165" s="5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1" t="str">
        <f>IFERROR(__xludf.DUMMYFUNCTION("""COMPUTED_VALUE"""),"Key Tech")</f>
        <v>Key Tech</v>
      </c>
      <c r="B166" s="1" t="str">
        <f>IFERROR(__xludf.DUMMYFUNCTION("""COMPUTED_VALUE"""),"CompanyInformation/KeyTech")</f>
        <v>CompanyInformation/KeyTech</v>
      </c>
      <c r="C166" s="2" t="s">
        <v>165</v>
      </c>
      <c r="D166" s="3"/>
      <c r="E166" s="3"/>
      <c r="F166" s="2"/>
      <c r="G166" s="1"/>
      <c r="H166" s="1"/>
      <c r="I166" s="3"/>
      <c r="J166" s="3"/>
      <c r="K166" s="3"/>
      <c r="L166" s="1"/>
      <c r="M166" s="1"/>
      <c r="N166" s="4"/>
      <c r="O166" s="5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1" t="str">
        <f>IFERROR(__xludf.DUMMYFUNCTION("""COMPUTED_VALUE"""),"KeyW Corporation")</f>
        <v>KeyW Corporation</v>
      </c>
      <c r="B167" s="1" t="str">
        <f>IFERROR(__xludf.DUMMYFUNCTION("""COMPUTED_VALUE"""),"CompanyInformation/KeyW")</f>
        <v>CompanyInformation/KeyW</v>
      </c>
      <c r="C167" s="2" t="s">
        <v>166</v>
      </c>
      <c r="D167" s="3"/>
      <c r="E167" s="3"/>
      <c r="F167" s="2"/>
      <c r="G167" s="1"/>
      <c r="H167" s="1"/>
      <c r="I167" s="3"/>
      <c r="J167" s="3"/>
      <c r="K167" s="3"/>
      <c r="L167" s="1"/>
      <c r="M167" s="1"/>
      <c r="N167" s="4"/>
      <c r="O167" s="5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1" t="str">
        <f>IFERROR(__xludf.DUMMYFUNCTION("""COMPUTED_VALUE"""),"Kirlin")</f>
        <v>Kirlin</v>
      </c>
      <c r="B168" s="1" t="str">
        <f>IFERROR(__xludf.DUMMYFUNCTION("""COMPUTED_VALUE"""),"CompanyInformation/KDB")</f>
        <v>CompanyInformation/KDB</v>
      </c>
      <c r="C168" s="2" t="s">
        <v>167</v>
      </c>
      <c r="D168" s="3"/>
      <c r="E168" s="3"/>
      <c r="F168" s="2"/>
      <c r="G168" s="1"/>
      <c r="H168" s="1"/>
      <c r="I168" s="3"/>
      <c r="J168" s="3"/>
      <c r="K168" s="3"/>
      <c r="L168" s="1"/>
      <c r="M168" s="1"/>
      <c r="N168" s="4"/>
      <c r="O168" s="5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1" t="str">
        <f>IFERROR(__xludf.DUMMYFUNCTION("""COMPUTED_VALUE"""),"Kollmorgen")</f>
        <v>Kollmorgen</v>
      </c>
      <c r="B169" s="1" t="str">
        <f>IFERROR(__xludf.DUMMYFUNCTION("""COMPUTED_VALUE"""),"CompanyInformation/KOL")</f>
        <v>CompanyInformation/KOL</v>
      </c>
      <c r="C169" s="2" t="s">
        <v>168</v>
      </c>
      <c r="D169" s="3"/>
      <c r="E169" s="3"/>
      <c r="F169" s="2"/>
      <c r="G169" s="1"/>
      <c r="H169" s="1"/>
      <c r="I169" s="3"/>
      <c r="J169" s="3"/>
      <c r="K169" s="3"/>
      <c r="L169" s="1"/>
      <c r="M169" s="1"/>
      <c r="N169" s="4"/>
      <c r="O169" s="5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1" t="str">
        <f>IFERROR(__xludf.DUMMYFUNCTION("""COMPUTED_VALUE"""),"KPMG LLP")</f>
        <v>KPMG LLP</v>
      </c>
      <c r="B170" s="1" t="str">
        <f>IFERROR(__xludf.DUMMYFUNCTION("""COMPUTED_VALUE"""),"CompanyInformation/KPMG")</f>
        <v>CompanyInformation/KPMG</v>
      </c>
      <c r="C170" s="2" t="s">
        <v>169</v>
      </c>
      <c r="D170" s="3"/>
      <c r="E170" s="3"/>
      <c r="F170" s="2"/>
      <c r="G170" s="1"/>
      <c r="H170" s="1"/>
      <c r="I170" s="3"/>
      <c r="J170" s="3"/>
      <c r="K170" s="3"/>
      <c r="L170" s="1"/>
      <c r="M170" s="1"/>
      <c r="N170" s="4"/>
      <c r="O170" s="5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1" t="str">
        <f>IFERROR(__xludf.DUMMYFUNCTION("""COMPUTED_VALUE"""),"Kudu Dynamics, LLC")</f>
        <v>Kudu Dynamics, LLC</v>
      </c>
      <c r="B171" s="1" t="str">
        <f>IFERROR(__xludf.DUMMYFUNCTION("""COMPUTED_VALUE"""),"CompanyInformation/Kudu")</f>
        <v>CompanyInformation/Kudu</v>
      </c>
      <c r="C171" s="2" t="s">
        <v>170</v>
      </c>
      <c r="D171" s="3"/>
      <c r="E171" s="3"/>
      <c r="F171" s="2"/>
      <c r="G171" s="1"/>
      <c r="H171" s="1"/>
      <c r="I171" s="3"/>
      <c r="J171" s="3"/>
      <c r="K171" s="3"/>
      <c r="L171" s="1"/>
      <c r="M171" s="1"/>
      <c r="N171" s="4"/>
      <c r="O171" s="5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1" t="str">
        <f>IFERROR(__xludf.DUMMYFUNCTION("""COMPUTED_VALUE"""),"L2T")</f>
        <v>L2T</v>
      </c>
      <c r="B172" s="1" t="str">
        <f>IFERROR(__xludf.DUMMYFUNCTION("""COMPUTED_VALUE"""),"CompanyInformation/L2T")</f>
        <v>CompanyInformation/L2T</v>
      </c>
      <c r="C172" s="2" t="s">
        <v>171</v>
      </c>
      <c r="D172" s="3"/>
      <c r="E172" s="3"/>
      <c r="F172" s="2"/>
      <c r="G172" s="1"/>
      <c r="H172" s="1"/>
      <c r="I172" s="3"/>
      <c r="J172" s="3"/>
      <c r="K172" s="3"/>
      <c r="L172" s="1"/>
      <c r="M172" s="1"/>
      <c r="N172" s="4"/>
      <c r="O172" s="5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1" t="str">
        <f>IFERROR(__xludf.DUMMYFUNCTION("""COMPUTED_VALUE"""),"L3 Technologies")</f>
        <v>L3 Technologies</v>
      </c>
      <c r="B173" s="1" t="str">
        <f>IFERROR(__xludf.DUMMYFUNCTION("""COMPUTED_VALUE"""),"CompanyInformation/L3Tech")</f>
        <v>CompanyInformation/L3Tech</v>
      </c>
      <c r="C173" s="2" t="s">
        <v>172</v>
      </c>
      <c r="D173" s="3"/>
      <c r="E173" s="3"/>
      <c r="F173" s="2"/>
      <c r="G173" s="1"/>
      <c r="H173" s="1"/>
      <c r="I173" s="3"/>
      <c r="J173" s="3"/>
      <c r="K173" s="3"/>
      <c r="L173" s="1"/>
      <c r="M173" s="1"/>
      <c r="N173" s="4"/>
      <c r="O173" s="5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1" t="str">
        <f>IFERROR(__xludf.DUMMYFUNCTION("""COMPUTED_VALUE"""),"Leach Wallace Associates, Inc")</f>
        <v>Leach Wallace Associates, Inc</v>
      </c>
      <c r="B174" s="1" t="str">
        <f>IFERROR(__xludf.DUMMYFUNCTION("""COMPUTED_VALUE"""),"CompanyInformation/LWA")</f>
        <v>CompanyInformation/LWA</v>
      </c>
      <c r="C174" s="2" t="s">
        <v>173</v>
      </c>
      <c r="D174" s="3"/>
      <c r="E174" s="3"/>
      <c r="F174" s="2"/>
      <c r="G174" s="1"/>
      <c r="H174" s="1"/>
      <c r="I174" s="3"/>
      <c r="J174" s="3"/>
      <c r="K174" s="3"/>
      <c r="L174" s="1"/>
      <c r="M174" s="1"/>
      <c r="N174" s="4"/>
      <c r="O174" s="5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1" t="str">
        <f>IFERROR(__xludf.DUMMYFUNCTION("""COMPUTED_VALUE"""),"Leidos, Inc.")</f>
        <v>Leidos, Inc.</v>
      </c>
      <c r="B175" s="1" t="str">
        <f>IFERROR(__xludf.DUMMYFUNCTION("""COMPUTED_VALUE"""),"CompanyInformation/Leidos")</f>
        <v>CompanyInformation/Leidos</v>
      </c>
      <c r="C175" s="2" t="s">
        <v>174</v>
      </c>
      <c r="D175" s="3"/>
      <c r="E175" s="3"/>
      <c r="F175" s="2"/>
      <c r="G175" s="1"/>
      <c r="H175" s="1"/>
      <c r="I175" s="3"/>
      <c r="J175" s="3"/>
      <c r="K175" s="3"/>
      <c r="L175" s="1"/>
      <c r="M175" s="1"/>
      <c r="N175" s="4"/>
      <c r="O175" s="5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1" t="str">
        <f>IFERROR(__xludf.DUMMYFUNCTION("""COMPUTED_VALUE"""),"LGS Innovations")</f>
        <v>LGS Innovations</v>
      </c>
      <c r="B176" s="1" t="str">
        <f>IFERROR(__xludf.DUMMYFUNCTION("""COMPUTED_VALUE"""),"CompanyInformation/LGS")</f>
        <v>CompanyInformation/LGS</v>
      </c>
      <c r="C176" s="2" t="s">
        <v>175</v>
      </c>
      <c r="D176" s="3"/>
      <c r="E176" s="3"/>
      <c r="F176" s="2"/>
      <c r="G176" s="1"/>
      <c r="H176" s="1"/>
      <c r="I176" s="3"/>
      <c r="J176" s="3"/>
      <c r="K176" s="3"/>
      <c r="L176" s="1"/>
      <c r="M176" s="1"/>
      <c r="N176" s="4"/>
      <c r="O176" s="5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1" t="str">
        <f>IFERROR(__xludf.DUMMYFUNCTION("""COMPUTED_VALUE"""),"Lhoist North America")</f>
        <v>Lhoist North America</v>
      </c>
      <c r="B177" s="1" t="str">
        <f>IFERROR(__xludf.DUMMYFUNCTION("""COMPUTED_VALUE"""),"CompanyInformation/LNA")</f>
        <v>CompanyInformation/LNA</v>
      </c>
      <c r="C177" s="2" t="s">
        <v>176</v>
      </c>
      <c r="D177" s="3"/>
      <c r="E177" s="3"/>
      <c r="F177" s="2"/>
      <c r="G177" s="1"/>
      <c r="H177" s="1"/>
      <c r="I177" s="3"/>
      <c r="J177" s="3"/>
      <c r="K177" s="3"/>
      <c r="L177" s="1"/>
      <c r="M177" s="1"/>
      <c r="N177" s="4"/>
      <c r="O177" s="5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1" t="str">
        <f>IFERROR(__xludf.DUMMYFUNCTION("""COMPUTED_VALUE"""),"Liebherr")</f>
        <v>Liebherr</v>
      </c>
      <c r="B178" s="1" t="str">
        <f>IFERROR(__xludf.DUMMYFUNCTION("""COMPUTED_VALUE"""),"CompanyInformation/LIEBHERR")</f>
        <v>CompanyInformation/LIEBHERR</v>
      </c>
      <c r="C178" s="2" t="s">
        <v>177</v>
      </c>
      <c r="D178" s="3"/>
      <c r="E178" s="3"/>
      <c r="F178" s="2"/>
      <c r="G178" s="1"/>
      <c r="H178" s="1"/>
      <c r="I178" s="3"/>
      <c r="J178" s="3"/>
      <c r="K178" s="3"/>
      <c r="L178" s="1"/>
      <c r="M178" s="1"/>
      <c r="N178" s="4"/>
      <c r="O178" s="5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1" t="str">
        <f>IFERROR(__xludf.DUMMYFUNCTION("""COMPUTED_VALUE"""),"Limbach Company LLC")</f>
        <v>Limbach Company LLC</v>
      </c>
      <c r="B179" s="1" t="str">
        <f>IFERROR(__xludf.DUMMYFUNCTION("""COMPUTED_VALUE"""),"CompanyInformation/Limbach")</f>
        <v>CompanyInformation/Limbach</v>
      </c>
      <c r="C179" s="2" t="s">
        <v>178</v>
      </c>
      <c r="D179" s="3"/>
      <c r="E179" s="3"/>
      <c r="F179" s="2"/>
      <c r="G179" s="1"/>
      <c r="H179" s="1"/>
      <c r="I179" s="3"/>
      <c r="J179" s="3"/>
      <c r="K179" s="3"/>
      <c r="L179" s="1"/>
      <c r="M179" s="1"/>
      <c r="N179" s="4"/>
      <c r="O179" s="5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1" t="str">
        <f>IFERROR(__xludf.DUMMYFUNCTION("""COMPUTED_VALUE"""),"Little Diversified Architectural Consulting Inc.")</f>
        <v>Little Diversified Architectural Consulting Inc.</v>
      </c>
      <c r="B180" s="1" t="str">
        <f>IFERROR(__xludf.DUMMYFUNCTION("""COMPUTED_VALUE"""),"CompanyInformation/Little")</f>
        <v>CompanyInformation/Little</v>
      </c>
      <c r="C180" s="2" t="s">
        <v>179</v>
      </c>
      <c r="D180" s="3"/>
      <c r="E180" s="3"/>
      <c r="F180" s="2"/>
      <c r="G180" s="1"/>
      <c r="H180" s="1"/>
      <c r="I180" s="3"/>
      <c r="J180" s="3"/>
      <c r="K180" s="3"/>
      <c r="L180" s="1"/>
      <c r="M180" s="1"/>
      <c r="N180" s="4"/>
      <c r="O180" s="5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1" t="str">
        <f>IFERROR(__xludf.DUMMYFUNCTION("""COMPUTED_VALUE"""),"Lockheed Martin")</f>
        <v>Lockheed Martin</v>
      </c>
      <c r="B181" s="1" t="str">
        <f>IFERROR(__xludf.DUMMYFUNCTION("""COMPUTED_VALUE"""),"CompanyInformation/LMCO")</f>
        <v>CompanyInformation/LMCO</v>
      </c>
      <c r="C181" s="2" t="s">
        <v>180</v>
      </c>
      <c r="D181" s="3"/>
      <c r="E181" s="3"/>
      <c r="F181" s="2"/>
      <c r="G181" s="1"/>
      <c r="H181" s="1"/>
      <c r="I181" s="3"/>
      <c r="J181" s="3"/>
      <c r="K181" s="3"/>
      <c r="L181" s="1"/>
      <c r="M181" s="1"/>
      <c r="N181" s="4"/>
      <c r="O181" s="5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1" t="str">
        <f>IFERROR(__xludf.DUMMYFUNCTION("""COMPUTED_VALUE"""),"Logistics Management Institute")</f>
        <v>Logistics Management Institute</v>
      </c>
      <c r="B182" s="1" t="str">
        <f>IFERROR(__xludf.DUMMYFUNCTION("""COMPUTED_VALUE"""),"CompanyInformation/LMI")</f>
        <v>CompanyInformation/LMI</v>
      </c>
      <c r="C182" s="2" t="s">
        <v>181</v>
      </c>
      <c r="D182" s="3"/>
      <c r="E182" s="3"/>
      <c r="F182" s="2"/>
      <c r="G182" s="1"/>
      <c r="H182" s="1"/>
      <c r="I182" s="3"/>
      <c r="J182" s="3"/>
      <c r="K182" s="3"/>
      <c r="L182" s="1"/>
      <c r="M182" s="1"/>
      <c r="N182" s="4"/>
      <c r="O182" s="5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1" t="str">
        <f>IFERROR(__xludf.DUMMYFUNCTION("""COMPUTED_VALUE"""),"LORD Corporation")</f>
        <v>LORD Corporation</v>
      </c>
      <c r="B183" s="1" t="str">
        <f>IFERROR(__xludf.DUMMYFUNCTION("""COMPUTED_VALUE"""),"CompanyInformation/LORD")</f>
        <v>CompanyInformation/LORD</v>
      </c>
      <c r="C183" s="2" t="s">
        <v>182</v>
      </c>
      <c r="D183" s="3"/>
      <c r="E183" s="3"/>
      <c r="F183" s="2"/>
      <c r="G183" s="1"/>
      <c r="H183" s="1"/>
      <c r="I183" s="3"/>
      <c r="J183" s="3"/>
      <c r="K183" s="3"/>
      <c r="L183" s="1"/>
      <c r="M183" s="1"/>
      <c r="N183" s="4"/>
      <c r="O183" s="5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1" t="str">
        <f>IFERROR(__xludf.DUMMYFUNCTION("""COMPUTED_VALUE"""),"Lowe's Companies, Inc")</f>
        <v>Lowe's Companies, Inc</v>
      </c>
      <c r="B184" s="1" t="str">
        <f>IFERROR(__xludf.DUMMYFUNCTION("""COMPUTED_VALUE"""),"CompanyInformation/Lowes")</f>
        <v>CompanyInformation/Lowes</v>
      </c>
      <c r="C184" s="2" t="s">
        <v>183</v>
      </c>
      <c r="D184" s="3"/>
      <c r="E184" s="3"/>
      <c r="F184" s="2"/>
      <c r="G184" s="1"/>
      <c r="H184" s="1"/>
      <c r="I184" s="3"/>
      <c r="J184" s="3"/>
      <c r="K184" s="3"/>
      <c r="L184" s="1"/>
      <c r="M184" s="1"/>
      <c r="N184" s="4"/>
      <c r="O184" s="5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1" t="str">
        <f>IFERROR(__xludf.DUMMYFUNCTION("""COMPUTED_VALUE"""),"Lutron Electronics Co. Inc.")</f>
        <v>Lutron Electronics Co. Inc.</v>
      </c>
      <c r="B185" s="1" t="str">
        <f>IFERROR(__xludf.DUMMYFUNCTION("""COMPUTED_VALUE"""),"CompanyInformation/Lutron")</f>
        <v>CompanyInformation/Lutron</v>
      </c>
      <c r="C185" s="2" t="s">
        <v>184</v>
      </c>
      <c r="D185" s="3"/>
      <c r="E185" s="3"/>
      <c r="F185" s="2"/>
      <c r="G185" s="1"/>
      <c r="H185" s="1"/>
      <c r="I185" s="3"/>
      <c r="J185" s="3"/>
      <c r="K185" s="3"/>
      <c r="L185" s="1"/>
      <c r="M185" s="1"/>
      <c r="N185" s="4"/>
      <c r="O185" s="5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1" t="str">
        <f>IFERROR(__xludf.DUMMYFUNCTION("""COMPUTED_VALUE"""),"M.C. Dean, Inc")</f>
        <v>M.C. Dean, Inc</v>
      </c>
      <c r="B186" s="1" t="str">
        <f>IFERROR(__xludf.DUMMYFUNCTION("""COMPUTED_VALUE"""),"CompanyInformation/8352")</f>
        <v>CompanyInformation/8352</v>
      </c>
      <c r="C186" s="2" t="s">
        <v>185</v>
      </c>
      <c r="D186" s="3"/>
      <c r="E186" s="3"/>
      <c r="F186" s="2"/>
      <c r="G186" s="1"/>
      <c r="H186" s="1"/>
      <c r="I186" s="3"/>
      <c r="J186" s="3"/>
      <c r="K186" s="3"/>
      <c r="L186" s="1"/>
      <c r="M186" s="1"/>
      <c r="N186" s="4"/>
      <c r="O186" s="5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1" t="str">
        <f>IFERROR(__xludf.DUMMYFUNCTION("""COMPUTED_VALUE"""),"MacAulay-Brown, Inc.")</f>
        <v>MacAulay-Brown, Inc.</v>
      </c>
      <c r="B187" s="1" t="str">
        <f>IFERROR(__xludf.DUMMYFUNCTION("""COMPUTED_VALUE"""),"CompanyInformation/MacB")</f>
        <v>CompanyInformation/MacB</v>
      </c>
      <c r="C187" s="2" t="s">
        <v>186</v>
      </c>
      <c r="D187" s="3"/>
      <c r="E187" s="3"/>
      <c r="F187" s="2"/>
      <c r="G187" s="1"/>
      <c r="H187" s="1"/>
      <c r="I187" s="3"/>
      <c r="J187" s="3"/>
      <c r="K187" s="3"/>
      <c r="L187" s="1"/>
      <c r="M187" s="1"/>
      <c r="N187" s="4"/>
      <c r="O187" s="5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1" t="str">
        <f>IFERROR(__xludf.DUMMYFUNCTION("""COMPUTED_VALUE"""),"ManTech International")</f>
        <v>ManTech International</v>
      </c>
      <c r="B188" s="1" t="str">
        <f>IFERROR(__xludf.DUMMYFUNCTION("""COMPUTED_VALUE"""),"CompanyInformation/ManTech")</f>
        <v>CompanyInformation/ManTech</v>
      </c>
      <c r="C188" s="2" t="s">
        <v>187</v>
      </c>
      <c r="D188" s="3"/>
      <c r="E188" s="3"/>
      <c r="F188" s="2"/>
      <c r="G188" s="1"/>
      <c r="H188" s="1"/>
      <c r="I188" s="3"/>
      <c r="J188" s="3"/>
      <c r="K188" s="3"/>
      <c r="L188" s="1"/>
      <c r="M188" s="1"/>
      <c r="N188" s="4"/>
      <c r="O188" s="5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1" t="str">
        <f>IFERROR(__xludf.DUMMYFUNCTION("""COMPUTED_VALUE"""),"Marathon Petroleum Company LP")</f>
        <v>Marathon Petroleum Company LP</v>
      </c>
      <c r="B189" s="1" t="str">
        <f>IFERROR(__xludf.DUMMYFUNCTION("""COMPUTED_VALUE"""),"CompanyInformation/MPC")</f>
        <v>CompanyInformation/MPC</v>
      </c>
      <c r="C189" s="2" t="s">
        <v>188</v>
      </c>
      <c r="D189" s="3"/>
      <c r="E189" s="3"/>
      <c r="F189" s="2"/>
      <c r="G189" s="1"/>
      <c r="H189" s="1"/>
      <c r="I189" s="3"/>
      <c r="J189" s="3"/>
      <c r="K189" s="3"/>
      <c r="L189" s="1"/>
      <c r="M189" s="1"/>
      <c r="N189" s="4"/>
      <c r="O189" s="5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1" t="str">
        <f>IFERROR(__xludf.DUMMYFUNCTION("""COMPUTED_VALUE"""),"Mason &amp; Hanger")</f>
        <v>Mason &amp; Hanger</v>
      </c>
      <c r="B190" s="1" t="str">
        <f>IFERROR(__xludf.DUMMYFUNCTION("""COMPUTED_VALUE"""),"CompanyInformation/MHG")</f>
        <v>CompanyInformation/MHG</v>
      </c>
      <c r="C190" s="2" t="s">
        <v>189</v>
      </c>
      <c r="D190" s="3"/>
      <c r="E190" s="3"/>
      <c r="F190" s="2"/>
      <c r="G190" s="1"/>
      <c r="H190" s="1"/>
      <c r="I190" s="3"/>
      <c r="J190" s="3"/>
      <c r="K190" s="3"/>
      <c r="L190" s="1"/>
      <c r="M190" s="1"/>
      <c r="N190" s="4"/>
      <c r="O190" s="5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1" t="str">
        <f>IFERROR(__xludf.DUMMYFUNCTION("""COMPUTED_VALUE"""),"MathWorks")</f>
        <v>MathWorks</v>
      </c>
      <c r="B191" s="1" t="str">
        <f>IFERROR(__xludf.DUMMYFUNCTION("""COMPUTED_VALUE"""),"CompanyInformation/TMW")</f>
        <v>CompanyInformation/TMW</v>
      </c>
      <c r="C191" s="2" t="s">
        <v>190</v>
      </c>
      <c r="D191" s="3"/>
      <c r="E191" s="3"/>
      <c r="F191" s="2"/>
      <c r="G191" s="1"/>
      <c r="H191" s="1"/>
      <c r="I191" s="3"/>
      <c r="J191" s="3"/>
      <c r="K191" s="3"/>
      <c r="L191" s="1"/>
      <c r="M191" s="1"/>
      <c r="N191" s="4"/>
      <c r="O191" s="5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1" t="str">
        <f>IFERROR(__xludf.DUMMYFUNCTION("""COMPUTED_VALUE"""),"McAdams")</f>
        <v>McAdams</v>
      </c>
      <c r="B192" s="1" t="str">
        <f>IFERROR(__xludf.DUMMYFUNCTION("""COMPUTED_VALUE"""),"CompanyInformation/McA1979")</f>
        <v>CompanyInformation/McA1979</v>
      </c>
      <c r="C192" s="2" t="s">
        <v>191</v>
      </c>
      <c r="D192" s="3"/>
      <c r="E192" s="3"/>
      <c r="F192" s="2"/>
      <c r="G192" s="1"/>
      <c r="H192" s="1"/>
      <c r="I192" s="3"/>
      <c r="J192" s="3"/>
      <c r="K192" s="3"/>
      <c r="L192" s="1"/>
      <c r="M192" s="1"/>
      <c r="N192" s="4"/>
      <c r="O192" s="5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1" t="str">
        <f>IFERROR(__xludf.DUMMYFUNCTION("""COMPUTED_VALUE"""),"McGill Engineers, P.A.")</f>
        <v>McGill Engineers, P.A.</v>
      </c>
      <c r="B193" s="1" t="str">
        <f>IFERROR(__xludf.DUMMYFUNCTION("""COMPUTED_VALUE"""),"CompanyInformation/McGill")</f>
        <v>CompanyInformation/McGill</v>
      </c>
      <c r="C193" s="2" t="s">
        <v>192</v>
      </c>
      <c r="D193" s="3"/>
      <c r="E193" s="3"/>
      <c r="F193" s="2"/>
      <c r="G193" s="1"/>
      <c r="H193" s="1"/>
      <c r="I193" s="3"/>
      <c r="J193" s="3"/>
      <c r="K193" s="3"/>
      <c r="L193" s="1"/>
      <c r="M193" s="1"/>
      <c r="N193" s="4"/>
      <c r="O193" s="5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1" t="str">
        <f>IFERROR(__xludf.DUMMYFUNCTION("""COMPUTED_VALUE"""),"McKee Foods Corporation")</f>
        <v>McKee Foods Corporation</v>
      </c>
      <c r="B194" s="1" t="str">
        <f>IFERROR(__xludf.DUMMYFUNCTION("""COMPUTED_VALUE"""),"CompanyInformation/McKee")</f>
        <v>CompanyInformation/McKee</v>
      </c>
      <c r="C194" s="2" t="s">
        <v>193</v>
      </c>
      <c r="D194" s="3"/>
      <c r="E194" s="3"/>
      <c r="F194" s="2"/>
      <c r="G194" s="1"/>
      <c r="H194" s="1"/>
      <c r="I194" s="3"/>
      <c r="J194" s="3"/>
      <c r="K194" s="3"/>
      <c r="L194" s="1"/>
      <c r="M194" s="1"/>
      <c r="N194" s="4"/>
      <c r="O194" s="5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1" t="str">
        <f>IFERROR(__xludf.DUMMYFUNCTION("""COMPUTED_VALUE"""),"McQ Inc.")</f>
        <v>McQ Inc.</v>
      </c>
      <c r="B195" s="1" t="str">
        <f>IFERROR(__xludf.DUMMYFUNCTION("""COMPUTED_VALUE"""),"CompanyInformation/McQ")</f>
        <v>CompanyInformation/McQ</v>
      </c>
      <c r="C195" s="2" t="s">
        <v>194</v>
      </c>
      <c r="D195" s="3"/>
      <c r="E195" s="3"/>
      <c r="F195" s="2"/>
      <c r="G195" s="1"/>
      <c r="H195" s="1"/>
      <c r="I195" s="3"/>
      <c r="J195" s="3"/>
      <c r="K195" s="3"/>
      <c r="L195" s="1"/>
      <c r="M195" s="1"/>
      <c r="N195" s="4"/>
      <c r="O195" s="5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1" t="str">
        <f>IFERROR(__xludf.DUMMYFUNCTION("""COMPUTED_VALUE"""),"Metromont Corporation")</f>
        <v>Metromont Corporation</v>
      </c>
      <c r="B196" s="1" t="str">
        <f>IFERROR(__xludf.DUMMYFUNCTION("""COMPUTED_VALUE"""),"CompanyInformation/METCORP")</f>
        <v>CompanyInformation/METCORP</v>
      </c>
      <c r="C196" s="2" t="s">
        <v>195</v>
      </c>
      <c r="D196" s="3"/>
      <c r="E196" s="3"/>
      <c r="F196" s="2"/>
      <c r="G196" s="1"/>
      <c r="H196" s="1"/>
      <c r="I196" s="3"/>
      <c r="J196" s="3"/>
      <c r="K196" s="3"/>
      <c r="L196" s="1"/>
      <c r="M196" s="1"/>
      <c r="N196" s="4"/>
      <c r="O196" s="5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1" t="str">
        <f>IFERROR(__xludf.DUMMYFUNCTION("""COMPUTED_VALUE"""),"Metso")</f>
        <v>Metso</v>
      </c>
      <c r="B197" s="1" t="str">
        <f>IFERROR(__xludf.DUMMYFUNCTION("""COMPUTED_VALUE"""),"CompanyInformation/Metso")</f>
        <v>CompanyInformation/Metso</v>
      </c>
      <c r="C197" s="2" t="s">
        <v>196</v>
      </c>
      <c r="D197" s="3"/>
      <c r="E197" s="3"/>
      <c r="F197" s="2"/>
      <c r="G197" s="1"/>
      <c r="H197" s="1"/>
      <c r="I197" s="3"/>
      <c r="J197" s="3"/>
      <c r="K197" s="3"/>
      <c r="L197" s="1"/>
      <c r="M197" s="1"/>
      <c r="N197" s="4"/>
      <c r="O197" s="5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1" t="str">
        <f>IFERROR(__xludf.DUMMYFUNCTION("""COMPUTED_VALUE"""),"Michelin North America")</f>
        <v>Michelin North America</v>
      </c>
      <c r="B198" s="1" t="str">
        <f>IFERROR(__xludf.DUMMYFUNCTION("""COMPUTED_VALUE"""),"CompanyInformation/Michelin")</f>
        <v>CompanyInformation/Michelin</v>
      </c>
      <c r="C198" s="2" t="s">
        <v>197</v>
      </c>
      <c r="D198" s="3"/>
      <c r="E198" s="3"/>
      <c r="F198" s="2"/>
      <c r="G198" s="1"/>
      <c r="H198" s="1"/>
      <c r="I198" s="3"/>
      <c r="J198" s="3"/>
      <c r="K198" s="3"/>
      <c r="L198" s="1"/>
      <c r="M198" s="1"/>
      <c r="N198" s="4"/>
      <c r="O198" s="5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1" t="str">
        <f>IFERROR(__xludf.DUMMYFUNCTION("""COMPUTED_VALUE"""),"Micron Technology")</f>
        <v>Micron Technology</v>
      </c>
      <c r="B199" s="1" t="str">
        <f>IFERROR(__xludf.DUMMYFUNCTION("""COMPUTED_VALUE"""),"CompanyInformation/Micron")</f>
        <v>CompanyInformation/Micron</v>
      </c>
      <c r="C199" s="2" t="s">
        <v>198</v>
      </c>
      <c r="D199" s="3"/>
      <c r="E199" s="3"/>
      <c r="F199" s="2"/>
      <c r="G199" s="1"/>
      <c r="H199" s="1"/>
      <c r="I199" s="3"/>
      <c r="J199" s="3"/>
      <c r="K199" s="3"/>
      <c r="L199" s="1"/>
      <c r="M199" s="1"/>
      <c r="N199" s="4"/>
      <c r="O199" s="5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1" t="str">
        <f>IFERROR(__xludf.DUMMYFUNCTION("""COMPUTED_VALUE"""),"MicroStrategy")</f>
        <v>MicroStrategy</v>
      </c>
      <c r="B200" s="1" t="str">
        <f>IFERROR(__xludf.DUMMYFUNCTION("""COMPUTED_VALUE"""),"CompanyInformation/MSTR")</f>
        <v>CompanyInformation/MSTR</v>
      </c>
      <c r="C200" s="2" t="s">
        <v>199</v>
      </c>
      <c r="D200" s="3"/>
      <c r="E200" s="3"/>
      <c r="F200" s="2"/>
      <c r="G200" s="1"/>
      <c r="H200" s="1"/>
      <c r="I200" s="3"/>
      <c r="J200" s="3"/>
      <c r="K200" s="3"/>
      <c r="L200" s="1"/>
      <c r="M200" s="1"/>
      <c r="N200" s="4"/>
      <c r="O200" s="5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1" t="str">
        <f>IFERROR(__xludf.DUMMYFUNCTION("""COMPUTED_VALUE"""),"Military Sealift Command Ashore")</f>
        <v>Military Sealift Command Ashore</v>
      </c>
      <c r="B201" s="1" t="str">
        <f>IFERROR(__xludf.DUMMYFUNCTION("""COMPUTED_VALUE"""),"CompanyInformation/MSCAshore")</f>
        <v>CompanyInformation/MSCAshore</v>
      </c>
      <c r="C201" s="2" t="s">
        <v>200</v>
      </c>
      <c r="D201" s="3"/>
      <c r="E201" s="3"/>
      <c r="F201" s="2"/>
      <c r="G201" s="1"/>
      <c r="H201" s="1"/>
      <c r="I201" s="3"/>
      <c r="J201" s="3"/>
      <c r="K201" s="3"/>
      <c r="L201" s="1"/>
      <c r="M201" s="1"/>
      <c r="N201" s="4"/>
      <c r="O201" s="5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1" t="str">
        <f>IFERROR(__xludf.DUMMYFUNCTION("""COMPUTED_VALUE"""),"Milliken &amp; Company")</f>
        <v>Milliken &amp; Company</v>
      </c>
      <c r="B202" s="1" t="str">
        <f>IFERROR(__xludf.DUMMYFUNCTION("""COMPUTED_VALUE"""),"CompanyInformation/Milliken")</f>
        <v>CompanyInformation/Milliken</v>
      </c>
      <c r="C202" s="2" t="s">
        <v>201</v>
      </c>
      <c r="D202" s="3"/>
      <c r="E202" s="3"/>
      <c r="F202" s="2"/>
      <c r="G202" s="1"/>
      <c r="H202" s="1"/>
      <c r="I202" s="3"/>
      <c r="J202" s="3"/>
      <c r="K202" s="3"/>
      <c r="L202" s="1"/>
      <c r="M202" s="1"/>
      <c r="N202" s="4"/>
      <c r="O202" s="5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1" t="str">
        <f>IFERROR(__xludf.DUMMYFUNCTION("""COMPUTED_VALUE"""),"Mindtree Limited")</f>
        <v>Mindtree Limited</v>
      </c>
      <c r="B203" s="1" t="str">
        <f>IFERROR(__xludf.DUMMYFUNCTION("""COMPUTED_VALUE"""),"CompanyInformation/mindtree")</f>
        <v>CompanyInformation/mindtree</v>
      </c>
      <c r="C203" s="2" t="s">
        <v>202</v>
      </c>
      <c r="D203" s="3"/>
      <c r="E203" s="3"/>
      <c r="F203" s="2"/>
      <c r="G203" s="1"/>
      <c r="H203" s="1"/>
      <c r="I203" s="3"/>
      <c r="J203" s="3"/>
      <c r="K203" s="3"/>
      <c r="L203" s="1"/>
      <c r="M203" s="1"/>
      <c r="N203" s="4"/>
      <c r="O203" s="5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1" t="str">
        <f>IFERROR(__xludf.DUMMYFUNCTION("""COMPUTED_VALUE"""),"MIT Lincoln Laboratory")</f>
        <v>MIT Lincoln Laboratory</v>
      </c>
      <c r="B204" s="1" t="str">
        <f>IFERROR(__xludf.DUMMYFUNCTION("""COMPUTED_VALUE"""),"CompanyInformation/mitll")</f>
        <v>CompanyInformation/mitll</v>
      </c>
      <c r="C204" s="2" t="s">
        <v>203</v>
      </c>
      <c r="D204" s="3"/>
      <c r="E204" s="3"/>
      <c r="F204" s="2"/>
      <c r="G204" s="1"/>
      <c r="H204" s="1"/>
      <c r="I204" s="3"/>
      <c r="J204" s="3"/>
      <c r="K204" s="3"/>
      <c r="L204" s="1"/>
      <c r="M204" s="1"/>
      <c r="N204" s="4"/>
      <c r="O204" s="5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1" t="str">
        <f>IFERROR(__xludf.DUMMYFUNCTION("""COMPUTED_VALUE"""),"MITRE Corporation")</f>
        <v>MITRE Corporation</v>
      </c>
      <c r="B205" s="1" t="str">
        <f>IFERROR(__xludf.DUMMYFUNCTION("""COMPUTED_VALUE"""),"CompanyInformation/MITRE")</f>
        <v>CompanyInformation/MITRE</v>
      </c>
      <c r="C205" s="2" t="s">
        <v>204</v>
      </c>
      <c r="D205" s="3"/>
      <c r="E205" s="3"/>
      <c r="F205" s="2"/>
      <c r="G205" s="1"/>
      <c r="H205" s="1"/>
      <c r="I205" s="3"/>
      <c r="J205" s="3"/>
      <c r="K205" s="3"/>
      <c r="L205" s="1"/>
      <c r="M205" s="1"/>
      <c r="N205" s="4"/>
      <c r="O205" s="5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1" t="str">
        <f>IFERROR(__xludf.DUMMYFUNCTION("""COMPUTED_VALUE"""),"Moog Inc.")</f>
        <v>Moog Inc.</v>
      </c>
      <c r="B206" s="1" t="str">
        <f>IFERROR(__xludf.DUMMYFUNCTION("""COMPUTED_VALUE"""),"CompanyInformation/Moog")</f>
        <v>CompanyInformation/Moog</v>
      </c>
      <c r="C206" s="2" t="s">
        <v>205</v>
      </c>
      <c r="D206" s="3"/>
      <c r="E206" s="3"/>
      <c r="F206" s="2"/>
      <c r="G206" s="1"/>
      <c r="H206" s="1"/>
      <c r="I206" s="3"/>
      <c r="J206" s="3"/>
      <c r="K206" s="3"/>
      <c r="L206" s="1"/>
      <c r="M206" s="1"/>
      <c r="N206" s="4"/>
      <c r="O206" s="5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1" t="str">
        <f>IFERROR(__xludf.DUMMYFUNCTION("""COMPUTED_VALUE"""),"Motion Control Systems, Inc.")</f>
        <v>Motion Control Systems, Inc.</v>
      </c>
      <c r="B207" s="1" t="str">
        <f>IFERROR(__xludf.DUMMYFUNCTION("""COMPUTED_VALUE"""),"CompanyInformation/MCS")</f>
        <v>CompanyInformation/MCS</v>
      </c>
      <c r="C207" s="2" t="s">
        <v>206</v>
      </c>
      <c r="D207" s="3"/>
      <c r="E207" s="3"/>
      <c r="F207" s="2"/>
      <c r="G207" s="1"/>
      <c r="H207" s="1"/>
      <c r="I207" s="3"/>
      <c r="J207" s="3"/>
      <c r="K207" s="3"/>
      <c r="L207" s="1"/>
      <c r="M207" s="1"/>
      <c r="N207" s="4"/>
      <c r="O207" s="5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1" t="str">
        <f>IFERROR(__xludf.DUMMYFUNCTION("""COMPUTED_VALUE"""),"MPR Associates, Inc.")</f>
        <v>MPR Associates, Inc.</v>
      </c>
      <c r="B208" s="1" t="str">
        <f>IFERROR(__xludf.DUMMYFUNCTION("""COMPUTED_VALUE"""),"CompanyInformation/MPR")</f>
        <v>CompanyInformation/MPR</v>
      </c>
      <c r="C208" s="2" t="s">
        <v>207</v>
      </c>
      <c r="D208" s="3"/>
      <c r="E208" s="3"/>
      <c r="F208" s="2"/>
      <c r="G208" s="1"/>
      <c r="H208" s="1"/>
      <c r="I208" s="3"/>
      <c r="J208" s="3"/>
      <c r="K208" s="3"/>
      <c r="L208" s="1"/>
      <c r="M208" s="1"/>
      <c r="N208" s="4"/>
      <c r="O208" s="5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1" t="str">
        <f>IFERROR(__xludf.DUMMYFUNCTION("""COMPUTED_VALUE"""),"Mueller Water Products")</f>
        <v>Mueller Water Products</v>
      </c>
      <c r="B209" s="1" t="str">
        <f>IFERROR(__xludf.DUMMYFUNCTION("""COMPUTED_VALUE"""),"CompanyInformation/MWP")</f>
        <v>CompanyInformation/MWP</v>
      </c>
      <c r="C209" s="2" t="s">
        <v>208</v>
      </c>
      <c r="D209" s="3"/>
      <c r="E209" s="3"/>
      <c r="F209" s="2"/>
      <c r="G209" s="1"/>
      <c r="H209" s="1"/>
      <c r="I209" s="3"/>
      <c r="J209" s="3"/>
      <c r="K209" s="3"/>
      <c r="L209" s="1"/>
      <c r="M209" s="1"/>
      <c r="N209" s="4"/>
      <c r="O209" s="5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1" t="str">
        <f>IFERROR(__xludf.DUMMYFUNCTION("""COMPUTED_VALUE"""),"National Geospatial-Intelligence Agency")</f>
        <v>National Geospatial-Intelligence Agency</v>
      </c>
      <c r="B210" s="1" t="str">
        <f>IFERROR(__xludf.DUMMYFUNCTION("""COMPUTED_VALUE"""),"CompanyInformation/NGA")</f>
        <v>CompanyInformation/NGA</v>
      </c>
      <c r="C210" s="2" t="s">
        <v>209</v>
      </c>
      <c r="D210" s="3"/>
      <c r="E210" s="3"/>
      <c r="F210" s="2"/>
      <c r="G210" s="1"/>
      <c r="H210" s="1"/>
      <c r="I210" s="3"/>
      <c r="J210" s="3"/>
      <c r="K210" s="3"/>
      <c r="L210" s="1"/>
      <c r="M210" s="1"/>
      <c r="N210" s="4"/>
      <c r="O210" s="5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1" t="str">
        <f>IFERROR(__xludf.DUMMYFUNCTION("""COMPUTED_VALUE"""),"National Ground Intelligence Center")</f>
        <v>National Ground Intelligence Center</v>
      </c>
      <c r="B211" s="1" t="str">
        <f>IFERROR(__xludf.DUMMYFUNCTION("""COMPUTED_VALUE"""),"CompanyInformation/NGIC")</f>
        <v>CompanyInformation/NGIC</v>
      </c>
      <c r="C211" s="2" t="s">
        <v>210</v>
      </c>
      <c r="D211" s="3"/>
      <c r="E211" s="3"/>
      <c r="F211" s="2"/>
      <c r="G211" s="1"/>
      <c r="H211" s="1"/>
      <c r="I211" s="3"/>
      <c r="J211" s="3"/>
      <c r="K211" s="3"/>
      <c r="L211" s="1"/>
      <c r="M211" s="1"/>
      <c r="N211" s="4"/>
      <c r="O211" s="5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1" t="str">
        <f>IFERROR(__xludf.DUMMYFUNCTION("""COMPUTED_VALUE"""),"National Instruments")</f>
        <v>National Instruments</v>
      </c>
      <c r="B212" s="1" t="str">
        <f>IFERROR(__xludf.DUMMYFUNCTION("""COMPUTED_VALUE"""),"CompanyInformation/NATI")</f>
        <v>CompanyInformation/NATI</v>
      </c>
      <c r="C212" s="2" t="s">
        <v>211</v>
      </c>
      <c r="D212" s="3"/>
      <c r="E212" s="3"/>
      <c r="F212" s="2"/>
      <c r="G212" s="1"/>
      <c r="H212" s="1"/>
      <c r="I212" s="3"/>
      <c r="J212" s="3"/>
      <c r="K212" s="3"/>
      <c r="L212" s="1"/>
      <c r="M212" s="1"/>
      <c r="N212" s="4"/>
      <c r="O212" s="5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1" t="str">
        <f>IFERROR(__xludf.DUMMYFUNCTION("""COMPUTED_VALUE"""),"National Security Agency")</f>
        <v>National Security Agency</v>
      </c>
      <c r="B213" s="1" t="str">
        <f>IFERROR(__xludf.DUMMYFUNCTION("""COMPUTED_VALUE"""),"CompanyInformation/NSA")</f>
        <v>CompanyInformation/NSA</v>
      </c>
      <c r="C213" s="2" t="s">
        <v>212</v>
      </c>
      <c r="D213" s="3"/>
      <c r="E213" s="3"/>
      <c r="F213" s="2"/>
      <c r="G213" s="1"/>
      <c r="H213" s="1"/>
      <c r="I213" s="3"/>
      <c r="J213" s="3"/>
      <c r="K213" s="3"/>
      <c r="L213" s="1"/>
      <c r="M213" s="1"/>
      <c r="N213" s="4"/>
      <c r="O213" s="5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1" t="str">
        <f>IFERROR(__xludf.DUMMYFUNCTION("""COMPUTED_VALUE"""),"NAVAIR")</f>
        <v>NAVAIR</v>
      </c>
      <c r="B214" s="1" t="str">
        <f>IFERROR(__xludf.DUMMYFUNCTION("""COMPUTED_VALUE"""),"CompanyInformation/NAV")</f>
        <v>CompanyInformation/NAV</v>
      </c>
      <c r="C214" s="2" t="s">
        <v>213</v>
      </c>
      <c r="D214" s="3"/>
      <c r="E214" s="3"/>
      <c r="F214" s="2"/>
      <c r="G214" s="1"/>
      <c r="H214" s="1"/>
      <c r="I214" s="3"/>
      <c r="J214" s="3"/>
      <c r="K214" s="3"/>
      <c r="L214" s="1"/>
      <c r="M214" s="1"/>
      <c r="N214" s="4"/>
      <c r="O214" s="5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1" t="str">
        <f>IFERROR(__xludf.DUMMYFUNCTION("""COMPUTED_VALUE"""),"Naval Air Systems Command")</f>
        <v>Naval Air Systems Command</v>
      </c>
      <c r="B215" s="1" t="str">
        <f>IFERROR(__xludf.DUMMYFUNCTION("""COMPUTED_VALUE"""),"CompanyInformation/NAVAIR")</f>
        <v>CompanyInformation/NAVAIR</v>
      </c>
      <c r="C215" s="2" t="s">
        <v>214</v>
      </c>
      <c r="D215" s="3"/>
      <c r="E215" s="3"/>
      <c r="F215" s="2"/>
      <c r="G215" s="1"/>
      <c r="H215" s="1"/>
      <c r="I215" s="3"/>
      <c r="J215" s="3"/>
      <c r="K215" s="3"/>
      <c r="L215" s="1"/>
      <c r="M215" s="1"/>
      <c r="N215" s="4"/>
      <c r="O215" s="5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1" t="str">
        <f>IFERROR(__xludf.DUMMYFUNCTION("""COMPUTED_VALUE"""),"Naval Facilities Engineering Command Mid-Atlantic")</f>
        <v>Naval Facilities Engineering Command Mid-Atlantic</v>
      </c>
      <c r="B216" s="1" t="str">
        <f>IFERROR(__xludf.DUMMYFUNCTION("""COMPUTED_VALUE"""),"CompanyInformation/google")</f>
        <v>CompanyInformation/google</v>
      </c>
      <c r="C216" s="2" t="s">
        <v>215</v>
      </c>
      <c r="D216" s="3"/>
      <c r="E216" s="3"/>
      <c r="F216" s="2"/>
      <c r="G216" s="1"/>
      <c r="H216" s="1"/>
      <c r="I216" s="3"/>
      <c r="J216" s="3"/>
      <c r="K216" s="3"/>
      <c r="L216" s="1"/>
      <c r="M216" s="1"/>
      <c r="N216" s="4"/>
      <c r="O216" s="5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1" t="str">
        <f>IFERROR(__xludf.DUMMYFUNCTION("""COMPUTED_VALUE"""),"Naval Nuclear Laboratory")</f>
        <v>Naval Nuclear Laboratory</v>
      </c>
      <c r="B217" s="1" t="str">
        <f>IFERROR(__xludf.DUMMYFUNCTION("""COMPUTED_VALUE"""),"CompanyInformation/NNL")</f>
        <v>CompanyInformation/NNL</v>
      </c>
      <c r="C217" s="2" t="s">
        <v>216</v>
      </c>
      <c r="D217" s="3"/>
      <c r="E217" s="3"/>
      <c r="F217" s="2"/>
      <c r="G217" s="1"/>
      <c r="H217" s="1"/>
      <c r="I217" s="3"/>
      <c r="J217" s="3"/>
      <c r="K217" s="3"/>
      <c r="L217" s="1"/>
      <c r="M217" s="1"/>
      <c r="N217" s="4"/>
      <c r="O217" s="5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1" t="str">
        <f>IFERROR(__xludf.DUMMYFUNCTION("""COMPUTED_VALUE"""),"NAVSEA &amp; Norfolk Naval Shipyard")</f>
        <v>NAVSEA &amp; Norfolk Naval Shipyard</v>
      </c>
      <c r="B218" s="1" t="str">
        <f>IFERROR(__xludf.DUMMYFUNCTION("""COMPUTED_VALUE"""),"CompanyInformation/NAVSEA")</f>
        <v>CompanyInformation/NAVSEA</v>
      </c>
      <c r="C218" s="2" t="s">
        <v>217</v>
      </c>
      <c r="D218" s="3"/>
      <c r="E218" s="3"/>
      <c r="F218" s="2"/>
      <c r="G218" s="1"/>
      <c r="H218" s="1"/>
      <c r="I218" s="3"/>
      <c r="J218" s="3"/>
      <c r="K218" s="3"/>
      <c r="L218" s="1"/>
      <c r="M218" s="1"/>
      <c r="N218" s="4"/>
      <c r="O218" s="5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1" t="str">
        <f>IFERROR(__xludf.DUMMYFUNCTION("""COMPUTED_VALUE"""),"NetApp")</f>
        <v>NetApp</v>
      </c>
      <c r="B219" s="1" t="str">
        <f>IFERROR(__xludf.DUMMYFUNCTION("""COMPUTED_VALUE"""),"CompanyInformation/NetApp")</f>
        <v>CompanyInformation/NetApp</v>
      </c>
      <c r="C219" s="2" t="s">
        <v>218</v>
      </c>
      <c r="D219" s="3"/>
      <c r="E219" s="3"/>
      <c r="F219" s="2"/>
      <c r="G219" s="1"/>
      <c r="H219" s="1"/>
      <c r="I219" s="3"/>
      <c r="J219" s="3"/>
      <c r="K219" s="3"/>
      <c r="L219" s="1"/>
      <c r="M219" s="1"/>
      <c r="N219" s="4"/>
      <c r="O219" s="5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1" t="str">
        <f>IFERROR(__xludf.DUMMYFUNCTION("""COMPUTED_VALUE"""),"Newport News Shipbuilding")</f>
        <v>Newport News Shipbuilding</v>
      </c>
      <c r="B220" s="1" t="str">
        <f>IFERROR(__xludf.DUMMYFUNCTION("""COMPUTED_VALUE"""),"CompanyInformation/NNS")</f>
        <v>CompanyInformation/NNS</v>
      </c>
      <c r="C220" s="2" t="s">
        <v>219</v>
      </c>
      <c r="D220" s="3"/>
      <c r="E220" s="3"/>
      <c r="F220" s="2"/>
      <c r="G220" s="1"/>
      <c r="H220" s="1"/>
      <c r="I220" s="3"/>
      <c r="J220" s="3"/>
      <c r="K220" s="3"/>
      <c r="L220" s="1"/>
      <c r="M220" s="1"/>
      <c r="N220" s="4"/>
      <c r="O220" s="5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1" t="str">
        <f>IFERROR(__xludf.DUMMYFUNCTION("""COMPUTED_VALUE"""),"Niagara Bottling, LLC")</f>
        <v>Niagara Bottling, LLC</v>
      </c>
      <c r="B221" s="1" t="str">
        <f>IFERROR(__xludf.DUMMYFUNCTION("""COMPUTED_VALUE"""),"CompanyInformation/Niagara")</f>
        <v>CompanyInformation/Niagara</v>
      </c>
      <c r="C221" s="2" t="s">
        <v>220</v>
      </c>
      <c r="D221" s="3"/>
      <c r="E221" s="3"/>
      <c r="F221" s="2"/>
      <c r="G221" s="1"/>
      <c r="H221" s="1"/>
      <c r="I221" s="3"/>
      <c r="J221" s="3"/>
      <c r="K221" s="3"/>
      <c r="L221" s="1"/>
      <c r="M221" s="1"/>
      <c r="N221" s="4"/>
      <c r="O221" s="5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1" t="str">
        <f>IFERROR(__xludf.DUMMYFUNCTION("""COMPUTED_VALUE"""),"Nielsen")</f>
        <v>Nielsen</v>
      </c>
      <c r="B222" s="1" t="str">
        <f>IFERROR(__xludf.DUMMYFUNCTION("""COMPUTED_VALUE"""),"CompanyInformation/Nielsen")</f>
        <v>CompanyInformation/Nielsen</v>
      </c>
      <c r="C222" s="2" t="s">
        <v>221</v>
      </c>
      <c r="D222" s="3"/>
      <c r="E222" s="3"/>
      <c r="F222" s="2"/>
      <c r="G222" s="1"/>
      <c r="H222" s="1"/>
      <c r="I222" s="3"/>
      <c r="J222" s="3"/>
      <c r="K222" s="3"/>
      <c r="L222" s="1"/>
      <c r="M222" s="1"/>
      <c r="N222" s="4"/>
      <c r="O222" s="5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1" t="str">
        <f>IFERROR(__xludf.DUMMYFUNCTION("""COMPUTED_VALUE"""),"Night Vision and Electronic Sensors Directorate")</f>
        <v>Night Vision and Electronic Sensors Directorate</v>
      </c>
      <c r="B223" s="1" t="str">
        <f>IFERROR(__xludf.DUMMYFUNCTION("""COMPUTED_VALUE"""),"CompanyInformation/NVESD")</f>
        <v>CompanyInformation/NVESD</v>
      </c>
      <c r="C223" s="2" t="s">
        <v>222</v>
      </c>
      <c r="D223" s="3"/>
      <c r="E223" s="3"/>
      <c r="F223" s="2"/>
      <c r="G223" s="1"/>
      <c r="H223" s="1"/>
      <c r="I223" s="3"/>
      <c r="J223" s="3"/>
      <c r="K223" s="3"/>
      <c r="L223" s="1"/>
      <c r="M223" s="1"/>
      <c r="N223" s="4"/>
      <c r="O223" s="5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1" t="str">
        <f>IFERROR(__xludf.DUMMYFUNCTION("""COMPUTED_VALUE"""),"Noblis")</f>
        <v>Noblis</v>
      </c>
      <c r="B224" s="1" t="str">
        <f>IFERROR(__xludf.DUMMYFUNCTION("""COMPUTED_VALUE"""),"CompanyInformation/Noblis")</f>
        <v>CompanyInformation/Noblis</v>
      </c>
      <c r="C224" s="2" t="s">
        <v>223</v>
      </c>
      <c r="D224" s="3"/>
      <c r="E224" s="3"/>
      <c r="F224" s="2"/>
      <c r="G224" s="1"/>
      <c r="H224" s="1"/>
      <c r="I224" s="3"/>
      <c r="J224" s="3"/>
      <c r="K224" s="3"/>
      <c r="L224" s="1"/>
      <c r="M224" s="1"/>
      <c r="N224" s="4"/>
      <c r="O224" s="5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1" t="str">
        <f>IFERROR(__xludf.DUMMYFUNCTION("""COMPUTED_VALUE"""),"Norfolk Southern")</f>
        <v>Norfolk Southern</v>
      </c>
      <c r="B225" s="1" t="str">
        <f>IFERROR(__xludf.DUMMYFUNCTION("""COMPUTED_VALUE"""),"CompanyInformation/NSC")</f>
        <v>CompanyInformation/NSC</v>
      </c>
      <c r="C225" s="2" t="s">
        <v>224</v>
      </c>
      <c r="D225" s="3"/>
      <c r="E225" s="3"/>
      <c r="F225" s="2"/>
      <c r="G225" s="1"/>
      <c r="H225" s="1"/>
      <c r="I225" s="3"/>
      <c r="J225" s="3"/>
      <c r="K225" s="3"/>
      <c r="L225" s="1"/>
      <c r="M225" s="1"/>
      <c r="N225" s="4"/>
      <c r="O225" s="5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1" t="str">
        <f>IFERROR(__xludf.DUMMYFUNCTION("""COMPUTED_VALUE"""),"North Carolina Department of Transportation")</f>
        <v>North Carolina Department of Transportation</v>
      </c>
      <c r="B226" s="1" t="str">
        <f>IFERROR(__xludf.DUMMYFUNCTION("""COMPUTED_VALUE"""),"CompanyInformation/NCDOT")</f>
        <v>CompanyInformation/NCDOT</v>
      </c>
      <c r="C226" s="2" t="s">
        <v>225</v>
      </c>
      <c r="D226" s="3"/>
      <c r="E226" s="3"/>
      <c r="F226" s="2"/>
      <c r="G226" s="1"/>
      <c r="H226" s="1"/>
      <c r="I226" s="3"/>
      <c r="J226" s="3"/>
      <c r="K226" s="3"/>
      <c r="L226" s="1"/>
      <c r="M226" s="1"/>
      <c r="N226" s="4"/>
      <c r="O226" s="5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1" t="str">
        <f>IFERROR(__xludf.DUMMYFUNCTION("""COMPUTED_VALUE"""),"Northrop Grumman")</f>
        <v>Northrop Grumman</v>
      </c>
      <c r="B227" s="1" t="str">
        <f>IFERROR(__xludf.DUMMYFUNCTION("""COMPUTED_VALUE"""),"CompanyInformation/NGC")</f>
        <v>CompanyInformation/NGC</v>
      </c>
      <c r="C227" s="2" t="s">
        <v>226</v>
      </c>
      <c r="D227" s="3"/>
      <c r="E227" s="3"/>
      <c r="F227" s="2"/>
      <c r="G227" s="1"/>
      <c r="H227" s="1"/>
      <c r="I227" s="3"/>
      <c r="J227" s="3"/>
      <c r="K227" s="3"/>
      <c r="L227" s="1"/>
      <c r="M227" s="1"/>
      <c r="N227" s="4"/>
      <c r="O227" s="5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1" t="str">
        <f>IFERROR(__xludf.DUMMYFUNCTION("""COMPUTED_VALUE"""),"Novo Nordisk")</f>
        <v>Novo Nordisk</v>
      </c>
      <c r="B228" s="1" t="str">
        <f>IFERROR(__xludf.DUMMYFUNCTION("""COMPUTED_VALUE"""),"CompanyInformation/NNPILP")</f>
        <v>CompanyInformation/NNPILP</v>
      </c>
      <c r="C228" s="2" t="s">
        <v>227</v>
      </c>
      <c r="D228" s="3"/>
      <c r="E228" s="3"/>
      <c r="F228" s="2"/>
      <c r="G228" s="1"/>
      <c r="H228" s="1"/>
      <c r="I228" s="3"/>
      <c r="J228" s="3"/>
      <c r="K228" s="3"/>
      <c r="L228" s="1"/>
      <c r="M228" s="1"/>
      <c r="N228" s="4"/>
      <c r="O228" s="5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1" t="str">
        <f>IFERROR(__xludf.DUMMYFUNCTION("""COMPUTED_VALUE"""),"NuCor Steel")</f>
        <v>NuCor Steel</v>
      </c>
      <c r="B229" s="1" t="str">
        <f>IFERROR(__xludf.DUMMYFUNCTION("""COMPUTED_VALUE"""),"CompanyInformation/nucor")</f>
        <v>CompanyInformation/nucor</v>
      </c>
      <c r="C229" s="2" t="s">
        <v>228</v>
      </c>
      <c r="D229" s="3"/>
      <c r="E229" s="3"/>
      <c r="F229" s="2"/>
      <c r="G229" s="1"/>
      <c r="H229" s="1"/>
      <c r="I229" s="3"/>
      <c r="J229" s="3"/>
      <c r="K229" s="3"/>
      <c r="L229" s="1"/>
      <c r="M229" s="1"/>
      <c r="N229" s="4"/>
      <c r="O229" s="5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1" t="str">
        <f>IFERROR(__xludf.DUMMYFUNCTION("""COMPUTED_VALUE"""),"Oak Ridge National Laboratory")</f>
        <v>Oak Ridge National Laboratory</v>
      </c>
      <c r="B230" s="1" t="str">
        <f>IFERROR(__xludf.DUMMYFUNCTION("""COMPUTED_VALUE"""),"CompanyInformation/ORNL")</f>
        <v>CompanyInformation/ORNL</v>
      </c>
      <c r="C230" s="2" t="s">
        <v>229</v>
      </c>
      <c r="D230" s="3"/>
      <c r="E230" s="3"/>
      <c r="F230" s="2"/>
      <c r="G230" s="1"/>
      <c r="H230" s="1"/>
      <c r="I230" s="3"/>
      <c r="J230" s="3"/>
      <c r="K230" s="3"/>
      <c r="L230" s="1"/>
      <c r="M230" s="1"/>
      <c r="N230" s="4"/>
      <c r="O230" s="5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1" t="str">
        <f>IFERROR(__xludf.DUMMYFUNCTION("""COMPUTED_VALUE"""),"Objective Interface Systems, Inc.")</f>
        <v>Objective Interface Systems, Inc.</v>
      </c>
      <c r="B231" s="1" t="str">
        <f>IFERROR(__xludf.DUMMYFUNCTION("""COMPUTED_VALUE"""),"CompanyInformation/OIS")</f>
        <v>CompanyInformation/OIS</v>
      </c>
      <c r="C231" s="2" t="s">
        <v>230</v>
      </c>
      <c r="D231" s="3"/>
      <c r="E231" s="3"/>
      <c r="F231" s="2"/>
      <c r="G231" s="1"/>
      <c r="H231" s="1"/>
      <c r="I231" s="3"/>
      <c r="J231" s="3"/>
      <c r="K231" s="3"/>
      <c r="L231" s="1"/>
      <c r="M231" s="1"/>
      <c r="N231" s="4"/>
      <c r="O231" s="5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1" t="str">
        <f>IFERROR(__xludf.DUMMYFUNCTION("""COMPUTED_VALUE"""),"OneWeb")</f>
        <v>OneWeb</v>
      </c>
      <c r="B232" s="1" t="str">
        <f>IFERROR(__xludf.DUMMYFUNCTION("""COMPUTED_VALUE"""),"CompanyInformation/OWB")</f>
        <v>CompanyInformation/OWB</v>
      </c>
      <c r="C232" s="2" t="s">
        <v>231</v>
      </c>
      <c r="D232" s="3"/>
      <c r="E232" s="3"/>
      <c r="F232" s="2"/>
      <c r="G232" s="1"/>
      <c r="H232" s="1"/>
      <c r="I232" s="3"/>
      <c r="J232" s="3"/>
      <c r="K232" s="3"/>
      <c r="L232" s="1"/>
      <c r="M232" s="1"/>
      <c r="N232" s="4"/>
      <c r="O232" s="5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1" t="str">
        <f>IFERROR(__xludf.DUMMYFUNCTION("""COMPUTED_VALUE"""),"Optimal Satcom")</f>
        <v>Optimal Satcom</v>
      </c>
      <c r="B233" s="1" t="str">
        <f>IFERROR(__xludf.DUMMYFUNCTION("""COMPUTED_VALUE"""),"CompanyInformation/optimalsat")</f>
        <v>CompanyInformation/optimalsat</v>
      </c>
      <c r="C233" s="2" t="s">
        <v>232</v>
      </c>
      <c r="D233" s="3"/>
      <c r="E233" s="3"/>
      <c r="F233" s="2"/>
      <c r="G233" s="1"/>
      <c r="H233" s="1"/>
      <c r="I233" s="3"/>
      <c r="J233" s="3"/>
      <c r="K233" s="3"/>
      <c r="L233" s="1"/>
      <c r="M233" s="1"/>
      <c r="N233" s="4"/>
      <c r="O233" s="5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1" t="str">
        <f>IFERROR(__xludf.DUMMYFUNCTION("""COMPUTED_VALUE"""),"Oshkosh Corporation")</f>
        <v>Oshkosh Corporation</v>
      </c>
      <c r="B234" s="1" t="str">
        <f>IFERROR(__xludf.DUMMYFUNCTION("""COMPUTED_VALUE"""),"CompanyInformation/OSK")</f>
        <v>CompanyInformation/OSK</v>
      </c>
      <c r="C234" s="2" t="s">
        <v>233</v>
      </c>
      <c r="D234" s="3"/>
      <c r="E234" s="3"/>
      <c r="F234" s="2"/>
      <c r="G234" s="1"/>
      <c r="H234" s="1"/>
      <c r="I234" s="3"/>
      <c r="J234" s="3"/>
      <c r="K234" s="3"/>
      <c r="L234" s="1"/>
      <c r="M234" s="1"/>
      <c r="N234" s="4"/>
      <c r="O234" s="5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1" t="str">
        <f>IFERROR(__xludf.DUMMYFUNCTION("""COMPUTED_VALUE"""),"OSIsoft, LLC")</f>
        <v>OSIsoft, LLC</v>
      </c>
      <c r="B235" s="1" t="str">
        <f>IFERROR(__xludf.DUMMYFUNCTION("""COMPUTED_VALUE"""),"CompanyInformation/OSIsoft")</f>
        <v>CompanyInformation/OSIsoft</v>
      </c>
      <c r="C235" s="2" t="s">
        <v>234</v>
      </c>
      <c r="D235" s="3"/>
      <c r="E235" s="3"/>
      <c r="F235" s="2"/>
      <c r="G235" s="1"/>
      <c r="H235" s="1"/>
      <c r="I235" s="3"/>
      <c r="J235" s="3"/>
      <c r="K235" s="3"/>
      <c r="L235" s="1"/>
      <c r="M235" s="1"/>
      <c r="N235" s="4"/>
      <c r="O235" s="5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1" t="str">
        <f>IFERROR(__xludf.DUMMYFUNCTION("""COMPUTED_VALUE"""),"Ozmo")</f>
        <v>Ozmo</v>
      </c>
      <c r="B236" s="1" t="str">
        <f>IFERROR(__xludf.DUMMYFUNCTION("""COMPUTED_VALUE"""),"CompanyInformation/Ozmo")</f>
        <v>CompanyInformation/Ozmo</v>
      </c>
      <c r="C236" s="2" t="s">
        <v>235</v>
      </c>
      <c r="D236" s="3"/>
      <c r="E236" s="3"/>
      <c r="F236" s="2"/>
      <c r="G236" s="1"/>
      <c r="H236" s="1"/>
      <c r="I236" s="3"/>
      <c r="J236" s="3"/>
      <c r="K236" s="3"/>
      <c r="L236" s="1"/>
      <c r="M236" s="1"/>
      <c r="N236" s="4"/>
      <c r="O236" s="5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1" t="str">
        <f>IFERROR(__xludf.DUMMYFUNCTION("""COMPUTED_VALUE"""),"Pantheon Integrated Solutions, Inc.")</f>
        <v>Pantheon Integrated Solutions, Inc.</v>
      </c>
      <c r="B237" s="1" t="str">
        <f>IFERROR(__xludf.DUMMYFUNCTION("""COMPUTED_VALUE"""),"CompanyInformation/Pantheon")</f>
        <v>CompanyInformation/Pantheon</v>
      </c>
      <c r="C237" s="2" t="s">
        <v>236</v>
      </c>
      <c r="D237" s="3"/>
      <c r="E237" s="3"/>
      <c r="F237" s="2"/>
      <c r="G237" s="1"/>
      <c r="H237" s="1"/>
      <c r="I237" s="3"/>
      <c r="J237" s="3"/>
      <c r="K237" s="3"/>
      <c r="L237" s="1"/>
      <c r="M237" s="1"/>
      <c r="N237" s="4"/>
      <c r="O237" s="5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1" t="str">
        <f>IFERROR(__xludf.DUMMYFUNCTION("""COMPUTED_VALUE"""),"Parsons")</f>
        <v>Parsons</v>
      </c>
      <c r="B238" s="1" t="str">
        <f>IFERROR(__xludf.DUMMYFUNCTION("""COMPUTED_VALUE"""),"CompanyInformation/Parsons")</f>
        <v>CompanyInformation/Parsons</v>
      </c>
      <c r="C238" s="2" t="s">
        <v>237</v>
      </c>
      <c r="D238" s="3"/>
      <c r="E238" s="3"/>
      <c r="F238" s="2"/>
      <c r="G238" s="1"/>
      <c r="H238" s="1"/>
      <c r="I238" s="3"/>
      <c r="J238" s="3"/>
      <c r="K238" s="3"/>
      <c r="L238" s="1"/>
      <c r="M238" s="1"/>
      <c r="N238" s="4"/>
      <c r="O238" s="5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1" t="str">
        <f>IFERROR(__xludf.DUMMYFUNCTION("""COMPUTED_VALUE"""),"Pentair, Inc.")</f>
        <v>Pentair, Inc.</v>
      </c>
      <c r="B239" s="1" t="str">
        <f>IFERROR(__xludf.DUMMYFUNCTION("""COMPUTED_VALUE"""),"CompanyInformation/Careers")</f>
        <v>CompanyInformation/Careers</v>
      </c>
      <c r="C239" s="2" t="s">
        <v>238</v>
      </c>
      <c r="D239" s="3"/>
      <c r="E239" s="3"/>
      <c r="F239" s="2"/>
      <c r="G239" s="1"/>
      <c r="H239" s="1"/>
      <c r="I239" s="3"/>
      <c r="J239" s="3"/>
      <c r="K239" s="3"/>
      <c r="L239" s="1"/>
      <c r="M239" s="1"/>
      <c r="N239" s="4"/>
      <c r="O239" s="5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1" t="str">
        <f>IFERROR(__xludf.DUMMYFUNCTION("""COMPUTED_VALUE"""),"PepsiCo")</f>
        <v>PepsiCo</v>
      </c>
      <c r="B240" s="1" t="str">
        <f>IFERROR(__xludf.DUMMYFUNCTION("""COMPUTED_VALUE"""),"CompanyInformation/PepsiCo")</f>
        <v>CompanyInformation/PepsiCo</v>
      </c>
      <c r="C240" s="2" t="s">
        <v>239</v>
      </c>
      <c r="D240" s="3"/>
      <c r="E240" s="3"/>
      <c r="F240" s="2"/>
      <c r="G240" s="1"/>
      <c r="H240" s="1"/>
      <c r="I240" s="3"/>
      <c r="J240" s="3"/>
      <c r="K240" s="3"/>
      <c r="L240" s="1"/>
      <c r="M240" s="1"/>
      <c r="N240" s="4"/>
      <c r="O240" s="5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1" t="str">
        <f>IFERROR(__xludf.DUMMYFUNCTION("""COMPUTED_VALUE"""),"Perspecta")</f>
        <v>Perspecta</v>
      </c>
      <c r="B241" s="1" t="str">
        <f>IFERROR(__xludf.DUMMYFUNCTION("""COMPUTED_VALUE"""),"CompanyInformation/PRSP")</f>
        <v>CompanyInformation/PRSP</v>
      </c>
      <c r="C241" s="2" t="s">
        <v>240</v>
      </c>
      <c r="D241" s="3"/>
      <c r="E241" s="3"/>
      <c r="F241" s="2"/>
      <c r="G241" s="1"/>
      <c r="H241" s="1"/>
      <c r="I241" s="3"/>
      <c r="J241" s="3"/>
      <c r="K241" s="3"/>
      <c r="L241" s="1"/>
      <c r="M241" s="1"/>
      <c r="N241" s="4"/>
      <c r="O241" s="5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1" t="str">
        <f>IFERROR(__xludf.DUMMYFUNCTION("""COMPUTED_VALUE"""),"Perspecta Labs")</f>
        <v>Perspecta Labs</v>
      </c>
      <c r="B242" s="1" t="str">
        <f>IFERROR(__xludf.DUMMYFUNCTION("""COMPUTED_VALUE"""),"CompanyInformation/acs")</f>
        <v>CompanyInformation/acs</v>
      </c>
      <c r="C242" s="2" t="s">
        <v>241</v>
      </c>
      <c r="D242" s="3"/>
      <c r="E242" s="3"/>
      <c r="F242" s="2"/>
      <c r="G242" s="1"/>
      <c r="H242" s="1"/>
      <c r="I242" s="3"/>
      <c r="J242" s="3"/>
      <c r="K242" s="3"/>
      <c r="L242" s="1"/>
      <c r="M242" s="1"/>
      <c r="N242" s="4"/>
      <c r="O242" s="5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1" t="str">
        <f>IFERROR(__xludf.DUMMYFUNCTION("""COMPUTED_VALUE"""),"Pfizer")</f>
        <v>Pfizer</v>
      </c>
      <c r="B243" s="1" t="str">
        <f>IFERROR(__xludf.DUMMYFUNCTION("""COMPUTED_VALUE"""),"CompanyInformation/PFE")</f>
        <v>CompanyInformation/PFE</v>
      </c>
      <c r="C243" s="2" t="s">
        <v>242</v>
      </c>
      <c r="D243" s="3"/>
      <c r="E243" s="3"/>
      <c r="F243" s="2"/>
      <c r="G243" s="1"/>
      <c r="H243" s="1"/>
      <c r="I243" s="3"/>
      <c r="J243" s="3"/>
      <c r="K243" s="3"/>
      <c r="L243" s="1"/>
      <c r="M243" s="1"/>
      <c r="N243" s="4"/>
      <c r="O243" s="5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1" t="str">
        <f>IFERROR(__xludf.DUMMYFUNCTION("""COMPUTED_VALUE"""),"Plexus Corp.")</f>
        <v>Plexus Corp.</v>
      </c>
      <c r="B244" s="1" t="str">
        <f>IFERROR(__xludf.DUMMYFUNCTION("""COMPUTED_VALUE"""),"CompanyInformation/PLEXUSCORP")</f>
        <v>CompanyInformation/PLEXUSCORP</v>
      </c>
      <c r="C244" s="2" t="s">
        <v>243</v>
      </c>
      <c r="D244" s="3"/>
      <c r="E244" s="3"/>
      <c r="F244" s="2"/>
      <c r="G244" s="1"/>
      <c r="H244" s="1"/>
      <c r="I244" s="3"/>
      <c r="J244" s="3"/>
      <c r="K244" s="3"/>
      <c r="L244" s="1"/>
      <c r="M244" s="1"/>
      <c r="N244" s="4"/>
      <c r="O244" s="5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1" t="str">
        <f>IFERROR(__xludf.DUMMYFUNCTION("""COMPUTED_VALUE"""),"PolyOne Corporation")</f>
        <v>PolyOne Corporation</v>
      </c>
      <c r="B245" s="1" t="str">
        <f>IFERROR(__xludf.DUMMYFUNCTION("""COMPUTED_VALUE"""),"CompanyInformation/PolyOne")</f>
        <v>CompanyInformation/PolyOne</v>
      </c>
      <c r="C245" s="2" t="s">
        <v>244</v>
      </c>
      <c r="D245" s="3"/>
      <c r="E245" s="3"/>
      <c r="F245" s="2"/>
      <c r="G245" s="1"/>
      <c r="H245" s="1"/>
      <c r="I245" s="3"/>
      <c r="J245" s="3"/>
      <c r="K245" s="3"/>
      <c r="L245" s="1"/>
      <c r="M245" s="1"/>
      <c r="N245" s="4"/>
      <c r="O245" s="5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1" t="str">
        <f>IFERROR(__xludf.DUMMYFUNCTION("""COMPUTED_VALUE"""),"Pratt &amp; Miller Engineering")</f>
        <v>Pratt &amp; Miller Engineering</v>
      </c>
      <c r="B246" s="1" t="str">
        <f>IFERROR(__xludf.DUMMYFUNCTION("""COMPUTED_VALUE"""),"CompanyInformation/PME")</f>
        <v>CompanyInformation/PME</v>
      </c>
      <c r="C246" s="2" t="s">
        <v>245</v>
      </c>
      <c r="D246" s="3"/>
      <c r="E246" s="3"/>
      <c r="F246" s="2"/>
      <c r="G246" s="1"/>
      <c r="H246" s="1"/>
      <c r="I246" s="3"/>
      <c r="J246" s="3"/>
      <c r="K246" s="3"/>
      <c r="L246" s="1"/>
      <c r="M246" s="1"/>
      <c r="N246" s="4"/>
      <c r="O246" s="5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1" t="str">
        <f>IFERROR(__xludf.DUMMYFUNCTION("""COMPUTED_VALUE"""),"Precision Castparts Corp.")</f>
        <v>Precision Castparts Corp.</v>
      </c>
      <c r="B247" s="1" t="str">
        <f>IFERROR(__xludf.DUMMYFUNCTION("""COMPUTED_VALUE"""),"CompanyInformation/PCC")</f>
        <v>CompanyInformation/PCC</v>
      </c>
      <c r="C247" s="2" t="s">
        <v>246</v>
      </c>
      <c r="D247" s="3"/>
      <c r="E247" s="3"/>
      <c r="F247" s="2"/>
      <c r="G247" s="1"/>
      <c r="H247" s="1"/>
      <c r="I247" s="3"/>
      <c r="J247" s="3"/>
      <c r="K247" s="3"/>
      <c r="L247" s="1"/>
      <c r="M247" s="1"/>
      <c r="N247" s="4"/>
      <c r="O247" s="5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1" t="str">
        <f>IFERROR(__xludf.DUMMYFUNCTION("""COMPUTED_VALUE"""),"Production Services Management Inc")</f>
        <v>Production Services Management Inc</v>
      </c>
      <c r="B248" s="1" t="str">
        <f>IFERROR(__xludf.DUMMYFUNCTION("""COMPUTED_VALUE"""),"CompanyInformation/PSMI")</f>
        <v>CompanyInformation/PSMI</v>
      </c>
      <c r="C248" s="2" t="s">
        <v>247</v>
      </c>
      <c r="D248" s="3"/>
      <c r="E248" s="3"/>
      <c r="F248" s="2"/>
      <c r="G248" s="1"/>
      <c r="H248" s="1"/>
      <c r="I248" s="3"/>
      <c r="J248" s="3"/>
      <c r="K248" s="3"/>
      <c r="L248" s="1"/>
      <c r="M248" s="1"/>
      <c r="N248" s="4"/>
      <c r="O248" s="5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1" t="str">
        <f>IFERROR(__xludf.DUMMYFUNCTION("""COMPUTED_VALUE"""),"Prysmian Group")</f>
        <v>Prysmian Group</v>
      </c>
      <c r="B249" s="1" t="str">
        <f>IFERROR(__xludf.DUMMYFUNCTION("""COMPUTED_VALUE"""),"CompanyInformation/Prysmian")</f>
        <v>CompanyInformation/Prysmian</v>
      </c>
      <c r="C249" s="2" t="s">
        <v>248</v>
      </c>
      <c r="D249" s="3"/>
      <c r="E249" s="3"/>
      <c r="F249" s="2"/>
      <c r="G249" s="1"/>
      <c r="H249" s="1"/>
      <c r="I249" s="3"/>
      <c r="J249" s="3"/>
      <c r="K249" s="3"/>
      <c r="L249" s="1"/>
      <c r="M249" s="1"/>
      <c r="N249" s="4"/>
      <c r="O249" s="5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1" t="str">
        <f>IFERROR(__xludf.DUMMYFUNCTION("""COMPUTED_VALUE"""),"QuantaDyn Corporation")</f>
        <v>QuantaDyn Corporation</v>
      </c>
      <c r="B250" s="1" t="str">
        <f>IFERROR(__xludf.DUMMYFUNCTION("""COMPUTED_VALUE"""),"CompanyInformation/QuantaDyn")</f>
        <v>CompanyInformation/QuantaDyn</v>
      </c>
      <c r="C250" s="2" t="s">
        <v>249</v>
      </c>
      <c r="D250" s="3"/>
      <c r="E250" s="3"/>
      <c r="F250" s="2"/>
      <c r="G250" s="1"/>
      <c r="H250" s="1"/>
      <c r="I250" s="3"/>
      <c r="J250" s="3"/>
      <c r="K250" s="3"/>
      <c r="L250" s="1"/>
      <c r="M250" s="1"/>
      <c r="N250" s="4"/>
      <c r="O250" s="5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1" t="str">
        <f>IFERROR(__xludf.DUMMYFUNCTION("""COMPUTED_VALUE"""),"RegO")</f>
        <v>RegO</v>
      </c>
      <c r="B251" s="1" t="str">
        <f>IFERROR(__xludf.DUMMYFUNCTION("""COMPUTED_VALUE"""),"CompanyInformation/RegO")</f>
        <v>CompanyInformation/RegO</v>
      </c>
      <c r="C251" s="2" t="s">
        <v>250</v>
      </c>
      <c r="D251" s="3"/>
      <c r="E251" s="3"/>
      <c r="F251" s="2"/>
      <c r="G251" s="1"/>
      <c r="H251" s="1"/>
      <c r="I251" s="3"/>
      <c r="J251" s="3"/>
      <c r="K251" s="3"/>
      <c r="L251" s="1"/>
      <c r="M251" s="1"/>
      <c r="N251" s="4"/>
      <c r="O251" s="5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1" t="str">
        <f>IFERROR(__xludf.DUMMYFUNCTION("""COMPUTED_VALUE"""),"Rehrig Pacific Company")</f>
        <v>Rehrig Pacific Company</v>
      </c>
      <c r="B252" s="1" t="str">
        <f>IFERROR(__xludf.DUMMYFUNCTION("""COMPUTED_VALUE"""),"CompanyInformation/RPC")</f>
        <v>CompanyInformation/RPC</v>
      </c>
      <c r="C252" s="2" t="s">
        <v>251</v>
      </c>
      <c r="D252" s="3"/>
      <c r="E252" s="3"/>
      <c r="F252" s="2"/>
      <c r="G252" s="1"/>
      <c r="H252" s="1"/>
      <c r="I252" s="3"/>
      <c r="J252" s="3"/>
      <c r="K252" s="3"/>
      <c r="L252" s="1"/>
      <c r="M252" s="1"/>
      <c r="N252" s="4"/>
      <c r="O252" s="5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1" t="str">
        <f>IFERROR(__xludf.DUMMYFUNCTION("""COMPUTED_VALUE"""),"Reynolds American")</f>
        <v>Reynolds American</v>
      </c>
      <c r="B253" s="1" t="str">
        <f>IFERROR(__xludf.DUMMYFUNCTION("""COMPUTED_VALUE"""),"CompanyInformation/RAI123")</f>
        <v>CompanyInformation/RAI123</v>
      </c>
      <c r="C253" s="2" t="s">
        <v>252</v>
      </c>
      <c r="D253" s="3"/>
      <c r="E253" s="3"/>
      <c r="F253" s="2"/>
      <c r="G253" s="1"/>
      <c r="H253" s="1"/>
      <c r="I253" s="3"/>
      <c r="J253" s="3"/>
      <c r="K253" s="3"/>
      <c r="L253" s="1"/>
      <c r="M253" s="1"/>
      <c r="N253" s="4"/>
      <c r="O253" s="5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1" t="str">
        <f>IFERROR(__xludf.DUMMYFUNCTION("""COMPUTED_VALUE"""),"Rincon Research Corporation")</f>
        <v>Rincon Research Corporation</v>
      </c>
      <c r="B254" s="1" t="str">
        <f>IFERROR(__xludf.DUMMYFUNCTION("""COMPUTED_VALUE"""),"CompanyInformation/RINCON")</f>
        <v>CompanyInformation/RINCON</v>
      </c>
      <c r="C254" s="2" t="s">
        <v>253</v>
      </c>
      <c r="D254" s="3"/>
      <c r="E254" s="3"/>
      <c r="F254" s="2"/>
      <c r="G254" s="1"/>
      <c r="H254" s="1"/>
      <c r="I254" s="3"/>
      <c r="J254" s="3"/>
      <c r="K254" s="3"/>
      <c r="L254" s="1"/>
      <c r="M254" s="1"/>
      <c r="N254" s="4"/>
      <c r="O254" s="5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1" t="str">
        <f>IFERROR(__xludf.DUMMYFUNCTION("""COMPUTED_VALUE"""),"Rio Tinto")</f>
        <v>Rio Tinto</v>
      </c>
      <c r="B255" s="1" t="str">
        <f>IFERROR(__xludf.DUMMYFUNCTION("""COMPUTED_VALUE"""),"CompanyInformation/RioTinto")</f>
        <v>CompanyInformation/RioTinto</v>
      </c>
      <c r="C255" s="2" t="s">
        <v>254</v>
      </c>
      <c r="D255" s="3"/>
      <c r="E255" s="3"/>
      <c r="F255" s="2"/>
      <c r="G255" s="1"/>
      <c r="H255" s="1"/>
      <c r="I255" s="3"/>
      <c r="J255" s="3"/>
      <c r="K255" s="3"/>
      <c r="L255" s="1"/>
      <c r="M255" s="1"/>
      <c r="N255" s="4"/>
      <c r="O255" s="5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1" t="str">
        <f>IFERROR(__xludf.DUMMYFUNCTION("""COMPUTED_VALUE"""),"Rockwell Collins")</f>
        <v>Rockwell Collins</v>
      </c>
      <c r="B256" s="1" t="str">
        <f>IFERROR(__xludf.DUMMYFUNCTION("""COMPUTED_VALUE"""),"CompanyInformation/RAC")</f>
        <v>CompanyInformation/RAC</v>
      </c>
      <c r="C256" s="2" t="s">
        <v>255</v>
      </c>
      <c r="D256" s="3"/>
      <c r="E256" s="3"/>
      <c r="F256" s="2"/>
      <c r="G256" s="1"/>
      <c r="H256" s="1"/>
      <c r="I256" s="3"/>
      <c r="J256" s="3"/>
      <c r="K256" s="3"/>
      <c r="L256" s="1"/>
      <c r="M256" s="1"/>
      <c r="N256" s="4"/>
      <c r="O256" s="5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1" t="str">
        <f>IFERROR(__xludf.DUMMYFUNCTION("""COMPUTED_VALUE"""),"Rolls-Royce")</f>
        <v>Rolls-Royce</v>
      </c>
      <c r="B257" s="1" t="str">
        <f>IFERROR(__xludf.DUMMYFUNCTION("""COMPUTED_VALUE"""),"CompanyInformation/RRC")</f>
        <v>CompanyInformation/RRC</v>
      </c>
      <c r="C257" s="2" t="s">
        <v>256</v>
      </c>
      <c r="D257" s="3"/>
      <c r="E257" s="3"/>
      <c r="F257" s="2"/>
      <c r="G257" s="1"/>
      <c r="H257" s="1"/>
      <c r="I257" s="3"/>
      <c r="J257" s="3"/>
      <c r="K257" s="3"/>
      <c r="L257" s="1"/>
      <c r="M257" s="1"/>
      <c r="N257" s="4"/>
      <c r="O257" s="5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1" t="str">
        <f>IFERROR(__xludf.DUMMYFUNCTION("""COMPUTED_VALUE"""),"RoviSys")</f>
        <v>RoviSys</v>
      </c>
      <c r="B258" s="1" t="str">
        <f>IFERROR(__xludf.DUMMYFUNCTION("""COMPUTED_VALUE"""),"CompanyInformation/RoviSys")</f>
        <v>CompanyInformation/RoviSys</v>
      </c>
      <c r="C258" s="2" t="s">
        <v>257</v>
      </c>
      <c r="D258" s="3"/>
      <c r="E258" s="3"/>
      <c r="F258" s="2"/>
      <c r="G258" s="1"/>
      <c r="H258" s="1"/>
      <c r="I258" s="3"/>
      <c r="J258" s="3"/>
      <c r="K258" s="3"/>
      <c r="L258" s="1"/>
      <c r="M258" s="1"/>
      <c r="N258" s="4"/>
      <c r="O258" s="5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1" t="str">
        <f>IFERROR(__xludf.DUMMYFUNCTION("""COMPUTED_VALUE"""),"RS&amp;H")</f>
        <v>RS&amp;H</v>
      </c>
      <c r="B259" s="1" t="str">
        <f>IFERROR(__xludf.DUMMYFUNCTION("""COMPUTED_VALUE"""),"CompanyInformation/rsh")</f>
        <v>CompanyInformation/rsh</v>
      </c>
      <c r="C259" s="2" t="s">
        <v>258</v>
      </c>
      <c r="D259" s="3"/>
      <c r="E259" s="3"/>
      <c r="F259" s="2"/>
      <c r="G259" s="1"/>
      <c r="H259" s="1"/>
      <c r="I259" s="3"/>
      <c r="J259" s="3"/>
      <c r="K259" s="3"/>
      <c r="L259" s="1"/>
      <c r="M259" s="1"/>
      <c r="N259" s="4"/>
      <c r="O259" s="5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1" t="str">
        <f>IFERROR(__xludf.DUMMYFUNCTION("""COMPUTED_VALUE"""),"Sabra Dipping, LLC")</f>
        <v>Sabra Dipping, LLC</v>
      </c>
      <c r="B260" s="1" t="str">
        <f>IFERROR(__xludf.DUMMYFUNCTION("""COMPUTED_VALUE"""),"CompanyInformation/Sabra")</f>
        <v>CompanyInformation/Sabra</v>
      </c>
      <c r="C260" s="2" t="s">
        <v>259</v>
      </c>
      <c r="D260" s="3"/>
      <c r="E260" s="3"/>
      <c r="F260" s="2"/>
      <c r="G260" s="1"/>
      <c r="H260" s="1"/>
      <c r="I260" s="3"/>
      <c r="J260" s="3"/>
      <c r="K260" s="3"/>
      <c r="L260" s="1"/>
      <c r="M260" s="1"/>
      <c r="N260" s="4"/>
      <c r="O260" s="5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1" t="str">
        <f>IFERROR(__xludf.DUMMYFUNCTION("""COMPUTED_VALUE"""),"Savannah River Nuclear Solutions")</f>
        <v>Savannah River Nuclear Solutions</v>
      </c>
      <c r="B261" s="1" t="str">
        <f>IFERROR(__xludf.DUMMYFUNCTION("""COMPUTED_VALUE"""),"CompanyInformation/SRNS")</f>
        <v>CompanyInformation/SRNS</v>
      </c>
      <c r="C261" s="2" t="s">
        <v>260</v>
      </c>
      <c r="D261" s="3"/>
      <c r="E261" s="3"/>
      <c r="F261" s="2"/>
      <c r="G261" s="1"/>
      <c r="H261" s="1"/>
      <c r="I261" s="3"/>
      <c r="J261" s="3"/>
      <c r="K261" s="3"/>
      <c r="L261" s="1"/>
      <c r="M261" s="1"/>
      <c r="N261" s="4"/>
      <c r="O261" s="5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1" t="str">
        <f>IFERROR(__xludf.DUMMYFUNCTION("""COMPUTED_VALUE"""),"Savannah River Remediation")</f>
        <v>Savannah River Remediation</v>
      </c>
      <c r="B262" s="1" t="str">
        <f>IFERROR(__xludf.DUMMYFUNCTION("""COMPUTED_VALUE"""),"CompanyInformation/SRR")</f>
        <v>CompanyInformation/SRR</v>
      </c>
      <c r="C262" s="2" t="s">
        <v>261</v>
      </c>
      <c r="D262" s="3"/>
      <c r="E262" s="3"/>
      <c r="F262" s="2"/>
      <c r="G262" s="1"/>
      <c r="H262" s="1"/>
      <c r="I262" s="3"/>
      <c r="J262" s="3"/>
      <c r="K262" s="3"/>
      <c r="L262" s="1"/>
      <c r="M262" s="1"/>
      <c r="N262" s="4"/>
      <c r="O262" s="5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1" t="str">
        <f>IFERROR(__xludf.DUMMYFUNCTION("""COMPUTED_VALUE"""),"Sealed Air Corporation")</f>
        <v>Sealed Air Corporation</v>
      </c>
      <c r="B263" s="1" t="str">
        <f>IFERROR(__xludf.DUMMYFUNCTION("""COMPUTED_VALUE"""),"CompanyInformation/SEE")</f>
        <v>CompanyInformation/SEE</v>
      </c>
      <c r="C263" s="2" t="s">
        <v>262</v>
      </c>
      <c r="D263" s="3"/>
      <c r="E263" s="3"/>
      <c r="F263" s="2"/>
      <c r="G263" s="1"/>
      <c r="H263" s="1"/>
      <c r="I263" s="3"/>
      <c r="J263" s="3"/>
      <c r="K263" s="3"/>
      <c r="L263" s="1"/>
      <c r="M263" s="1"/>
      <c r="N263" s="4"/>
      <c r="O263" s="5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1" t="str">
        <f>IFERROR(__xludf.DUMMYFUNCTION("""COMPUTED_VALUE"""),"Segars Engineering Corporation")</f>
        <v>Segars Engineering Corporation</v>
      </c>
      <c r="B264" s="1" t="str">
        <f>IFERROR(__xludf.DUMMYFUNCTION("""COMPUTED_VALUE"""),"CompanyInformation/SEC")</f>
        <v>CompanyInformation/SEC</v>
      </c>
      <c r="C264" s="2" t="s">
        <v>263</v>
      </c>
      <c r="D264" s="3"/>
      <c r="E264" s="3"/>
      <c r="F264" s="2"/>
      <c r="G264" s="1"/>
      <c r="H264" s="1"/>
      <c r="I264" s="3"/>
      <c r="J264" s="3"/>
      <c r="K264" s="3"/>
      <c r="L264" s="1"/>
      <c r="M264" s="1"/>
      <c r="N264" s="4"/>
      <c r="O264" s="5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1" t="str">
        <f>IFERROR(__xludf.DUMMYFUNCTION("""COMPUTED_VALUE"""),"Setty &amp; Associates, Ltd. PC")</f>
        <v>Setty &amp; Associates, Ltd. PC</v>
      </c>
      <c r="B265" s="1" t="str">
        <f>IFERROR(__xludf.DUMMYFUNCTION("""COMPUTED_VALUE"""),"CompanyInformation/SETTY")</f>
        <v>CompanyInformation/SETTY</v>
      </c>
      <c r="C265" s="2" t="s">
        <v>264</v>
      </c>
      <c r="D265" s="3"/>
      <c r="E265" s="3"/>
      <c r="F265" s="2"/>
      <c r="G265" s="1"/>
      <c r="H265" s="1"/>
      <c r="I265" s="3"/>
      <c r="J265" s="3"/>
      <c r="K265" s="3"/>
      <c r="L265" s="1"/>
      <c r="M265" s="1"/>
      <c r="N265" s="4"/>
      <c r="O265" s="5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1" t="str">
        <f>IFERROR(__xludf.DUMMYFUNCTION("""COMPUTED_VALUE"""),"Sierra Nevada Corporation")</f>
        <v>Sierra Nevada Corporation</v>
      </c>
      <c r="B266" s="1" t="str">
        <f>IFERROR(__xludf.DUMMYFUNCTION("""COMPUTED_VALUE"""),"CompanyInformation/SNC")</f>
        <v>CompanyInformation/SNC</v>
      </c>
      <c r="C266" s="2" t="s">
        <v>265</v>
      </c>
      <c r="D266" s="3"/>
      <c r="E266" s="3"/>
      <c r="F266" s="2"/>
      <c r="G266" s="1"/>
      <c r="H266" s="1"/>
      <c r="I266" s="3"/>
      <c r="J266" s="3"/>
      <c r="K266" s="3"/>
      <c r="L266" s="1"/>
      <c r="M266" s="1"/>
      <c r="N266" s="4"/>
      <c r="O266" s="5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1" t="str">
        <f>IFERROR(__xludf.DUMMYFUNCTION("""COMPUTED_VALUE"""),"Simplimatic Automation")</f>
        <v>Simplimatic Automation</v>
      </c>
      <c r="B267" s="1" t="str">
        <f>IFERROR(__xludf.DUMMYFUNCTION("""COMPUTED_VALUE"""),"CompanyInformation/Simple")</f>
        <v>CompanyInformation/Simple</v>
      </c>
      <c r="C267" s="2" t="s">
        <v>266</v>
      </c>
      <c r="D267" s="3"/>
      <c r="E267" s="3"/>
      <c r="F267" s="2"/>
      <c r="G267" s="1"/>
      <c r="H267" s="1"/>
      <c r="I267" s="3"/>
      <c r="J267" s="3"/>
      <c r="K267" s="3"/>
      <c r="L267" s="1"/>
      <c r="M267" s="1"/>
      <c r="N267" s="4"/>
      <c r="O267" s="5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1" t="str">
        <f>IFERROR(__xludf.DUMMYFUNCTION("""COMPUTED_VALUE"""),"Southland Industries")</f>
        <v>Southland Industries</v>
      </c>
      <c r="B268" s="1" t="str">
        <f>IFERROR(__xludf.DUMMYFUNCTION("""COMPUTED_VALUE"""),"CompanyInformation/Southland")</f>
        <v>CompanyInformation/Southland</v>
      </c>
      <c r="C268" s="2" t="s">
        <v>267</v>
      </c>
      <c r="D268" s="3"/>
      <c r="E268" s="3"/>
      <c r="F268" s="2"/>
      <c r="G268" s="1"/>
      <c r="H268" s="1"/>
      <c r="I268" s="3"/>
      <c r="J268" s="3"/>
      <c r="K268" s="3"/>
      <c r="L268" s="1"/>
      <c r="M268" s="1"/>
      <c r="N268" s="4"/>
      <c r="O268" s="5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1" t="str">
        <f>IFERROR(__xludf.DUMMYFUNCTION("""COMPUTED_VALUE"""),"SPAWAR Systems Center Atlantic")</f>
        <v>SPAWAR Systems Center Atlantic</v>
      </c>
      <c r="B269" s="1" t="str">
        <f>IFERROR(__xludf.DUMMYFUNCTION("""COMPUTED_VALUE"""),"CompanyInformation/SPAWAR")</f>
        <v>CompanyInformation/SPAWAR</v>
      </c>
      <c r="C269" s="2" t="s">
        <v>268</v>
      </c>
      <c r="D269" s="3"/>
      <c r="E269" s="3"/>
      <c r="F269" s="2"/>
      <c r="G269" s="1"/>
      <c r="H269" s="1"/>
      <c r="I269" s="3"/>
      <c r="J269" s="3"/>
      <c r="K269" s="3"/>
      <c r="L269" s="1"/>
      <c r="M269" s="1"/>
      <c r="N269" s="4"/>
      <c r="O269" s="5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1" t="str">
        <f>IFERROR(__xludf.DUMMYFUNCTION("""COMPUTED_VALUE"""),"srcLogic")</f>
        <v>srcLogic</v>
      </c>
      <c r="B270" s="1" t="str">
        <f>IFERROR(__xludf.DUMMYFUNCTION("""COMPUTED_VALUE"""),"CompanyInformation/src")</f>
        <v>CompanyInformation/src</v>
      </c>
      <c r="C270" s="2" t="s">
        <v>269</v>
      </c>
      <c r="D270" s="3"/>
      <c r="E270" s="3"/>
      <c r="F270" s="2"/>
      <c r="G270" s="1"/>
      <c r="H270" s="1"/>
      <c r="I270" s="3"/>
      <c r="J270" s="3"/>
      <c r="K270" s="3"/>
      <c r="L270" s="1"/>
      <c r="M270" s="1"/>
      <c r="N270" s="4"/>
      <c r="O270" s="5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1" t="str">
        <f>IFERROR(__xludf.DUMMYFUNCTION("""COMPUTED_VALUE"""),"SSAB Alabama")</f>
        <v>SSAB Alabama</v>
      </c>
      <c r="B271" s="1" t="str">
        <f>IFERROR(__xludf.DUMMYFUNCTION("""COMPUTED_VALUE"""),"CompanyInformation/SSABAL")</f>
        <v>CompanyInformation/SSABAL</v>
      </c>
      <c r="C271" s="2" t="s">
        <v>270</v>
      </c>
      <c r="D271" s="3"/>
      <c r="E271" s="3"/>
      <c r="F271" s="2"/>
      <c r="G271" s="1"/>
      <c r="H271" s="1"/>
      <c r="I271" s="3"/>
      <c r="J271" s="3"/>
      <c r="K271" s="3"/>
      <c r="L271" s="1"/>
      <c r="M271" s="1"/>
      <c r="N271" s="4"/>
      <c r="O271" s="5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1" t="str">
        <f>IFERROR(__xludf.DUMMYFUNCTION("""COMPUTED_VALUE"""),"SSAB Americas")</f>
        <v>SSAB Americas</v>
      </c>
      <c r="B272" s="1" t="str">
        <f>IFERROR(__xludf.DUMMYFUNCTION("""COMPUTED_VALUE"""),"CompanyInformation/SSAB")</f>
        <v>CompanyInformation/SSAB</v>
      </c>
      <c r="C272" s="2" t="s">
        <v>271</v>
      </c>
      <c r="D272" s="3"/>
      <c r="E272" s="3"/>
      <c r="F272" s="2"/>
      <c r="G272" s="1"/>
      <c r="H272" s="1"/>
      <c r="I272" s="3"/>
      <c r="J272" s="3"/>
      <c r="K272" s="3"/>
      <c r="L272" s="1"/>
      <c r="M272" s="1"/>
      <c r="N272" s="4"/>
      <c r="O272" s="5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1" t="str">
        <f>IFERROR(__xludf.DUMMYFUNCTION("""COMPUTED_VALUE"""),"Standard Calibrations, Inc.")</f>
        <v>Standard Calibrations, Inc.</v>
      </c>
      <c r="B273" s="1" t="str">
        <f>IFERROR(__xludf.DUMMYFUNCTION("""COMPUTED_VALUE"""),"CompanyInformation/SCI")</f>
        <v>CompanyInformation/SCI</v>
      </c>
      <c r="C273" s="2" t="s">
        <v>272</v>
      </c>
      <c r="D273" s="3"/>
      <c r="E273" s="3"/>
      <c r="F273" s="2"/>
      <c r="G273" s="1"/>
      <c r="H273" s="1"/>
      <c r="I273" s="3"/>
      <c r="J273" s="3"/>
      <c r="K273" s="3"/>
      <c r="L273" s="1"/>
      <c r="M273" s="1"/>
      <c r="N273" s="4"/>
      <c r="O273" s="5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1" t="str">
        <f>IFERROR(__xludf.DUMMYFUNCTION("""COMPUTED_VALUE"""),"Steel Dynamics Inc")</f>
        <v>Steel Dynamics Inc</v>
      </c>
      <c r="B274" s="1" t="str">
        <f>IFERROR(__xludf.DUMMYFUNCTION("""COMPUTED_VALUE"""),"CompanyInformation/SDI")</f>
        <v>CompanyInformation/SDI</v>
      </c>
      <c r="C274" s="2" t="s">
        <v>273</v>
      </c>
      <c r="D274" s="3"/>
      <c r="E274" s="3"/>
      <c r="F274" s="2"/>
      <c r="G274" s="1"/>
      <c r="H274" s="1"/>
      <c r="I274" s="3"/>
      <c r="J274" s="3"/>
      <c r="K274" s="3"/>
      <c r="L274" s="1"/>
      <c r="M274" s="1"/>
      <c r="N274" s="4"/>
      <c r="O274" s="5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1" t="str">
        <f>IFERROR(__xludf.DUMMYFUNCTION("""COMPUTED_VALUE"""),"Syngenta Crop Protection LLC")</f>
        <v>Syngenta Crop Protection LLC</v>
      </c>
      <c r="B275" s="1" t="str">
        <f>IFERROR(__xludf.DUMMYFUNCTION("""COMPUTED_VALUE"""),"CompanyInformation/Syngenta")</f>
        <v>CompanyInformation/Syngenta</v>
      </c>
      <c r="C275" s="2" t="s">
        <v>274</v>
      </c>
      <c r="D275" s="3"/>
      <c r="E275" s="3"/>
      <c r="F275" s="2"/>
      <c r="G275" s="1"/>
      <c r="H275" s="1"/>
      <c r="I275" s="3"/>
      <c r="J275" s="3"/>
      <c r="K275" s="3"/>
      <c r="L275" s="1"/>
      <c r="M275" s="1"/>
      <c r="N275" s="4"/>
      <c r="O275" s="5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1" t="str">
        <f>IFERROR(__xludf.DUMMYFUNCTION("""COMPUTED_VALUE"""),"Systems Engineering Group")</f>
        <v>Systems Engineering Group</v>
      </c>
      <c r="B276" s="1" t="str">
        <f>IFERROR(__xludf.DUMMYFUNCTION("""COMPUTED_VALUE"""),"CompanyInformation/SEG")</f>
        <v>CompanyInformation/SEG</v>
      </c>
      <c r="C276" s="2" t="s">
        <v>275</v>
      </c>
      <c r="D276" s="3"/>
      <c r="E276" s="3"/>
      <c r="F276" s="2"/>
      <c r="G276" s="1"/>
      <c r="H276" s="1"/>
      <c r="I276" s="3"/>
      <c r="J276" s="3"/>
      <c r="K276" s="3"/>
      <c r="L276" s="1"/>
      <c r="M276" s="1"/>
      <c r="N276" s="4"/>
      <c r="O276" s="5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1" t="str">
        <f>IFERROR(__xludf.DUMMYFUNCTION("""COMPUTED_VALUE"""),"TE Connectivity")</f>
        <v>TE Connectivity</v>
      </c>
      <c r="B277" s="1" t="str">
        <f>IFERROR(__xludf.DUMMYFUNCTION("""COMPUTED_VALUE"""),"CompanyInformation/TECONN")</f>
        <v>CompanyInformation/TECONN</v>
      </c>
      <c r="C277" s="2" t="s">
        <v>276</v>
      </c>
      <c r="D277" s="3"/>
      <c r="E277" s="3"/>
      <c r="F277" s="2"/>
      <c r="G277" s="1"/>
      <c r="H277" s="1"/>
      <c r="I277" s="3"/>
      <c r="J277" s="3"/>
      <c r="K277" s="3"/>
      <c r="L277" s="1"/>
      <c r="M277" s="1"/>
      <c r="N277" s="4"/>
      <c r="O277" s="5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1" t="str">
        <f>IFERROR(__xludf.DUMMYFUNCTION("""COMPUTED_VALUE"""),"Technomics")</f>
        <v>Technomics</v>
      </c>
      <c r="B278" s="1" t="str">
        <f>IFERROR(__xludf.DUMMYFUNCTION("""COMPUTED_VALUE"""),"CompanyInformation/Technomics")</f>
        <v>CompanyInformation/Technomics</v>
      </c>
      <c r="C278" s="2" t="s">
        <v>277</v>
      </c>
      <c r="D278" s="3"/>
      <c r="E278" s="3"/>
      <c r="F278" s="2"/>
      <c r="G278" s="1"/>
      <c r="H278" s="1"/>
      <c r="I278" s="3"/>
      <c r="J278" s="3"/>
      <c r="K278" s="3"/>
      <c r="L278" s="1"/>
      <c r="M278" s="1"/>
      <c r="N278" s="4"/>
      <c r="O278" s="5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1" t="str">
        <f>IFERROR(__xludf.DUMMYFUNCTION("""COMPUTED_VALUE"""),"Tensley Consulting Inc.")</f>
        <v>Tensley Consulting Inc.</v>
      </c>
      <c r="B279" s="1" t="str">
        <f>IFERROR(__xludf.DUMMYFUNCTION("""COMPUTED_VALUE"""),"CompanyInformation/Tensley")</f>
        <v>CompanyInformation/Tensley</v>
      </c>
      <c r="C279" s="2" t="s">
        <v>278</v>
      </c>
      <c r="D279" s="3"/>
      <c r="E279" s="3"/>
      <c r="F279" s="2"/>
      <c r="G279" s="1"/>
      <c r="H279" s="1"/>
      <c r="I279" s="3"/>
      <c r="J279" s="3"/>
      <c r="K279" s="3"/>
      <c r="L279" s="1"/>
      <c r="M279" s="1"/>
      <c r="N279" s="4"/>
      <c r="O279" s="5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1" t="str">
        <f>IFERROR(__xludf.DUMMYFUNCTION("""COMPUTED_VALUE"""),"Texas Instruments")</f>
        <v>Texas Instruments</v>
      </c>
      <c r="B280" s="1" t="str">
        <f>IFERROR(__xludf.DUMMYFUNCTION("""COMPUTED_VALUE"""),"CompanyInformation/Texas")</f>
        <v>CompanyInformation/Texas</v>
      </c>
      <c r="C280" s="2" t="s">
        <v>279</v>
      </c>
      <c r="D280" s="3"/>
      <c r="E280" s="3"/>
      <c r="F280" s="2"/>
      <c r="G280" s="1"/>
      <c r="H280" s="1"/>
      <c r="I280" s="3"/>
      <c r="J280" s="3"/>
      <c r="K280" s="3"/>
      <c r="L280" s="1"/>
      <c r="M280" s="1"/>
      <c r="N280" s="4"/>
      <c r="O280" s="5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1" t="str">
        <f>IFERROR(__xludf.DUMMYFUNCTION("""COMPUTED_VALUE"""),"Textron Inc.")</f>
        <v>Textron Inc.</v>
      </c>
      <c r="B281" s="1" t="str">
        <f>IFERROR(__xludf.DUMMYFUNCTION("""COMPUTED_VALUE"""),"CompanyInformation/Textron")</f>
        <v>CompanyInformation/Textron</v>
      </c>
      <c r="C281" s="2" t="s">
        <v>280</v>
      </c>
      <c r="D281" s="3"/>
      <c r="E281" s="3"/>
      <c r="F281" s="2"/>
      <c r="G281" s="1"/>
      <c r="H281" s="1"/>
      <c r="I281" s="3"/>
      <c r="J281" s="3"/>
      <c r="K281" s="3"/>
      <c r="L281" s="1"/>
      <c r="M281" s="1"/>
      <c r="N281" s="4"/>
      <c r="O281" s="5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1" t="str">
        <f>IFERROR(__xludf.DUMMYFUNCTION("""COMPUTED_VALUE"""),"Thales Defense &amp; Security Inc.")</f>
        <v>Thales Defense &amp; Security Inc.</v>
      </c>
      <c r="B282" s="1" t="str">
        <f>IFERROR(__xludf.DUMMYFUNCTION("""COMPUTED_VALUE"""),"CompanyInformation/TDSI")</f>
        <v>CompanyInformation/TDSI</v>
      </c>
      <c r="C282" s="2" t="s">
        <v>281</v>
      </c>
      <c r="D282" s="3"/>
      <c r="E282" s="3"/>
      <c r="F282" s="2"/>
      <c r="G282" s="1"/>
      <c r="H282" s="1"/>
      <c r="I282" s="3"/>
      <c r="J282" s="3"/>
      <c r="K282" s="3"/>
      <c r="L282" s="1"/>
      <c r="M282" s="1"/>
      <c r="N282" s="4"/>
      <c r="O282" s="5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1" t="str">
        <f>IFERROR(__xludf.DUMMYFUNCTION("""COMPUTED_VALUE"""),"The Clorox Company")</f>
        <v>The Clorox Company</v>
      </c>
      <c r="B283" s="1" t="str">
        <f>IFERROR(__xludf.DUMMYFUNCTION("""COMPUTED_VALUE"""),"CompanyInformation/CLX")</f>
        <v>CompanyInformation/CLX</v>
      </c>
      <c r="C283" s="2" t="s">
        <v>282</v>
      </c>
      <c r="D283" s="3"/>
      <c r="E283" s="3"/>
      <c r="F283" s="2"/>
      <c r="G283" s="1"/>
      <c r="H283" s="1"/>
      <c r="I283" s="3"/>
      <c r="J283" s="3"/>
      <c r="K283" s="3"/>
      <c r="L283" s="1"/>
      <c r="M283" s="1"/>
      <c r="N283" s="4"/>
      <c r="O283" s="5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1" t="str">
        <f>IFERROR(__xludf.DUMMYFUNCTION("""COMPUTED_VALUE"""),"The Haskell Company")</f>
        <v>The Haskell Company</v>
      </c>
      <c r="B284" s="1" t="str">
        <f>IFERROR(__xludf.DUMMYFUNCTION("""COMPUTED_VALUE"""),"CompanyInformation/HASKELL")</f>
        <v>CompanyInformation/HASKELL</v>
      </c>
      <c r="C284" s="2" t="s">
        <v>283</v>
      </c>
      <c r="D284" s="3"/>
      <c r="E284" s="3"/>
      <c r="F284" s="2"/>
      <c r="G284" s="1"/>
      <c r="H284" s="1"/>
      <c r="I284" s="3"/>
      <c r="J284" s="3"/>
      <c r="K284" s="3"/>
      <c r="L284" s="1"/>
      <c r="M284" s="1"/>
      <c r="N284" s="4"/>
      <c r="O284" s="5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1" t="str">
        <f>IFERROR(__xludf.DUMMYFUNCTION("""COMPUTED_VALUE"""),"The Missile Defense Agency")</f>
        <v>The Missile Defense Agency</v>
      </c>
      <c r="B285" s="1" t="str">
        <f>IFERROR(__xludf.DUMMYFUNCTION("""COMPUTED_VALUE"""),"CompanyInformation/MDA")</f>
        <v>CompanyInformation/MDA</v>
      </c>
      <c r="C285" s="2" t="s">
        <v>284</v>
      </c>
      <c r="D285" s="3"/>
      <c r="E285" s="3"/>
      <c r="F285" s="2"/>
      <c r="G285" s="1"/>
      <c r="H285" s="1"/>
      <c r="I285" s="3"/>
      <c r="J285" s="3"/>
      <c r="K285" s="3"/>
      <c r="L285" s="1"/>
      <c r="M285" s="1"/>
      <c r="N285" s="4"/>
      <c r="O285" s="5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1" t="str">
        <f>IFERROR(__xludf.DUMMYFUNCTION("""COMPUTED_VALUE"""),"The Mosaic Company")</f>
        <v>The Mosaic Company</v>
      </c>
      <c r="B286" s="1" t="str">
        <f>IFERROR(__xludf.DUMMYFUNCTION("""COMPUTED_VALUE"""),"CompanyInformation/Mosaic")</f>
        <v>CompanyInformation/Mosaic</v>
      </c>
      <c r="C286" s="2" t="s">
        <v>285</v>
      </c>
      <c r="D286" s="3"/>
      <c r="E286" s="3"/>
      <c r="F286" s="2"/>
      <c r="G286" s="1"/>
      <c r="H286" s="1"/>
      <c r="I286" s="3"/>
      <c r="J286" s="3"/>
      <c r="K286" s="3"/>
      <c r="L286" s="1"/>
      <c r="M286" s="1"/>
      <c r="N286" s="4"/>
      <c r="O286" s="5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1" t="str">
        <f>IFERROR(__xludf.DUMMYFUNCTION("""COMPUTED_VALUE"""),"Thermo Systems LLC")</f>
        <v>Thermo Systems LLC</v>
      </c>
      <c r="B287" s="1" t="str">
        <f>IFERROR(__xludf.DUMMYFUNCTION("""COMPUTED_VALUE"""),"CompanyInformation/Thermo")</f>
        <v>CompanyInformation/Thermo</v>
      </c>
      <c r="C287" s="2" t="s">
        <v>286</v>
      </c>
      <c r="D287" s="3"/>
      <c r="E287" s="3"/>
      <c r="F287" s="2"/>
      <c r="G287" s="1"/>
      <c r="H287" s="1"/>
      <c r="I287" s="3"/>
      <c r="J287" s="3"/>
      <c r="K287" s="3"/>
      <c r="L287" s="1"/>
      <c r="M287" s="1"/>
      <c r="N287" s="4"/>
      <c r="O287" s="5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1" t="str">
        <f>IFERROR(__xludf.DUMMYFUNCTION("""COMPUTED_VALUE"""),"Thompson &amp; Litton")</f>
        <v>Thompson &amp; Litton</v>
      </c>
      <c r="B288" s="1" t="str">
        <f>IFERROR(__xludf.DUMMYFUNCTION("""COMPUTED_VALUE"""),"CompanyInformation/Thomp")</f>
        <v>CompanyInformation/Thomp</v>
      </c>
      <c r="C288" s="2" t="s">
        <v>287</v>
      </c>
      <c r="D288" s="3"/>
      <c r="E288" s="3"/>
      <c r="F288" s="2"/>
      <c r="G288" s="1"/>
      <c r="H288" s="1"/>
      <c r="I288" s="3"/>
      <c r="J288" s="3"/>
      <c r="K288" s="3"/>
      <c r="L288" s="1"/>
      <c r="M288" s="1"/>
      <c r="N288" s="4"/>
      <c r="O288" s="5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1" t="str">
        <f>IFERROR(__xludf.DUMMYFUNCTION("""COMPUTED_VALUE"""),"Titan America")</f>
        <v>Titan America</v>
      </c>
      <c r="B289" s="1" t="str">
        <f>IFERROR(__xludf.DUMMYFUNCTION("""COMPUTED_VALUE"""),"CompanyInformation/Titan")</f>
        <v>CompanyInformation/Titan</v>
      </c>
      <c r="C289" s="2" t="s">
        <v>288</v>
      </c>
      <c r="D289" s="3"/>
      <c r="E289" s="3"/>
      <c r="F289" s="2"/>
      <c r="G289" s="1"/>
      <c r="H289" s="1"/>
      <c r="I289" s="3"/>
      <c r="J289" s="3"/>
      <c r="K289" s="3"/>
      <c r="L289" s="1"/>
      <c r="M289" s="1"/>
      <c r="N289" s="4"/>
      <c r="O289" s="5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1" t="str">
        <f>IFERROR(__xludf.DUMMYFUNCTION("""COMPUTED_VALUE"""),"TMEIC Corporation")</f>
        <v>TMEIC Corporation</v>
      </c>
      <c r="B290" s="1" t="str">
        <f>IFERROR(__xludf.DUMMYFUNCTION("""COMPUTED_VALUE"""),"CompanyInformation/TMEIC")</f>
        <v>CompanyInformation/TMEIC</v>
      </c>
      <c r="C290" s="2" t="s">
        <v>289</v>
      </c>
      <c r="D290" s="3"/>
      <c r="E290" s="3"/>
      <c r="F290" s="2"/>
      <c r="G290" s="1"/>
      <c r="H290" s="1"/>
      <c r="I290" s="3"/>
      <c r="J290" s="3"/>
      <c r="K290" s="3"/>
      <c r="L290" s="1"/>
      <c r="M290" s="1"/>
      <c r="N290" s="4"/>
      <c r="O290" s="5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1" t="str">
        <f>IFERROR(__xludf.DUMMYFUNCTION("""COMPUTED_VALUE"""),"Torc Robotics")</f>
        <v>Torc Robotics</v>
      </c>
      <c r="B291" s="1" t="str">
        <f>IFERROR(__xludf.DUMMYFUNCTION("""COMPUTED_VALUE"""),"CompanyInformation/Torc")</f>
        <v>CompanyInformation/Torc</v>
      </c>
      <c r="C291" s="2" t="s">
        <v>290</v>
      </c>
      <c r="D291" s="3"/>
      <c r="E291" s="3"/>
      <c r="F291" s="2"/>
      <c r="G291" s="1"/>
      <c r="H291" s="1"/>
      <c r="I291" s="3"/>
      <c r="J291" s="3"/>
      <c r="K291" s="3"/>
      <c r="L291" s="1"/>
      <c r="M291" s="1"/>
      <c r="N291" s="4"/>
      <c r="O291" s="5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1" t="str">
        <f>IFERROR(__xludf.DUMMYFUNCTION("""COMPUTED_VALUE"""),"Toyota Racing Development, USA, INC")</f>
        <v>Toyota Racing Development, USA, INC</v>
      </c>
      <c r="B292" s="1" t="str">
        <f>IFERROR(__xludf.DUMMYFUNCTION("""COMPUTED_VALUE"""),"CompanyInformation/TRD")</f>
        <v>CompanyInformation/TRD</v>
      </c>
      <c r="C292" s="2" t="s">
        <v>291</v>
      </c>
      <c r="D292" s="3"/>
      <c r="E292" s="3"/>
      <c r="F292" s="2"/>
      <c r="G292" s="1"/>
      <c r="H292" s="1"/>
      <c r="I292" s="3"/>
      <c r="J292" s="3"/>
      <c r="K292" s="3"/>
      <c r="L292" s="1"/>
      <c r="M292" s="1"/>
      <c r="N292" s="4"/>
      <c r="O292" s="5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1" t="str">
        <f>IFERROR(__xludf.DUMMYFUNCTION("""COMPUTED_VALUE"""),"Triad Systems Engineering, Inc.")</f>
        <v>Triad Systems Engineering, Inc.</v>
      </c>
      <c r="B293" s="1" t="str">
        <f>IFERROR(__xludf.DUMMYFUNCTION("""COMPUTED_VALUE"""),"CompanyInformation/TSE2018")</f>
        <v>CompanyInformation/TSE2018</v>
      </c>
      <c r="C293" s="2" t="s">
        <v>292</v>
      </c>
      <c r="D293" s="3"/>
      <c r="E293" s="3"/>
      <c r="F293" s="2"/>
      <c r="G293" s="1"/>
      <c r="H293" s="1"/>
      <c r="I293" s="3"/>
      <c r="J293" s="3"/>
      <c r="K293" s="3"/>
      <c r="L293" s="1"/>
      <c r="M293" s="1"/>
      <c r="N293" s="4"/>
      <c r="O293" s="5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1" t="str">
        <f>IFERROR(__xludf.DUMMYFUNCTION("""COMPUTED_VALUE"""),"Trinity Manufacturing, Inc.")</f>
        <v>Trinity Manufacturing, Inc.</v>
      </c>
      <c r="B294" s="1" t="str">
        <f>IFERROR(__xludf.DUMMYFUNCTION("""COMPUTED_VALUE"""),"CompanyInformation/TrinityMfg")</f>
        <v>CompanyInformation/TrinityMfg</v>
      </c>
      <c r="C294" s="2" t="s">
        <v>293</v>
      </c>
      <c r="D294" s="3"/>
      <c r="E294" s="3"/>
      <c r="F294" s="2"/>
      <c r="G294" s="1"/>
      <c r="H294" s="1"/>
      <c r="I294" s="3"/>
      <c r="J294" s="3"/>
      <c r="K294" s="3"/>
      <c r="L294" s="1"/>
      <c r="M294" s="1"/>
      <c r="N294" s="4"/>
      <c r="O294" s="5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1" t="str">
        <f>IFERROR(__xludf.DUMMYFUNCTION("""COMPUTED_VALUE"""),"Tri-State/Service Group")</f>
        <v>Tri-State/Service Group</v>
      </c>
      <c r="B295" s="1" t="str">
        <f>IFERROR(__xludf.DUMMYFUNCTION("""COMPUTED_VALUE"""),"CompanyInformation/TSRSM")</f>
        <v>CompanyInformation/TSRSM</v>
      </c>
      <c r="C295" s="2" t="s">
        <v>294</v>
      </c>
      <c r="D295" s="3"/>
      <c r="E295" s="3"/>
      <c r="F295" s="2"/>
      <c r="G295" s="1"/>
      <c r="H295" s="1"/>
      <c r="I295" s="3"/>
      <c r="J295" s="3"/>
      <c r="K295" s="3"/>
      <c r="L295" s="1"/>
      <c r="M295" s="1"/>
      <c r="N295" s="4"/>
      <c r="O295" s="5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1" t="str">
        <f>IFERROR(__xludf.DUMMYFUNCTION("""COMPUTED_VALUE"""),"TTI Floor Care")</f>
        <v>TTI Floor Care</v>
      </c>
      <c r="B296" s="1" t="str">
        <f>IFERROR(__xludf.DUMMYFUNCTION("""COMPUTED_VALUE"""),"CompanyInformation/TTIFC")</f>
        <v>CompanyInformation/TTIFC</v>
      </c>
      <c r="C296" s="2" t="s">
        <v>295</v>
      </c>
      <c r="D296" s="3"/>
      <c r="E296" s="3"/>
      <c r="F296" s="2"/>
      <c r="G296" s="1"/>
      <c r="H296" s="1"/>
      <c r="I296" s="3"/>
      <c r="J296" s="3"/>
      <c r="K296" s="3"/>
      <c r="L296" s="1"/>
      <c r="M296" s="1"/>
      <c r="N296" s="4"/>
      <c r="O296" s="5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1" t="str">
        <f>IFERROR(__xludf.DUMMYFUNCTION("""COMPUTED_VALUE"""),"TTM Technologies")</f>
        <v>TTM Technologies</v>
      </c>
      <c r="B297" s="1" t="str">
        <f>IFERROR(__xludf.DUMMYFUNCTION("""COMPUTED_VALUE"""),"CompanyInformation/TTM")</f>
        <v>CompanyInformation/TTM</v>
      </c>
      <c r="C297" s="2" t="s">
        <v>296</v>
      </c>
      <c r="D297" s="3"/>
      <c r="E297" s="3"/>
      <c r="F297" s="2"/>
      <c r="G297" s="1"/>
      <c r="H297" s="1"/>
      <c r="I297" s="3"/>
      <c r="J297" s="3"/>
      <c r="K297" s="3"/>
      <c r="L297" s="1"/>
      <c r="M297" s="1"/>
      <c r="N297" s="4"/>
      <c r="O297" s="5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1" t="str">
        <f>IFERROR(__xludf.DUMMYFUNCTION("""COMPUTED_VALUE"""),"U.S. Army Corps of Engineers, Huntington District")</f>
        <v>U.S. Army Corps of Engineers, Huntington District</v>
      </c>
      <c r="B298" s="1" t="str">
        <f>IFERROR(__xludf.DUMMYFUNCTION("""COMPUTED_VALUE"""),"CompanyInformation/USACE")</f>
        <v>CompanyInformation/USACE</v>
      </c>
      <c r="C298" s="2" t="s">
        <v>297</v>
      </c>
      <c r="D298" s="3"/>
      <c r="E298" s="3"/>
      <c r="F298" s="2"/>
      <c r="G298" s="1"/>
      <c r="H298" s="1"/>
      <c r="I298" s="3"/>
      <c r="J298" s="3"/>
      <c r="K298" s="3"/>
      <c r="L298" s="1"/>
      <c r="M298" s="1"/>
      <c r="N298" s="4"/>
      <c r="O298" s="5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1" t="str">
        <f>IFERROR(__xludf.DUMMYFUNCTION("""COMPUTED_VALUE"""),"U.S. Army Corps of Engineers, Middle East District")</f>
        <v>U.S. Army Corps of Engineers, Middle East District</v>
      </c>
      <c r="B299" s="1" t="str">
        <f>IFERROR(__xludf.DUMMYFUNCTION("""COMPUTED_VALUE"""),"CompanyInformation/USACEMED")</f>
        <v>CompanyInformation/USACEMED</v>
      </c>
      <c r="C299" s="2" t="s">
        <v>298</v>
      </c>
      <c r="D299" s="3"/>
      <c r="E299" s="3"/>
      <c r="F299" s="2"/>
      <c r="G299" s="1"/>
      <c r="H299" s="1"/>
      <c r="I299" s="3"/>
      <c r="J299" s="3"/>
      <c r="K299" s="3"/>
      <c r="L299" s="1"/>
      <c r="M299" s="1"/>
      <c r="N299" s="4"/>
      <c r="O299" s="5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1" t="str">
        <f>IFERROR(__xludf.DUMMYFUNCTION("""COMPUTED_VALUE"""),"U.S. Naval Research Laboratory")</f>
        <v>U.S. Naval Research Laboratory</v>
      </c>
      <c r="B300" s="1" t="str">
        <f>IFERROR(__xludf.DUMMYFUNCTION("""COMPUTED_VALUE"""),"CompanyInformation/NRL")</f>
        <v>CompanyInformation/NRL</v>
      </c>
      <c r="C300" s="2" t="s">
        <v>299</v>
      </c>
      <c r="D300" s="3"/>
      <c r="E300" s="3"/>
      <c r="F300" s="2"/>
      <c r="G300" s="1"/>
      <c r="H300" s="1"/>
      <c r="I300" s="3"/>
      <c r="J300" s="3"/>
      <c r="K300" s="3"/>
      <c r="L300" s="1"/>
      <c r="M300" s="1"/>
      <c r="N300" s="4"/>
      <c r="O300" s="5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1" t="str">
        <f>IFERROR(__xludf.DUMMYFUNCTION("""COMPUTED_VALUE"""),"U.S. Navy Strategic Systems Programs")</f>
        <v>U.S. Navy Strategic Systems Programs</v>
      </c>
      <c r="B301" s="1" t="str">
        <f>IFERROR(__xludf.DUMMYFUNCTION("""COMPUTED_VALUE"""),"CompanyInformation/SSP")</f>
        <v>CompanyInformation/SSP</v>
      </c>
      <c r="C301" s="2" t="s">
        <v>300</v>
      </c>
      <c r="D301" s="3"/>
      <c r="E301" s="3"/>
      <c r="F301" s="2"/>
      <c r="G301" s="1"/>
      <c r="H301" s="1"/>
      <c r="I301" s="3"/>
      <c r="J301" s="3"/>
      <c r="K301" s="3"/>
      <c r="L301" s="1"/>
      <c r="M301" s="1"/>
      <c r="N301" s="4"/>
      <c r="O301" s="5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1" t="str">
        <f>IFERROR(__xludf.DUMMYFUNCTION("""COMPUTED_VALUE"""),"Ulliman Schutte Construction")</f>
        <v>Ulliman Schutte Construction</v>
      </c>
      <c r="B302" s="1" t="str">
        <f>IFERROR(__xludf.DUMMYFUNCTION("""COMPUTED_VALUE"""),"CompanyInformation/USC")</f>
        <v>CompanyInformation/USC</v>
      </c>
      <c r="C302" s="2" t="s">
        <v>301</v>
      </c>
      <c r="D302" s="3"/>
      <c r="E302" s="3"/>
      <c r="F302" s="2"/>
      <c r="G302" s="1"/>
      <c r="H302" s="1"/>
      <c r="I302" s="3"/>
      <c r="J302" s="3"/>
      <c r="K302" s="3"/>
      <c r="L302" s="1"/>
      <c r="M302" s="1"/>
      <c r="N302" s="4"/>
      <c r="O302" s="5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1" t="str">
        <f>IFERROR(__xludf.DUMMYFUNCTION("""COMPUTED_VALUE"""),"Unifi Manufacturing Inc")</f>
        <v>Unifi Manufacturing Inc</v>
      </c>
      <c r="B303" s="1" t="str">
        <f>IFERROR(__xludf.DUMMYFUNCTION("""COMPUTED_VALUE"""),"CompanyInformation/Unifi")</f>
        <v>CompanyInformation/Unifi</v>
      </c>
      <c r="C303" s="2" t="s">
        <v>302</v>
      </c>
      <c r="D303" s="3"/>
      <c r="E303" s="3"/>
      <c r="F303" s="2"/>
      <c r="G303" s="1"/>
      <c r="H303" s="1"/>
      <c r="I303" s="3"/>
      <c r="J303" s="3"/>
      <c r="K303" s="3"/>
      <c r="L303" s="1"/>
      <c r="M303" s="1"/>
      <c r="N303" s="4"/>
      <c r="O303" s="5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1" t="str">
        <f>IFERROR(__xludf.DUMMYFUNCTION("""COMPUTED_VALUE"""),"United Parcel Service")</f>
        <v>United Parcel Service</v>
      </c>
      <c r="B304" s="1" t="str">
        <f>IFERROR(__xludf.DUMMYFUNCTION("""COMPUTED_VALUE"""),"CompanyInformation/UPS")</f>
        <v>CompanyInformation/UPS</v>
      </c>
      <c r="C304" s="2" t="s">
        <v>303</v>
      </c>
      <c r="D304" s="3"/>
      <c r="E304" s="3"/>
      <c r="F304" s="2"/>
      <c r="G304" s="1"/>
      <c r="H304" s="1"/>
      <c r="I304" s="3"/>
      <c r="J304" s="3"/>
      <c r="K304" s="3"/>
      <c r="L304" s="1"/>
      <c r="M304" s="1"/>
      <c r="N304" s="4"/>
      <c r="O304" s="5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1" t="str">
        <f>IFERROR(__xludf.DUMMYFUNCTION("""COMPUTED_VALUE"""),"United States Postal Service")</f>
        <v>United States Postal Service</v>
      </c>
      <c r="B305" s="1" t="str">
        <f>IFERROR(__xludf.DUMMYFUNCTION("""COMPUTED_VALUE"""),"CompanyInformation/USPS")</f>
        <v>CompanyInformation/USPS</v>
      </c>
      <c r="C305" s="2" t="s">
        <v>304</v>
      </c>
      <c r="D305" s="3"/>
      <c r="E305" s="3"/>
      <c r="F305" s="2"/>
      <c r="G305" s="1"/>
      <c r="H305" s="1"/>
      <c r="I305" s="3"/>
      <c r="J305" s="3"/>
      <c r="K305" s="3"/>
      <c r="L305" s="1"/>
      <c r="M305" s="1"/>
      <c r="N305" s="4"/>
      <c r="O305" s="5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1" t="str">
        <f>IFERROR(__xludf.DUMMYFUNCTION("""COMPUTED_VALUE"""),"United Technologies/Pratt &amp; Whitney")</f>
        <v>United Technologies/Pratt &amp; Whitney</v>
      </c>
      <c r="B306" s="1" t="str">
        <f>IFERROR(__xludf.DUMMYFUNCTION("""COMPUTED_VALUE"""),"CompanyInformation/UTC")</f>
        <v>CompanyInformation/UTC</v>
      </c>
      <c r="C306" s="2" t="s">
        <v>305</v>
      </c>
      <c r="D306" s="3"/>
      <c r="E306" s="3"/>
      <c r="F306" s="2"/>
      <c r="G306" s="1"/>
      <c r="H306" s="1"/>
      <c r="I306" s="3"/>
      <c r="J306" s="3"/>
      <c r="K306" s="3"/>
      <c r="L306" s="1"/>
      <c r="M306" s="1"/>
      <c r="N306" s="4"/>
      <c r="O306" s="5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1" t="str">
        <f>IFERROR(__xludf.DUMMYFUNCTION("""COMPUTED_VALUE"""),"US Army")</f>
        <v>US Army</v>
      </c>
      <c r="B307" s="1" t="str">
        <f>IFERROR(__xludf.DUMMYFUNCTION("""COMPUTED_VALUE"""),"CompanyInformation/AMEDD")</f>
        <v>CompanyInformation/AMEDD</v>
      </c>
      <c r="C307" s="2" t="s">
        <v>306</v>
      </c>
      <c r="D307" s="3"/>
      <c r="E307" s="3"/>
      <c r="F307" s="2"/>
      <c r="G307" s="1"/>
      <c r="H307" s="1"/>
      <c r="I307" s="3"/>
      <c r="J307" s="3"/>
      <c r="K307" s="3"/>
      <c r="L307" s="1"/>
      <c r="M307" s="1"/>
      <c r="N307" s="4"/>
      <c r="O307" s="5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1" t="str">
        <f>IFERROR(__xludf.DUMMYFUNCTION("""COMPUTED_VALUE"""),"US Navy Engineering")</f>
        <v>US Navy Engineering</v>
      </c>
      <c r="B308" s="1" t="str">
        <f>IFERROR(__xludf.DUMMYFUNCTION("""COMPUTED_VALUE"""),"CompanyInformation/USNAVY")</f>
        <v>CompanyInformation/USNAVY</v>
      </c>
      <c r="C308" s="2" t="s">
        <v>307</v>
      </c>
      <c r="D308" s="3"/>
      <c r="E308" s="3"/>
      <c r="F308" s="2"/>
      <c r="G308" s="1"/>
      <c r="H308" s="1"/>
      <c r="I308" s="3"/>
      <c r="J308" s="3"/>
      <c r="K308" s="3"/>
      <c r="L308" s="1"/>
      <c r="M308" s="1"/>
      <c r="N308" s="4"/>
      <c r="O308" s="5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1" t="str">
        <f>IFERROR(__xludf.DUMMYFUNCTION("""COMPUTED_VALUE"""),"US Patent and Trade Office")</f>
        <v>US Patent and Trade Office</v>
      </c>
      <c r="B309" s="1" t="str">
        <f>IFERROR(__xludf.DUMMYFUNCTION("""COMPUTED_VALUE"""),"CompanyInformation/USPTO")</f>
        <v>CompanyInformation/USPTO</v>
      </c>
      <c r="C309" s="2" t="s">
        <v>308</v>
      </c>
      <c r="D309" s="3"/>
      <c r="E309" s="3"/>
      <c r="F309" s="2"/>
      <c r="G309" s="1"/>
      <c r="H309" s="1"/>
      <c r="I309" s="3"/>
      <c r="J309" s="3"/>
      <c r="K309" s="3"/>
      <c r="L309" s="1"/>
      <c r="M309" s="1"/>
      <c r="N309" s="4"/>
      <c r="O309" s="5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1" t="str">
        <f>IFERROR(__xludf.DUMMYFUNCTION("""COMPUTED_VALUE"""),"UTC Aerospace Systems")</f>
        <v>UTC Aerospace Systems</v>
      </c>
      <c r="B310" s="1" t="str">
        <f>IFERROR(__xludf.DUMMYFUNCTION("""COMPUTED_VALUE"""),"CompanyInformation/UTAS")</f>
        <v>CompanyInformation/UTAS</v>
      </c>
      <c r="C310" s="2" t="s">
        <v>309</v>
      </c>
      <c r="D310" s="3"/>
      <c r="E310" s="3"/>
      <c r="F310" s="2"/>
      <c r="G310" s="1"/>
      <c r="H310" s="1"/>
      <c r="I310" s="3"/>
      <c r="J310" s="3"/>
      <c r="K310" s="3"/>
      <c r="L310" s="1"/>
      <c r="M310" s="1"/>
      <c r="N310" s="4"/>
      <c r="O310" s="5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1" t="str">
        <f>IFERROR(__xludf.DUMMYFUNCTION("""COMPUTED_VALUE"""),"Vadum Inc")</f>
        <v>Vadum Inc</v>
      </c>
      <c r="B311" s="1" t="str">
        <f>IFERROR(__xludf.DUMMYFUNCTION("""COMPUTED_VALUE"""),"CompanyInformation/Vadum")</f>
        <v>CompanyInformation/Vadum</v>
      </c>
      <c r="C311" s="2" t="s">
        <v>310</v>
      </c>
      <c r="D311" s="3"/>
      <c r="E311" s="3"/>
      <c r="F311" s="2"/>
      <c r="G311" s="1"/>
      <c r="H311" s="1"/>
      <c r="I311" s="3"/>
      <c r="J311" s="3"/>
      <c r="K311" s="3"/>
      <c r="L311" s="1"/>
      <c r="M311" s="1"/>
      <c r="N311" s="4"/>
      <c r="O311" s="5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1" t="str">
        <f>IFERROR(__xludf.DUMMYFUNCTION("""COMPUTED_VALUE"""),"Viasat, Inc")</f>
        <v>Viasat, Inc</v>
      </c>
      <c r="B312" s="1" t="str">
        <f>IFERROR(__xludf.DUMMYFUNCTION("""COMPUTED_VALUE"""),"CompanyInformation/Viasat")</f>
        <v>CompanyInformation/Viasat</v>
      </c>
      <c r="C312" s="2" t="s">
        <v>311</v>
      </c>
      <c r="D312" s="3"/>
      <c r="E312" s="3"/>
      <c r="F312" s="2"/>
      <c r="G312" s="1"/>
      <c r="H312" s="1"/>
      <c r="I312" s="3"/>
      <c r="J312" s="3"/>
      <c r="K312" s="3"/>
      <c r="L312" s="1"/>
      <c r="M312" s="1"/>
      <c r="N312" s="4"/>
      <c r="O312" s="5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1" t="str">
        <f>IFERROR(__xludf.DUMMYFUNCTION("""COMPUTED_VALUE"""),"Viavi Solutions")</f>
        <v>Viavi Solutions</v>
      </c>
      <c r="B313" s="1" t="str">
        <f>IFERROR(__xludf.DUMMYFUNCTION("""COMPUTED_VALUE"""),"CompanyInformation/Viavi")</f>
        <v>CompanyInformation/Viavi</v>
      </c>
      <c r="C313" s="2" t="s">
        <v>312</v>
      </c>
      <c r="D313" s="3"/>
      <c r="E313" s="3"/>
      <c r="F313" s="2"/>
      <c r="G313" s="1"/>
      <c r="H313" s="1"/>
      <c r="I313" s="3"/>
      <c r="J313" s="3"/>
      <c r="K313" s="3"/>
      <c r="L313" s="1"/>
      <c r="M313" s="1"/>
      <c r="N313" s="4"/>
      <c r="O313" s="5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1" t="str">
        <f>IFERROR(__xludf.DUMMYFUNCTION("""COMPUTED_VALUE"""),"Virginia Department of Transportation")</f>
        <v>Virginia Department of Transportation</v>
      </c>
      <c r="B314" s="1" t="str">
        <f>IFERROR(__xludf.DUMMYFUNCTION("""COMPUTED_VALUE"""),"CompanyInformation/VDOT")</f>
        <v>CompanyInformation/VDOT</v>
      </c>
      <c r="C314" s="2" t="s">
        <v>313</v>
      </c>
      <c r="D314" s="3"/>
      <c r="E314" s="3"/>
      <c r="F314" s="2"/>
      <c r="G314" s="1"/>
      <c r="H314" s="1"/>
      <c r="I314" s="3"/>
      <c r="J314" s="3"/>
      <c r="K314" s="3"/>
      <c r="L314" s="1"/>
      <c r="M314" s="1"/>
      <c r="N314" s="4"/>
      <c r="O314" s="5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1" t="str">
        <f>IFERROR(__xludf.DUMMYFUNCTION("""COMPUTED_VALUE"""),"Volvo Group")</f>
        <v>Volvo Group</v>
      </c>
      <c r="B315" s="1" t="str">
        <f>IFERROR(__xludf.DUMMYFUNCTION("""COMPUTED_VALUE"""),"CompanyInformation/Volvo")</f>
        <v>CompanyInformation/Volvo</v>
      </c>
      <c r="C315" s="2" t="s">
        <v>314</v>
      </c>
      <c r="D315" s="3"/>
      <c r="E315" s="3"/>
      <c r="F315" s="2"/>
      <c r="G315" s="1"/>
      <c r="H315" s="1"/>
      <c r="I315" s="3"/>
      <c r="J315" s="3"/>
      <c r="K315" s="3"/>
      <c r="L315" s="1"/>
      <c r="M315" s="1"/>
      <c r="N315" s="4"/>
      <c r="O315" s="5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1" t="str">
        <f>IFERROR(__xludf.DUMMYFUNCTION("""COMPUTED_VALUE"""),"VPT, Inc.")</f>
        <v>VPT, Inc.</v>
      </c>
      <c r="B316" s="1" t="str">
        <f>IFERROR(__xludf.DUMMYFUNCTION("""COMPUTED_VALUE"""),"CompanyInformation/VPT")</f>
        <v>CompanyInformation/VPT</v>
      </c>
      <c r="C316" s="2" t="s">
        <v>315</v>
      </c>
      <c r="D316" s="3"/>
      <c r="E316" s="3"/>
      <c r="F316" s="2"/>
      <c r="G316" s="1"/>
      <c r="H316" s="1"/>
      <c r="I316" s="3"/>
      <c r="J316" s="3"/>
      <c r="K316" s="3"/>
      <c r="L316" s="1"/>
      <c r="M316" s="1"/>
      <c r="N316" s="4"/>
      <c r="O316" s="5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1" t="str">
        <f>IFERROR(__xludf.DUMMYFUNCTION("""COMPUTED_VALUE"""),"VT iDirect")</f>
        <v>VT iDirect</v>
      </c>
      <c r="B317" s="1" t="str">
        <f>IFERROR(__xludf.DUMMYFUNCTION("""COMPUTED_VALUE"""),"CompanyInformation/idirect")</f>
        <v>CompanyInformation/idirect</v>
      </c>
      <c r="C317" s="2" t="s">
        <v>316</v>
      </c>
      <c r="D317" s="3"/>
      <c r="E317" s="3"/>
      <c r="F317" s="2"/>
      <c r="G317" s="1"/>
      <c r="H317" s="1"/>
      <c r="I317" s="3"/>
      <c r="J317" s="3"/>
      <c r="K317" s="3"/>
      <c r="L317" s="1"/>
      <c r="M317" s="1"/>
      <c r="N317" s="4"/>
      <c r="O317" s="5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1" t="str">
        <f>IFERROR(__xludf.DUMMYFUNCTION("""COMPUTED_VALUE"""),"VULNERABILITY RESEARCH LABS")</f>
        <v>VULNERABILITY RESEARCH LABS</v>
      </c>
      <c r="B318" s="1" t="str">
        <f>IFERROR(__xludf.DUMMYFUNCTION("""COMPUTED_VALUE"""),"CompanyInformation/VRLSEC")</f>
        <v>CompanyInformation/VRLSEC</v>
      </c>
      <c r="C318" s="2" t="s">
        <v>317</v>
      </c>
      <c r="D318" s="3"/>
      <c r="E318" s="3"/>
      <c r="F318" s="2"/>
      <c r="G318" s="1"/>
      <c r="H318" s="1"/>
      <c r="I318" s="3"/>
      <c r="J318" s="3"/>
      <c r="K318" s="3"/>
      <c r="L318" s="1"/>
      <c r="M318" s="1"/>
      <c r="N318" s="4"/>
      <c r="O318" s="5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1" t="str">
        <f>IFERROR(__xludf.DUMMYFUNCTION("""COMPUTED_VALUE"""),"Walmart")</f>
        <v>Walmart</v>
      </c>
      <c r="B319" s="1" t="str">
        <f>IFERROR(__xludf.DUMMYFUNCTION("""COMPUTED_VALUE"""),"CompanyInformation/Walmart")</f>
        <v>CompanyInformation/Walmart</v>
      </c>
      <c r="C319" s="2" t="s">
        <v>318</v>
      </c>
      <c r="D319" s="3"/>
      <c r="E319" s="3"/>
      <c r="F319" s="2"/>
      <c r="G319" s="1"/>
      <c r="H319" s="1"/>
      <c r="I319" s="3"/>
      <c r="J319" s="3"/>
      <c r="K319" s="3"/>
      <c r="L319" s="1"/>
      <c r="M319" s="1"/>
      <c r="N319" s="4"/>
      <c r="O319" s="5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1" t="str">
        <f>IFERROR(__xludf.DUMMYFUNCTION("""COMPUTED_VALUE"""),"WestRock")</f>
        <v>WestRock</v>
      </c>
      <c r="B320" s="1" t="str">
        <f>IFERROR(__xludf.DUMMYFUNCTION("""COMPUTED_VALUE"""),"CompanyInformation/WRK")</f>
        <v>CompanyInformation/WRK</v>
      </c>
      <c r="C320" s="2" t="s">
        <v>319</v>
      </c>
      <c r="D320" s="3"/>
      <c r="E320" s="3"/>
      <c r="F320" s="2"/>
      <c r="G320" s="1"/>
      <c r="H320" s="1"/>
      <c r="I320" s="3"/>
      <c r="J320" s="3"/>
      <c r="K320" s="3"/>
      <c r="L320" s="1"/>
      <c r="M320" s="1"/>
      <c r="N320" s="4"/>
      <c r="O320" s="5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1" t="str">
        <f>IFERROR(__xludf.DUMMYFUNCTION("""COMPUTED_VALUE"""),"Whitman, Requardt and Associates, LLP")</f>
        <v>Whitman, Requardt and Associates, LLP</v>
      </c>
      <c r="B321" s="1" t="str">
        <f>IFERROR(__xludf.DUMMYFUNCTION("""COMPUTED_VALUE"""),"CompanyInformation/WRA")</f>
        <v>CompanyInformation/WRA</v>
      </c>
      <c r="C321" s="2" t="s">
        <v>320</v>
      </c>
      <c r="D321" s="3"/>
      <c r="E321" s="3"/>
      <c r="F321" s="2"/>
      <c r="G321" s="1"/>
      <c r="H321" s="1"/>
      <c r="I321" s="3"/>
      <c r="J321" s="3"/>
      <c r="K321" s="3"/>
      <c r="L321" s="1"/>
      <c r="M321" s="1"/>
      <c r="N321" s="4"/>
      <c r="O321" s="5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1" t="str">
        <f>IFERROR(__xludf.DUMMYFUNCTION("""COMPUTED_VALUE"""),"Wiley|Wilson")</f>
        <v>Wiley|Wilson</v>
      </c>
      <c r="B322" s="1" t="str">
        <f>IFERROR(__xludf.DUMMYFUNCTION("""COMPUTED_VALUE"""),"CompanyInformation/wilwil")</f>
        <v>CompanyInformation/wilwil</v>
      </c>
      <c r="C322" s="2" t="s">
        <v>321</v>
      </c>
      <c r="D322" s="3"/>
      <c r="E322" s="3"/>
      <c r="F322" s="2"/>
      <c r="G322" s="1"/>
      <c r="H322" s="1"/>
      <c r="I322" s="3"/>
      <c r="J322" s="3"/>
      <c r="K322" s="3"/>
      <c r="L322" s="1"/>
      <c r="M322" s="1"/>
      <c r="N322" s="4"/>
      <c r="O322" s="5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1" t="str">
        <f>IFERROR(__xludf.DUMMYFUNCTION("""COMPUTED_VALUE"""),"Wolverine Advanced Materials")</f>
        <v>Wolverine Advanced Materials</v>
      </c>
      <c r="B323" s="1" t="str">
        <f>IFERROR(__xludf.DUMMYFUNCTION("""COMPUTED_VALUE"""),"CompanyInformation/ITT")</f>
        <v>CompanyInformation/ITT</v>
      </c>
      <c r="C323" s="2" t="s">
        <v>322</v>
      </c>
      <c r="D323" s="3"/>
      <c r="E323" s="3"/>
      <c r="F323" s="2"/>
      <c r="G323" s="1"/>
      <c r="H323" s="1"/>
      <c r="I323" s="3"/>
      <c r="J323" s="3"/>
      <c r="K323" s="3"/>
      <c r="L323" s="1"/>
      <c r="M323" s="1"/>
      <c r="N323" s="4"/>
      <c r="O323" s="5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1" t="str">
        <f>IFERROR(__xludf.DUMMYFUNCTION("""COMPUTED_VALUE"""),"WR Systems, LLC")</f>
        <v>WR Systems, LLC</v>
      </c>
      <c r="B324" s="1" t="str">
        <f>IFERROR(__xludf.DUMMYFUNCTION("""COMPUTED_VALUE"""),"CompanyInformation/WRS")</f>
        <v>CompanyInformation/WRS</v>
      </c>
      <c r="C324" s="2" t="s">
        <v>323</v>
      </c>
      <c r="D324" s="3"/>
      <c r="E324" s="3"/>
      <c r="F324" s="2"/>
      <c r="G324" s="1"/>
      <c r="H324" s="1"/>
      <c r="I324" s="3"/>
      <c r="J324" s="3"/>
      <c r="K324" s="3"/>
      <c r="L324" s="1"/>
      <c r="M324" s="1"/>
      <c r="N324" s="4"/>
      <c r="O324" s="5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1" t="str">
        <f>IFERROR(__xludf.DUMMYFUNCTION("""COMPUTED_VALUE"""),"WV Dept. of Transportation/Division of Highways")</f>
        <v>WV Dept. of Transportation/Division of Highways</v>
      </c>
      <c r="B325" s="1" t="str">
        <f>IFERROR(__xludf.DUMMYFUNCTION("""COMPUTED_VALUE"""),"CompanyInformation/WVDOH")</f>
        <v>CompanyInformation/WVDOH</v>
      </c>
      <c r="C325" s="2" t="s">
        <v>324</v>
      </c>
      <c r="D325" s="3"/>
      <c r="E325" s="3"/>
      <c r="F325" s="2"/>
      <c r="G325" s="1"/>
      <c r="H325" s="1"/>
      <c r="I325" s="3"/>
      <c r="J325" s="3"/>
      <c r="K325" s="3"/>
      <c r="L325" s="1"/>
      <c r="M325" s="1"/>
      <c r="N325" s="4"/>
      <c r="O325" s="5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1" t="str">
        <f>IFERROR(__xludf.DUMMYFUNCTION("""COMPUTED_VALUE"""),"XPO Logistics")</f>
        <v>XPO Logistics</v>
      </c>
      <c r="B326" s="1" t="str">
        <f>IFERROR(__xludf.DUMMYFUNCTION("""COMPUTED_VALUE"""),"CompanyInformation/xpo")</f>
        <v>CompanyInformation/xpo</v>
      </c>
      <c r="C326" s="2" t="s">
        <v>325</v>
      </c>
      <c r="D326" s="3"/>
      <c r="E326" s="3"/>
      <c r="F326" s="2"/>
      <c r="G326" s="1"/>
      <c r="H326" s="1"/>
      <c r="I326" s="3"/>
      <c r="J326" s="3"/>
      <c r="K326" s="3"/>
      <c r="L326" s="1"/>
      <c r="M326" s="1"/>
      <c r="N326" s="4"/>
      <c r="O326" s="5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1" t="str">
        <f>IFERROR(__xludf.DUMMYFUNCTION("""COMPUTED_VALUE"""),"Zeta Associates, Inc.")</f>
        <v>Zeta Associates, Inc.</v>
      </c>
      <c r="B327" s="1" t="str">
        <f>IFERROR(__xludf.DUMMYFUNCTION("""COMPUTED_VALUE"""),"CompanyInformation/ZAI")</f>
        <v>CompanyInformation/ZAI</v>
      </c>
      <c r="C327" s="2" t="s">
        <v>326</v>
      </c>
      <c r="D327" s="3"/>
      <c r="E327" s="3"/>
      <c r="F327" s="2"/>
      <c r="G327" s="1"/>
      <c r="H327" s="1"/>
      <c r="I327" s="3"/>
      <c r="J327" s="3"/>
      <c r="K327" s="3"/>
      <c r="L327" s="1"/>
      <c r="M327" s="1"/>
      <c r="N327" s="4"/>
      <c r="O327" s="5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1"/>
      <c r="B328" s="1"/>
      <c r="C328" s="2" t="s">
        <v>327</v>
      </c>
      <c r="D328" s="3"/>
      <c r="E328" s="3"/>
      <c r="F328" s="2"/>
      <c r="G328" s="1"/>
      <c r="H328" s="1"/>
      <c r="I328" s="3"/>
      <c r="J328" s="3"/>
      <c r="K328" s="3"/>
      <c r="L328" s="1"/>
      <c r="M328" s="1"/>
      <c r="N328" s="4"/>
      <c r="O328" s="5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1"/>
      <c r="B329" s="1"/>
      <c r="C329" s="2" t="s">
        <v>328</v>
      </c>
      <c r="D329" s="3"/>
      <c r="E329" s="3"/>
      <c r="F329" s="2"/>
      <c r="G329" s="1"/>
      <c r="H329" s="1"/>
      <c r="I329" s="3"/>
      <c r="J329" s="3"/>
      <c r="K329" s="3"/>
      <c r="L329" s="1"/>
      <c r="M329" s="1"/>
      <c r="N329" s="4"/>
      <c r="O329" s="5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</sheetData>
  <hyperlinks>
    <hyperlink r:id="rId1" ref="A10"/>
  </hyperlinks>
  <drawing r:id="rId2"/>
</worksheet>
</file>