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9200" windowHeight="7155" firstSheet="5" activeTab="16"/>
  </bookViews>
  <sheets>
    <sheet name="Main Sheet" sheetId="1" r:id="rId1"/>
    <sheet name="Bill 2-3" sheetId="2" r:id="rId2"/>
    <sheet name="Bill 4-5" sheetId="3" r:id="rId3"/>
    <sheet name="bill 6-7" sheetId="4" r:id="rId4"/>
    <sheet name="Bill 8-9" sheetId="5" r:id="rId5"/>
    <sheet name="Bill 10-11" sheetId="6" r:id="rId6"/>
    <sheet name="Bill 12" sheetId="7" r:id="rId7"/>
    <sheet name="Bill 13" sheetId="9" r:id="rId8"/>
    <sheet name="Bill 14" sheetId="8" r:id="rId9"/>
    <sheet name="Bill 15" sheetId="10" r:id="rId10"/>
    <sheet name="Bill 16" sheetId="11" r:id="rId11"/>
    <sheet name="Bill 17" sheetId="12" r:id="rId12"/>
    <sheet name="Bill 18" sheetId="13" r:id="rId13"/>
    <sheet name="Bill 19" sheetId="14" r:id="rId14"/>
    <sheet name="Bill 20" sheetId="15" r:id="rId15"/>
    <sheet name="Bill 21" sheetId="16" r:id="rId16"/>
    <sheet name="Tiling Calculation" sheetId="17" r:id="rId17"/>
  </sheets>
  <definedNames>
    <definedName name="_xlnm.Print_Area" localSheetId="13">'Bill 19'!$A$1:$E$15</definedName>
    <definedName name="_xlnm.Print_Area" localSheetId="1">'Bill 2-3'!$A$1:$O$23</definedName>
    <definedName name="_xlnm.Print_Area" localSheetId="0">'Main Sheet'!$A$1:$W$105</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17" l="1"/>
  <c r="D6" i="17" s="1"/>
  <c r="I4" i="17"/>
  <c r="G3" i="17"/>
  <c r="I3" i="17" s="1"/>
  <c r="G4" i="17"/>
  <c r="G5" i="17"/>
  <c r="I5" i="17" s="1"/>
  <c r="G6" i="17"/>
  <c r="I6" i="17" s="1"/>
  <c r="G2" i="17"/>
  <c r="I2" i="17" s="1"/>
  <c r="C5" i="14"/>
  <c r="C8" i="14"/>
  <c r="F5" i="17"/>
  <c r="C7" i="17"/>
  <c r="C8" i="17" s="1"/>
  <c r="D3" i="17"/>
  <c r="F3" i="17" s="1"/>
  <c r="D4" i="17"/>
  <c r="F4" i="17" s="1"/>
  <c r="D5" i="17"/>
  <c r="D2" i="17"/>
  <c r="F2" i="17" s="1"/>
  <c r="C9" i="17" l="1"/>
  <c r="G7" i="17"/>
  <c r="I7" i="17" s="1"/>
  <c r="I10" i="17" s="1"/>
  <c r="D7" i="17"/>
  <c r="D8" i="17" s="1"/>
  <c r="F6" i="17"/>
  <c r="E6" i="16"/>
  <c r="E5" i="16"/>
  <c r="E4" i="16"/>
  <c r="E9" i="15"/>
  <c r="E8" i="15"/>
  <c r="E7" i="15"/>
  <c r="E6" i="15"/>
  <c r="E5" i="15"/>
  <c r="E10" i="15" s="1"/>
  <c r="E4" i="15"/>
  <c r="M27" i="14"/>
  <c r="M26" i="14"/>
  <c r="M29" i="14"/>
  <c r="M28" i="14"/>
  <c r="L26" i="14"/>
  <c r="L25" i="14"/>
  <c r="J26" i="14"/>
  <c r="J25" i="14"/>
  <c r="I26" i="14"/>
  <c r="H25" i="14"/>
  <c r="H24" i="14"/>
  <c r="H23" i="14"/>
  <c r="H22" i="14"/>
  <c r="H21" i="14"/>
  <c r="C7" i="14"/>
  <c r="C6" i="14"/>
  <c r="C4" i="14"/>
  <c r="E5" i="14"/>
  <c r="K19" i="14"/>
  <c r="K18" i="14"/>
  <c r="E8" i="14"/>
  <c r="E6" i="14"/>
  <c r="G18" i="14"/>
  <c r="G15" i="14"/>
  <c r="H13" i="14"/>
  <c r="I10" i="14"/>
  <c r="J6" i="14"/>
  <c r="H5" i="14"/>
  <c r="H8" i="14"/>
  <c r="H7" i="14"/>
  <c r="E9" i="14"/>
  <c r="E7" i="14"/>
  <c r="E4" i="14"/>
  <c r="H6" i="14" s="1"/>
  <c r="F7" i="17" l="1"/>
  <c r="D9" i="17"/>
  <c r="E10" i="16"/>
  <c r="E11" i="14"/>
  <c r="E6" i="13"/>
  <c r="E5" i="13"/>
  <c r="E4" i="13"/>
  <c r="G56" i="1"/>
  <c r="G60" i="1"/>
  <c r="G59" i="1"/>
  <c r="D4" i="12"/>
  <c r="E4" i="12" s="1"/>
  <c r="F9" i="17" l="1"/>
  <c r="E8" i="13"/>
  <c r="E6" i="12"/>
  <c r="K67" i="1"/>
  <c r="K66" i="1"/>
  <c r="K65" i="1"/>
  <c r="K64" i="1"/>
  <c r="E8" i="11" l="1"/>
  <c r="E6" i="10"/>
  <c r="E5" i="10"/>
  <c r="E7" i="11"/>
  <c r="E6" i="11"/>
  <c r="E5" i="11"/>
  <c r="E4" i="11"/>
  <c r="E4" i="10"/>
  <c r="E7" i="10" l="1"/>
  <c r="D5" i="7"/>
  <c r="E5" i="7" s="1"/>
  <c r="E7" i="9"/>
  <c r="E6" i="9"/>
  <c r="E5" i="9"/>
  <c r="E4" i="9"/>
  <c r="E9" i="9" s="1"/>
  <c r="B1" i="9"/>
  <c r="D4" i="8"/>
  <c r="E4" i="8" s="1"/>
  <c r="E6" i="8" l="1"/>
  <c r="E9" i="8" s="1"/>
  <c r="E4" i="7"/>
  <c r="E7" i="7" s="1"/>
  <c r="B9" i="6" l="1"/>
  <c r="D5" i="6"/>
  <c r="E5" i="6" s="1"/>
  <c r="D4" i="6"/>
  <c r="E14" i="6"/>
  <c r="E13" i="6"/>
  <c r="E12" i="6"/>
  <c r="E4" i="6"/>
  <c r="E12" i="7" l="1"/>
  <c r="E16" i="6"/>
  <c r="E6" i="6"/>
  <c r="F62" i="1"/>
  <c r="D62" i="1"/>
  <c r="F54" i="1"/>
  <c r="F53" i="1"/>
  <c r="D5" i="5"/>
  <c r="E5" i="5" s="1"/>
  <c r="D4" i="5"/>
  <c r="E25" i="1"/>
  <c r="E24" i="1"/>
  <c r="D24" i="1"/>
  <c r="E16" i="5"/>
  <c r="E14" i="5"/>
  <c r="E13" i="5"/>
  <c r="E12" i="5"/>
  <c r="E19" i="6" l="1"/>
  <c r="E13" i="4"/>
  <c r="E14" i="4"/>
  <c r="E5" i="4"/>
  <c r="M20" i="1" l="1"/>
  <c r="K41" i="1"/>
  <c r="K40" i="1"/>
  <c r="K39" i="1"/>
  <c r="K38" i="1"/>
  <c r="K37" i="1"/>
  <c r="K35" i="1"/>
  <c r="E17" i="2"/>
  <c r="M23" i="1"/>
  <c r="J36" i="1" l="1"/>
  <c r="K36" i="1" s="1"/>
  <c r="N31" i="1"/>
  <c r="J34" i="1"/>
  <c r="K34" i="1" s="1"/>
  <c r="J33" i="1"/>
  <c r="K33" i="1" s="1"/>
  <c r="K30" i="1"/>
  <c r="K29" i="1"/>
  <c r="E12" i="3" l="1"/>
  <c r="D12" i="3" s="1"/>
  <c r="R26" i="1"/>
  <c r="J28" i="1"/>
  <c r="K28" i="1" s="1"/>
  <c r="K27" i="1" l="1"/>
  <c r="K26" i="1"/>
  <c r="K25" i="1"/>
  <c r="K24" i="1"/>
  <c r="N23" i="1"/>
  <c r="M42" i="1" s="1"/>
  <c r="N22" i="1"/>
  <c r="E13" i="3" s="1"/>
  <c r="N18" i="1"/>
  <c r="N17" i="1"/>
  <c r="N16" i="1"/>
  <c r="J14" i="1"/>
  <c r="L42" i="1" l="1"/>
  <c r="D13" i="3"/>
  <c r="E16" i="3"/>
  <c r="E19" i="2"/>
  <c r="E18" i="2"/>
  <c r="E16" i="2"/>
  <c r="D15" i="2"/>
  <c r="O3" i="2"/>
  <c r="H52" i="1" l="1"/>
  <c r="N15" i="1"/>
  <c r="K13" i="1"/>
  <c r="O12" i="1"/>
  <c r="O11" i="1"/>
  <c r="J9" i="1"/>
  <c r="K9" i="1" s="1"/>
  <c r="J8" i="1"/>
  <c r="K8" i="1" s="1"/>
  <c r="K6" i="1"/>
  <c r="L20" i="1" s="1"/>
  <c r="H51" i="1" s="1"/>
  <c r="H66" i="1" s="1"/>
  <c r="L93" i="1" l="1"/>
  <c r="K93" i="1"/>
  <c r="U49" i="1"/>
  <c r="U53" i="1" s="1"/>
  <c r="U58" i="1" s="1"/>
  <c r="U46" i="1"/>
  <c r="S41" i="1"/>
  <c r="U39" i="1"/>
  <c r="S38" i="1"/>
  <c r="S40" i="1" s="1"/>
  <c r="S42" i="1" s="1"/>
  <c r="S37" i="1"/>
  <c r="T41" i="1" l="1"/>
  <c r="U40" i="1"/>
  <c r="S43" i="1"/>
  <c r="E22" i="1"/>
  <c r="C21" i="1" l="1"/>
  <c r="E21" i="1" s="1"/>
  <c r="C20" i="1"/>
  <c r="E20" i="1" s="1"/>
  <c r="J100" i="1" l="1"/>
  <c r="I97" i="1"/>
  <c r="J97" i="1" s="1"/>
  <c r="K97" i="1" s="1"/>
  <c r="H96" i="1"/>
  <c r="H94" i="1"/>
  <c r="H95" i="1" s="1"/>
  <c r="H90" i="1"/>
  <c r="H91" i="1" s="1"/>
  <c r="H92" i="1" s="1"/>
  <c r="F93" i="1" s="1"/>
  <c r="F102" i="1" s="1"/>
  <c r="F103" i="1" s="1"/>
  <c r="E66" i="1"/>
  <c r="C66" i="1"/>
  <c r="H97" i="1" l="1"/>
  <c r="C4" i="1"/>
  <c r="E6" i="1" l="1"/>
  <c r="E23" i="1" s="1"/>
  <c r="D54" i="1" l="1"/>
  <c r="D58" i="1"/>
  <c r="D63" i="1"/>
  <c r="D56" i="1"/>
  <c r="D51" i="1"/>
  <c r="D55" i="1"/>
  <c r="D59" i="1"/>
  <c r="D64" i="1"/>
  <c r="D60" i="1"/>
  <c r="D52" i="1"/>
  <c r="D4" i="2" s="1"/>
  <c r="D53" i="1"/>
  <c r="D57" i="1"/>
  <c r="D61" i="1"/>
  <c r="D7" i="2" l="1"/>
  <c r="E8" i="2" s="1"/>
  <c r="D66" i="1"/>
  <c r="D87" i="1" s="1"/>
  <c r="E4" i="5"/>
  <c r="E6" i="5" s="1"/>
  <c r="E19" i="5" s="1"/>
  <c r="D4" i="4"/>
  <c r="E4" i="4" s="1"/>
  <c r="E6" i="4" s="1"/>
  <c r="D4" i="3"/>
  <c r="E4" i="3" s="1"/>
  <c r="E6" i="3" s="1"/>
  <c r="E19" i="3" s="1"/>
  <c r="G51" i="1"/>
  <c r="F52" i="1" s="1"/>
  <c r="E4" i="2"/>
  <c r="D88" i="1" l="1"/>
  <c r="D89" i="1" s="1"/>
  <c r="D90" i="1" s="1"/>
  <c r="F66" i="1"/>
  <c r="H67" i="1" s="1"/>
  <c r="H68" i="1" s="1"/>
  <c r="E9" i="2"/>
  <c r="E22" i="2" s="1"/>
  <c r="D91" i="1"/>
  <c r="D92" i="1" l="1"/>
  <c r="D93" i="1" s="1"/>
  <c r="D94" i="1"/>
  <c r="D95" i="1" s="1"/>
  <c r="D96" i="1" s="1"/>
  <c r="E12" i="4"/>
  <c r="E16" i="4" s="1"/>
  <c r="E19" i="4" s="1"/>
</calcChain>
</file>

<file path=xl/sharedStrings.xml><?xml version="1.0" encoding="utf-8"?>
<sst xmlns="http://schemas.openxmlformats.org/spreadsheetml/2006/main" count="561" uniqueCount="286">
  <si>
    <t>Plaster</t>
  </si>
  <si>
    <t>Description</t>
  </si>
  <si>
    <t>Percentage %</t>
  </si>
  <si>
    <t>Amount</t>
  </si>
  <si>
    <t>Mobility Allowance</t>
  </si>
  <si>
    <t>On completion of foundation</t>
  </si>
  <si>
    <t xml:space="preserve">On completion of internal plaster </t>
  </si>
  <si>
    <t>On completion of plumbing</t>
  </si>
  <si>
    <t>On completion of flooring</t>
  </si>
  <si>
    <t>On completion of paint</t>
  </si>
  <si>
    <t>On completion of boundary wall</t>
  </si>
  <si>
    <t>On handing over</t>
  </si>
  <si>
    <t>On completion of Basement Roof</t>
  </si>
  <si>
    <t>S.No</t>
  </si>
  <si>
    <t>Rate</t>
  </si>
  <si>
    <t>Total</t>
  </si>
  <si>
    <t>Earth work excavation in all types of soil excluding hard rock requiring blasting for columnfoundations, trenches, drains, plinth beams,underground sump, cable trenches manholes,brick-footing etc. including dressing of sides and ramming bottoms including dewatering subsoilwater or chemically contaminated water, shoring,strutting labour, tools and tackles etc. 
and backfilling with the excavated or good quality earth in trenches, plinths, foundations under floors etc. Wherever required in layers.</t>
  </si>
  <si>
    <t xml:space="preserve">Termite proofing using good quality to all the earth surfaces exposed to underground soil, to all foundations, beams and columns as well as retaining walls surfaces upto ground level from external side </t>
  </si>
  <si>
    <t>Providing &amp; laying Cement Concrete in ratio 1:4:8 lean and Reinforced Cement concrete at any level &amp; height with minimum 1200 PSI Cylindrical strenght at 28 days with good quality of form work, compacting using vibrators, curing and removal of formwork etc using Sulphate Resistant Cement including all required inserts and plugs to required profiles and shapes etc.</t>
  </si>
  <si>
    <t>Providing  &amp; laying at any level &amp; height completely sealed water proofing required around basement areas on RCC/concrete and/ or masonary vertical and horizontal surfaces using bitumen</t>
  </si>
  <si>
    <t>Providing, fabricating and placing at any level &amp; height steel grade 72 (ASTM A-615 yield stress 72.000 PSI in all RCC membersincluding fabricating to profiles, 20 SWG steel binding wires, steel chairs and spacers (wastages, re-rolling margins, cut pieces etc.</t>
  </si>
  <si>
    <t>Terms &amp; Conditions</t>
  </si>
  <si>
    <t xml:space="preserve">Urbanist is not responsible for arranging any permissions </t>
  </si>
  <si>
    <t xml:space="preserve">The quantities mentioned above may change according to "As per actual" basis </t>
  </si>
  <si>
    <t xml:space="preserve">The above mentioned prices may vary as per client's material selection </t>
  </si>
  <si>
    <t>Payment mode can be cheque or online</t>
  </si>
  <si>
    <t>For online transaction Bank Al-Habib, Account #: 11090981007962018</t>
  </si>
  <si>
    <t>Incase of any kind of interruption in work or any kind of hinderence in building limitation, the work timeline will exceed</t>
  </si>
  <si>
    <t>Client will be solely responsible for any kind of peanlties charged on site due to permission issues</t>
  </si>
  <si>
    <t>Payment Schedule</t>
  </si>
  <si>
    <t>Payment schedule to be followed</t>
  </si>
  <si>
    <t>Paint</t>
  </si>
  <si>
    <t xml:space="preserve">Plumbing </t>
  </si>
  <si>
    <t xml:space="preserve">Electrical </t>
  </si>
  <si>
    <t>Flooring</t>
  </si>
  <si>
    <t>Complete Grey Structure</t>
  </si>
  <si>
    <t>Sqft Calculation 100x9 = 900 sqft x 3 floors</t>
  </si>
  <si>
    <t>Sanitary Fixtures</t>
  </si>
  <si>
    <t>Sqft</t>
  </si>
  <si>
    <t>Floors</t>
  </si>
  <si>
    <t>Total Sqft</t>
  </si>
  <si>
    <t>Boundary wall</t>
  </si>
  <si>
    <t>The security is client's responsibility</t>
  </si>
  <si>
    <t>The bills will be cleared on Actual Sqft</t>
  </si>
  <si>
    <t>S.no</t>
  </si>
  <si>
    <t>Dated:</t>
  </si>
  <si>
    <t>BOQ for 100 Yards House at DHA 7 Ext. Karachi</t>
  </si>
  <si>
    <t>Turnkey Project Rates With Material</t>
  </si>
  <si>
    <t>Electricity and water will be supplied by owner at site</t>
  </si>
  <si>
    <t xml:space="preserve">Waterproofing  </t>
  </si>
  <si>
    <t>Chokhat installations</t>
  </si>
  <si>
    <t>Cantilever making will be charged on as per actual basis</t>
  </si>
  <si>
    <t>Termite Proofing</t>
  </si>
  <si>
    <r>
      <t xml:space="preserve">The cheque will be in name of  </t>
    </r>
    <r>
      <rPr>
        <b/>
        <sz val="12"/>
        <color theme="1"/>
        <rFont val="Calibri"/>
        <family val="2"/>
        <scheme val="minor"/>
      </rPr>
      <t>M/S Urbanist</t>
    </r>
  </si>
  <si>
    <r>
      <t>On completion of 1</t>
    </r>
    <r>
      <rPr>
        <vertAlign val="superscript"/>
        <sz val="12"/>
        <color rgb="FF222222"/>
        <rFont val="Calibri"/>
        <family val="2"/>
        <scheme val="minor"/>
      </rPr>
      <t>st</t>
    </r>
    <r>
      <rPr>
        <sz val="12"/>
        <color rgb="FF222222"/>
        <rFont val="Calibri"/>
        <family val="2"/>
        <scheme val="minor"/>
      </rPr>
      <t xml:space="preserve"> roof</t>
    </r>
  </si>
  <si>
    <r>
      <t>On Completion of 2</t>
    </r>
    <r>
      <rPr>
        <vertAlign val="superscript"/>
        <sz val="12"/>
        <color rgb="FF222222"/>
        <rFont val="Calibri"/>
        <family val="2"/>
        <scheme val="minor"/>
      </rPr>
      <t>nd</t>
    </r>
    <r>
      <rPr>
        <sz val="12"/>
        <color rgb="FF222222"/>
        <rFont val="Calibri"/>
        <family val="2"/>
        <scheme val="minor"/>
      </rPr>
      <t xml:space="preserve"> roof </t>
    </r>
  </si>
  <si>
    <t>Timeline will be decided once complete design and drawings are shared</t>
  </si>
  <si>
    <t>Fancy lights and wall lights are not included in this cost</t>
  </si>
  <si>
    <t xml:space="preserve">On completion of stair tower </t>
  </si>
  <si>
    <t>Completion of block masonary</t>
  </si>
  <si>
    <t>Days</t>
  </si>
  <si>
    <t>Qualty of Material</t>
  </si>
  <si>
    <t>Tiles</t>
  </si>
  <si>
    <t>UAE, Malaysia, China</t>
  </si>
  <si>
    <t>Plumbing Piping</t>
  </si>
  <si>
    <t>UPVC</t>
  </si>
  <si>
    <t>Gas Piping</t>
  </si>
  <si>
    <t>GI</t>
  </si>
  <si>
    <t>Electrical Wiring</t>
  </si>
  <si>
    <t>Pak Cable</t>
  </si>
  <si>
    <t>Bahtroom fittings</t>
  </si>
  <si>
    <t>Master</t>
  </si>
  <si>
    <t xml:space="preserve">Sanitary </t>
  </si>
  <si>
    <t>Porta</t>
  </si>
  <si>
    <t>Lights</t>
  </si>
  <si>
    <t>Philips/Osaka</t>
  </si>
  <si>
    <t>Under ground water tank 180/- per gallon</t>
  </si>
  <si>
    <t xml:space="preserve">Additional PKR. 3030/- per sqft will be charged for the stair tower along with steps </t>
  </si>
  <si>
    <t>Per Sqft Rate For us</t>
  </si>
  <si>
    <t>Tiling</t>
  </si>
  <si>
    <t>Civil</t>
  </si>
  <si>
    <t>Steel</t>
  </si>
  <si>
    <t>Electric</t>
  </si>
  <si>
    <t>Cement</t>
  </si>
  <si>
    <t>W. Proofing</t>
  </si>
  <si>
    <t>Bathroom &amp; plumbing OH Tank</t>
  </si>
  <si>
    <t>Termite</t>
  </si>
  <si>
    <t>Per Bathroom</t>
  </si>
  <si>
    <t>Outer Plumbing</t>
  </si>
  <si>
    <t>Our Costing</t>
  </si>
  <si>
    <t>Staircase &amp; Tower Calculation</t>
  </si>
  <si>
    <t>Option</t>
  </si>
  <si>
    <t>Sqft/Steps</t>
  </si>
  <si>
    <r>
      <t>Stair case with steps and finishing materia</t>
    </r>
    <r>
      <rPr>
        <sz val="12"/>
        <color rgb="FFFF0000"/>
        <rFont val="Calibri"/>
        <family val="2"/>
        <scheme val="minor"/>
      </rPr>
      <t>l (this is already included in our turnkey cost)</t>
    </r>
  </si>
  <si>
    <t>Only Roof Stair Tower Compulsory (This is additional work)</t>
  </si>
  <si>
    <t xml:space="preserve">Grand Total </t>
  </si>
  <si>
    <t>Above mention price is exclusive of Taxes</t>
  </si>
  <si>
    <t>Our rates does not include AC, lights, wood, metal, O.H Water tank and glass work</t>
  </si>
  <si>
    <t>On completion of under ground water tank</t>
  </si>
  <si>
    <t>Under ground water tank in gallon (Additional cost)</t>
  </si>
  <si>
    <t xml:space="preserve">Quote Expiry </t>
  </si>
  <si>
    <t>Rates will be revised after expiry date</t>
  </si>
  <si>
    <t>DHA  100 yard house</t>
  </si>
  <si>
    <t>material</t>
  </si>
  <si>
    <t>civil</t>
  </si>
  <si>
    <t>electric</t>
  </si>
  <si>
    <t>plumbing</t>
  </si>
  <si>
    <t>painting</t>
  </si>
  <si>
    <t>cement</t>
  </si>
  <si>
    <t>sand crush bond rohri boring</t>
  </si>
  <si>
    <t>Other mateial</t>
  </si>
  <si>
    <t>Our Expense</t>
  </si>
  <si>
    <t>Structural Labor Nazim</t>
  </si>
  <si>
    <t>Cost</t>
  </si>
  <si>
    <t>Steel 3/8 is 4 Ton</t>
  </si>
  <si>
    <t xml:space="preserve">Steel 1/2 is 1 ton including wires </t>
  </si>
  <si>
    <t>Cement 110 bags</t>
  </si>
  <si>
    <t>Zareen Khan soling and digging</t>
  </si>
  <si>
    <t>Payment Made</t>
  </si>
  <si>
    <t>Speed money</t>
  </si>
  <si>
    <t>Water tank (CP)</t>
  </si>
  <si>
    <t>Generator pump (CP)</t>
  </si>
  <si>
    <t xml:space="preserve">Total </t>
  </si>
  <si>
    <t>500 Blocks 5"</t>
  </si>
  <si>
    <t>300 cement bags</t>
  </si>
  <si>
    <t xml:space="preserve">Azeem </t>
  </si>
  <si>
    <t>Payment Made By</t>
  </si>
  <si>
    <t xml:space="preserve">Mustafa </t>
  </si>
  <si>
    <t>Shahab bhai</t>
  </si>
  <si>
    <t xml:space="preserve">Mustafa/Azeem </t>
  </si>
  <si>
    <t>3 tanker</t>
  </si>
  <si>
    <t>unit</t>
  </si>
  <si>
    <t>Generator</t>
  </si>
  <si>
    <t xml:space="preserve">Bill of Abbasi Residence as per Schedule </t>
  </si>
  <si>
    <t>Date</t>
  </si>
  <si>
    <t>Unit</t>
  </si>
  <si>
    <t>Water tankers</t>
  </si>
  <si>
    <t>Generator with petrol for 2 days</t>
  </si>
  <si>
    <t>Paid to Shamsher chowkidar</t>
  </si>
  <si>
    <t>Paid to Manzoor chowkidar</t>
  </si>
  <si>
    <t xml:space="preserve">Actual amount to receive </t>
  </si>
  <si>
    <t>Balance</t>
  </si>
  <si>
    <t>Grand Total</t>
  </si>
  <si>
    <t>Less Balance</t>
  </si>
  <si>
    <t>Bill #</t>
  </si>
  <si>
    <t>02/27Aug/18</t>
  </si>
  <si>
    <t>Miscellaneous Expenses</t>
  </si>
  <si>
    <t>Payment of stage 2 at completion of foundation</t>
  </si>
  <si>
    <t>Received mobility advance</t>
  </si>
  <si>
    <t>03/27Aug/18</t>
  </si>
  <si>
    <t xml:space="preserve"> Raft 8/18/2018</t>
  </si>
  <si>
    <t>Pipe and petrol</t>
  </si>
  <si>
    <t>Water tanker</t>
  </si>
  <si>
    <t>Water tank</t>
  </si>
  <si>
    <t>Water pump</t>
  </si>
  <si>
    <t>Shamsher</t>
  </si>
  <si>
    <t>Steel for wall</t>
  </si>
  <si>
    <t>deen borthers</t>
  </si>
  <si>
    <t>labor for steel tie of walls</t>
  </si>
  <si>
    <t>shutterring</t>
  </si>
  <si>
    <t xml:space="preserve">sadiq </t>
  </si>
  <si>
    <t>Cement 50 bags</t>
  </si>
  <si>
    <t xml:space="preserve">Sadiq </t>
  </si>
  <si>
    <t>Received</t>
  </si>
  <si>
    <t xml:space="preserve">received extra in 1st bill </t>
  </si>
  <si>
    <t>Pump motor and fiiting</t>
  </si>
  <si>
    <t xml:space="preserve">Electric material for conduiting </t>
  </si>
  <si>
    <t xml:space="preserve">Water tanker </t>
  </si>
  <si>
    <t xml:space="preserve">Water pump generator with petrol </t>
  </si>
  <si>
    <t>6" block 400 blocks</t>
  </si>
  <si>
    <t>5" blocks 1000</t>
  </si>
  <si>
    <t>Mix, Crush, Sand</t>
  </si>
  <si>
    <t>sadiq</t>
  </si>
  <si>
    <t>Steel for basement roof</t>
  </si>
  <si>
    <t>Bitumen coating</t>
  </si>
  <si>
    <t>Monthly</t>
  </si>
  <si>
    <t xml:space="preserve">Generator water pump </t>
  </si>
  <si>
    <t>suction pipe</t>
  </si>
  <si>
    <t>fish lace</t>
  </si>
  <si>
    <t>measure tape</t>
  </si>
  <si>
    <t>glove</t>
  </si>
  <si>
    <t>Payment of stage 3 at completion of basement roof</t>
  </si>
  <si>
    <t>05/03Oct/18</t>
  </si>
  <si>
    <t>Water pump for curing with petrol</t>
  </si>
  <si>
    <t>Bill 3</t>
  </si>
  <si>
    <t>Bill 2</t>
  </si>
  <si>
    <t>Company expense</t>
  </si>
  <si>
    <t>Sub total</t>
  </si>
  <si>
    <t>Expenses</t>
  </si>
  <si>
    <t>Misc Monthly</t>
  </si>
  <si>
    <t>Difference</t>
  </si>
  <si>
    <t>Profit %</t>
  </si>
  <si>
    <t>Extra Raft Billing</t>
  </si>
  <si>
    <t>04/03Oct/18</t>
  </si>
  <si>
    <t>06/19Oct/18</t>
  </si>
  <si>
    <t>Payment of stage 4 at completion of 1st Roof</t>
  </si>
  <si>
    <t>Guard Salary for month of sep 18</t>
  </si>
  <si>
    <t>Under ground water tank completion in Gallon</t>
  </si>
  <si>
    <t>07/19Oct/18</t>
  </si>
  <si>
    <t>Account #</t>
  </si>
  <si>
    <t>1109-0981-007962-01-8</t>
  </si>
  <si>
    <t>NTN #</t>
  </si>
  <si>
    <t>3117578-3</t>
  </si>
  <si>
    <t>Cheque in Name of</t>
  </si>
  <si>
    <t>M/S Urbanist</t>
  </si>
  <si>
    <t>Additional Billing of UG Tank</t>
  </si>
  <si>
    <t>Payment of stage 6 at completion of 2nd Roof</t>
  </si>
  <si>
    <t>Payment of Stage 5 at completion of block masonary</t>
  </si>
  <si>
    <t>08/14Nov/18</t>
  </si>
  <si>
    <t>09/14Nov/18</t>
  </si>
  <si>
    <t>Payment of stage 11 at completion of star tower</t>
  </si>
  <si>
    <t>Payment of Stage 15 at completion of Raft</t>
  </si>
  <si>
    <t>Generator and waterpump with petrol</t>
  </si>
  <si>
    <t>10/27Dec/18</t>
  </si>
  <si>
    <t>11/27Dec/18</t>
  </si>
  <si>
    <t>Guard Salary for month of Nov</t>
  </si>
  <si>
    <t>13/25Jan/19</t>
  </si>
  <si>
    <t>Generator with petrol for Nov &amp; Dec</t>
  </si>
  <si>
    <t>Guard Salary for month of Nov &amp; Dec</t>
  </si>
  <si>
    <t>Water tankers for nov</t>
  </si>
  <si>
    <t>Water tankers for dec</t>
  </si>
  <si>
    <t>Payment of stage 7 internal plaster</t>
  </si>
  <si>
    <t>14/29Jan/19</t>
  </si>
  <si>
    <t>12/29Jan/19</t>
  </si>
  <si>
    <t xml:space="preserve">Bill of Abbasi Residence for Plumbing, Electrical and Additional Bathroom Tanks </t>
  </si>
  <si>
    <t>50% payment of stage 8 plumbing and electrical as per schedule</t>
  </si>
  <si>
    <t>Payment for Additional bathroom concealed tanks</t>
  </si>
  <si>
    <t>Payment for Insulation Tiles</t>
  </si>
  <si>
    <t>Water tankers for Jan</t>
  </si>
  <si>
    <t>Water tankers for Feb</t>
  </si>
  <si>
    <t>Generator with petrol for Jan &amp; Feb</t>
  </si>
  <si>
    <t>Guard Salary for month of Jan &amp; Feb</t>
  </si>
  <si>
    <t>Cabling for security system</t>
  </si>
  <si>
    <t>15/5Mar/19</t>
  </si>
  <si>
    <t>Invoice for Additional Items Abbasi Residence</t>
  </si>
  <si>
    <t>16/5Mar/19</t>
  </si>
  <si>
    <t>Installation of Insulation Tiles with labor</t>
  </si>
  <si>
    <t>MT</t>
  </si>
  <si>
    <t>LMKT</t>
  </si>
  <si>
    <t>Annexe</t>
  </si>
  <si>
    <t>Dolmen</t>
  </si>
  <si>
    <t>ABM</t>
  </si>
  <si>
    <t>S33</t>
  </si>
  <si>
    <t>Approx profit</t>
  </si>
  <si>
    <t>17/27Mar/19</t>
  </si>
  <si>
    <t>Payment of stage 13 completion of boundary wall</t>
  </si>
  <si>
    <t>Niche</t>
  </si>
  <si>
    <t>Shower tray</t>
  </si>
  <si>
    <t>Labor for steps excluding marble</t>
  </si>
  <si>
    <t>Sqft/Mtr</t>
  </si>
  <si>
    <t>Material for Ground Floor Tiling</t>
  </si>
  <si>
    <t>Material for First Floor Tiling</t>
  </si>
  <si>
    <t>Material for Stairs Tiling</t>
  </si>
  <si>
    <t xml:space="preserve">Material for Skirting </t>
  </si>
  <si>
    <t>Miscellaneous Expenses for additional work</t>
  </si>
  <si>
    <t>20/10Apr/19</t>
  </si>
  <si>
    <t>Water tankers for Mar</t>
  </si>
  <si>
    <t>Generator with petrol for Mar</t>
  </si>
  <si>
    <t>Plastic and plaster of paris to protect the tiles</t>
  </si>
  <si>
    <t>Labor to lay plastic and plaster of paris</t>
  </si>
  <si>
    <t xml:space="preserve">Labor for making roof gola skirting </t>
  </si>
  <si>
    <t>19/10Apr/19</t>
  </si>
  <si>
    <t>3/27/201910apr</t>
  </si>
  <si>
    <t>Installation Material of Tiles Flooring for Abbasi Residence</t>
  </si>
  <si>
    <t>Material for Basement Tiling (sand,cement,bond)</t>
  </si>
  <si>
    <t>18/10Apr/19</t>
  </si>
  <si>
    <t>Overall Project Variance Bill for Abbasi Residence</t>
  </si>
  <si>
    <t>21/10Apr/19</t>
  </si>
  <si>
    <t>Difference in cement rate due to Increase in $</t>
  </si>
  <si>
    <t>Difference in steel rate due to increase in $</t>
  </si>
  <si>
    <t xml:space="preserve">Difference in Paint material rate due to increase in $ </t>
  </si>
  <si>
    <t>Floor</t>
  </si>
  <si>
    <t>Rate as per BOQ</t>
  </si>
  <si>
    <t>Basement</t>
  </si>
  <si>
    <t>Ground Floor</t>
  </si>
  <si>
    <t>First Floor</t>
  </si>
  <si>
    <t>Step Risers</t>
  </si>
  <si>
    <t>Skirting</t>
  </si>
  <si>
    <t>in Mtr</t>
  </si>
  <si>
    <t>Sub Total</t>
  </si>
  <si>
    <t>Tile Qty in Sqft</t>
  </si>
  <si>
    <t>Cost in Sqft/Rft</t>
  </si>
  <si>
    <t>Installation Material in Sqft/Rft</t>
  </si>
  <si>
    <t>Add Wastage 15%</t>
  </si>
  <si>
    <t>Amount to be Paid</t>
  </si>
  <si>
    <t>Material 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</si>
</sst>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_);_(* \(#,##0\);_(* &quot;-&quot;?_);_(@_)"/>
    <numFmt numFmtId="166" formatCode="_(* #,##0.0_);_(* \(#,##0.0\);_(* &quot;-&quot;??_);_(@_)"/>
  </numFmts>
  <fonts count="15" x14ac:knownFonts="1">
    <font>
      <sz val="11"/>
      <color theme="1"/>
      <name val="Calibri"/>
      <family val="2"/>
      <scheme val="minor"/>
    </font>
    <font>
      <b/>
      <sz val="11"/>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color rgb="FF222222"/>
      <name val="Calibri"/>
      <family val="2"/>
      <scheme val="minor"/>
    </font>
    <font>
      <vertAlign val="superscript"/>
      <sz val="12"/>
      <color rgb="FF222222"/>
      <name val="Calibri"/>
      <family val="2"/>
      <scheme val="minor"/>
    </font>
    <font>
      <b/>
      <sz val="16"/>
      <color theme="1"/>
      <name val="Calibri"/>
      <family val="2"/>
      <scheme val="minor"/>
    </font>
    <font>
      <sz val="12"/>
      <color rgb="FFFF0000"/>
      <name val="Calibri"/>
      <family val="2"/>
      <scheme val="minor"/>
    </font>
    <font>
      <b/>
      <sz val="12"/>
      <color rgb="FF000000"/>
      <name val="Calibri"/>
      <family val="2"/>
      <scheme val="minor"/>
    </font>
    <font>
      <sz val="12"/>
      <color rgb="FF000000"/>
      <name val="Calibri"/>
      <family val="2"/>
      <scheme val="minor"/>
    </font>
    <font>
      <sz val="14"/>
      <color theme="1"/>
      <name val="Calibri"/>
      <family val="2"/>
      <scheme val="minor"/>
    </font>
    <font>
      <b/>
      <sz val="18"/>
      <color theme="1"/>
      <name val="Calibri"/>
      <family val="2"/>
      <scheme val="minor"/>
    </font>
    <font>
      <b/>
      <sz val="20"/>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medium">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88">
    <xf numFmtId="0" fontId="0" fillId="0" borderId="0" xfId="0"/>
    <xf numFmtId="0" fontId="1" fillId="0" borderId="0" xfId="0" applyFont="1" applyAlignment="1">
      <alignment vertical="center"/>
    </xf>
    <xf numFmtId="0" fontId="0" fillId="0" borderId="0" xfId="0" applyFont="1" applyAlignment="1">
      <alignment horizontal="left" vertical="center"/>
    </xf>
    <xf numFmtId="0" fontId="0" fillId="0" borderId="0" xfId="0" applyFont="1"/>
    <xf numFmtId="16" fontId="0" fillId="0" borderId="0" xfId="0" applyNumberFormat="1" applyFont="1"/>
    <xf numFmtId="0" fontId="0" fillId="0" borderId="0" xfId="0" applyFont="1" applyAlignment="1">
      <alignment vertical="center"/>
    </xf>
    <xf numFmtId="0" fontId="0" fillId="0" borderId="0" xfId="0" applyFont="1" applyBorder="1" applyAlignment="1">
      <alignment horizontal="left" vertical="center" wrapText="1"/>
    </xf>
    <xf numFmtId="0" fontId="0" fillId="0" borderId="0" xfId="0" applyFont="1" applyAlignment="1">
      <alignment horizontal="center" vertical="center"/>
    </xf>
    <xf numFmtId="0" fontId="0" fillId="0" borderId="0" xfId="0" applyFont="1" applyAlignment="1">
      <alignment horizontal="left"/>
    </xf>
    <xf numFmtId="164" fontId="0" fillId="0" borderId="0" xfId="1" applyNumberFormat="1" applyFont="1"/>
    <xf numFmtId="0" fontId="3" fillId="0" borderId="1" xfId="0" applyFont="1" applyBorder="1" applyAlignment="1">
      <alignment horizontal="center" vertical="center"/>
    </xf>
    <xf numFmtId="0" fontId="3" fillId="0" borderId="1" xfId="0" applyFont="1" applyBorder="1"/>
    <xf numFmtId="0" fontId="4" fillId="0" borderId="13" xfId="0" applyFont="1" applyBorder="1" applyAlignment="1">
      <alignment horizontal="center" vertical="center"/>
    </xf>
    <xf numFmtId="0" fontId="4" fillId="0" borderId="17" xfId="0" applyFont="1" applyBorder="1" applyAlignment="1">
      <alignment horizontal="center" vertical="center"/>
    </xf>
    <xf numFmtId="0" fontId="4" fillId="0" borderId="13" xfId="0" applyFont="1" applyBorder="1" applyAlignment="1">
      <alignment horizontal="center"/>
    </xf>
    <xf numFmtId="0" fontId="4" fillId="0" borderId="14" xfId="0" applyFont="1" applyBorder="1" applyAlignment="1">
      <alignment horizontal="center"/>
    </xf>
    <xf numFmtId="0" fontId="4" fillId="0" borderId="15" xfId="0" applyFont="1" applyFill="1" applyBorder="1" applyAlignment="1">
      <alignment horizontal="center"/>
    </xf>
    <xf numFmtId="0" fontId="3" fillId="0" borderId="16" xfId="0" applyFont="1" applyBorder="1" applyAlignment="1">
      <alignment horizontal="center" vertical="center"/>
    </xf>
    <xf numFmtId="0" fontId="3" fillId="0" borderId="13" xfId="0" applyFont="1" applyBorder="1" applyAlignment="1">
      <alignment horizontal="left" vertical="center"/>
    </xf>
    <xf numFmtId="164" fontId="3" fillId="0" borderId="14" xfId="1" applyNumberFormat="1" applyFont="1" applyBorder="1" applyAlignment="1">
      <alignment vertical="center"/>
    </xf>
    <xf numFmtId="164" fontId="3" fillId="0" borderId="15" xfId="1" applyNumberFormat="1" applyFont="1" applyBorder="1" applyAlignment="1">
      <alignment vertical="center"/>
    </xf>
    <xf numFmtId="0" fontId="3" fillId="0" borderId="1" xfId="0" applyFont="1" applyBorder="1" applyAlignment="1">
      <alignment vertical="top" wrapText="1"/>
    </xf>
    <xf numFmtId="0" fontId="3" fillId="0" borderId="6" xfId="0" applyFont="1" applyBorder="1" applyAlignment="1">
      <alignment vertical="top" wrapText="1"/>
    </xf>
    <xf numFmtId="0" fontId="3" fillId="0" borderId="6" xfId="0" applyFont="1" applyBorder="1" applyAlignment="1">
      <alignment vertical="center"/>
    </xf>
    <xf numFmtId="0" fontId="3" fillId="0" borderId="1" xfId="0" applyFont="1" applyBorder="1" applyAlignment="1">
      <alignment vertical="center"/>
    </xf>
    <xf numFmtId="0" fontId="3" fillId="0" borderId="0" xfId="0" applyFont="1"/>
    <xf numFmtId="164" fontId="3" fillId="0" borderId="6" xfId="1" applyNumberFormat="1" applyFont="1" applyBorder="1" applyAlignment="1">
      <alignment horizontal="center" vertical="center" wrapText="1"/>
    </xf>
    <xf numFmtId="0" fontId="5" fillId="0" borderId="6" xfId="0" applyFont="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9" fontId="5" fillId="0" borderId="1" xfId="2" applyFont="1" applyBorder="1" applyAlignment="1">
      <alignment horizontal="center" vertical="center" wrapText="1"/>
    </xf>
    <xf numFmtId="164" fontId="0" fillId="0" borderId="0" xfId="0" applyNumberFormat="1" applyFont="1"/>
    <xf numFmtId="9" fontId="5" fillId="0" borderId="18" xfId="2" applyFont="1" applyBorder="1" applyAlignment="1">
      <alignment horizontal="center" vertical="center" wrapText="1"/>
    </xf>
    <xf numFmtId="164" fontId="5" fillId="0" borderId="16" xfId="0" applyNumberFormat="1" applyFont="1" applyBorder="1" applyAlignment="1">
      <alignment horizontal="center" vertical="center" wrapText="1"/>
    </xf>
    <xf numFmtId="0" fontId="3" fillId="0" borderId="18" xfId="0" applyFont="1" applyBorder="1" applyAlignment="1">
      <alignment horizontal="center" vertical="center"/>
    </xf>
    <xf numFmtId="2" fontId="0" fillId="0" borderId="0" xfId="0" applyNumberFormat="1" applyFont="1"/>
    <xf numFmtId="0" fontId="3" fillId="0" borderId="6" xfId="0" applyFont="1" applyBorder="1" applyAlignment="1">
      <alignment horizontal="center" vertical="center"/>
    </xf>
    <xf numFmtId="0" fontId="0" fillId="0" borderId="1" xfId="0" applyFont="1" applyBorder="1" applyAlignment="1">
      <alignment vertical="center"/>
    </xf>
    <xf numFmtId="0" fontId="0" fillId="0" borderId="1" xfId="0" applyFont="1" applyBorder="1" applyAlignment="1">
      <alignment horizontal="center" vertical="center"/>
    </xf>
    <xf numFmtId="165" fontId="0" fillId="0" borderId="0" xfId="0" applyNumberFormat="1" applyFont="1"/>
    <xf numFmtId="164" fontId="0" fillId="0" borderId="0" xfId="0" applyNumberFormat="1" applyFont="1" applyAlignment="1">
      <alignment vertical="center"/>
    </xf>
    <xf numFmtId="164" fontId="0" fillId="0" borderId="0" xfId="0" applyNumberFormat="1" applyFont="1" applyAlignment="1">
      <alignment horizontal="left" vertical="center"/>
    </xf>
    <xf numFmtId="43" fontId="0" fillId="0" borderId="0" xfId="0" applyNumberFormat="1" applyFont="1"/>
    <xf numFmtId="164" fontId="0" fillId="0" borderId="0" xfId="1" applyNumberFormat="1" applyFont="1" applyAlignment="1">
      <alignment vertical="center"/>
    </xf>
    <xf numFmtId="43" fontId="0" fillId="0" borderId="0" xfId="1" applyNumberFormat="1" applyFont="1" applyAlignment="1">
      <alignment vertical="center"/>
    </xf>
    <xf numFmtId="164" fontId="3" fillId="0" borderId="1" xfId="1" applyNumberFormat="1" applyFont="1" applyBorder="1" applyAlignment="1">
      <alignment horizontal="center" vertical="center" wrapText="1"/>
    </xf>
    <xf numFmtId="9" fontId="0" fillId="0" borderId="3" xfId="0" applyNumberFormat="1" applyFont="1" applyBorder="1" applyAlignment="1">
      <alignment horizontal="center" vertical="center"/>
    </xf>
    <xf numFmtId="164" fontId="0" fillId="0" borderId="23" xfId="0" applyNumberFormat="1" applyFont="1" applyBorder="1" applyAlignment="1">
      <alignment horizontal="center" vertical="center"/>
    </xf>
    <xf numFmtId="0" fontId="0" fillId="0" borderId="19" xfId="0" applyFont="1" applyBorder="1" applyAlignment="1">
      <alignment horizontal="center" vertical="center"/>
    </xf>
    <xf numFmtId="164" fontId="3" fillId="0" borderId="6" xfId="1" applyNumberFormat="1" applyFont="1" applyBorder="1" applyAlignment="1">
      <alignment horizontal="center" vertical="center" wrapText="1"/>
    </xf>
    <xf numFmtId="0" fontId="0" fillId="0" borderId="6" xfId="0" applyFont="1" applyBorder="1" applyAlignment="1">
      <alignment horizontal="center" vertical="center"/>
    </xf>
    <xf numFmtId="164" fontId="3" fillId="0" borderId="0" xfId="1" applyNumberFormat="1" applyFont="1" applyBorder="1" applyAlignment="1">
      <alignment horizontal="center" vertical="center" wrapText="1"/>
    </xf>
    <xf numFmtId="164" fontId="3" fillId="0" borderId="1" xfId="1" applyNumberFormat="1" applyFont="1" applyBorder="1" applyAlignment="1">
      <alignment horizontal="left" vertical="center" wrapText="1"/>
    </xf>
    <xf numFmtId="15" fontId="0" fillId="0" borderId="1" xfId="0" applyNumberFormat="1" applyFont="1" applyBorder="1"/>
    <xf numFmtId="15" fontId="0" fillId="0" borderId="1" xfId="0" applyNumberFormat="1" applyFont="1" applyBorder="1" applyAlignment="1">
      <alignment horizontal="left"/>
    </xf>
    <xf numFmtId="0" fontId="0" fillId="0" borderId="0" xfId="0" applyFont="1" applyAlignment="1">
      <alignment horizontal="center" vertical="center" wrapText="1"/>
    </xf>
    <xf numFmtId="164" fontId="0" fillId="0" borderId="0" xfId="1" applyNumberFormat="1" applyFont="1" applyAlignment="1">
      <alignment horizontal="center" vertical="center" wrapText="1"/>
    </xf>
    <xf numFmtId="164" fontId="0" fillId="0" borderId="0" xfId="0" applyNumberFormat="1" applyFont="1" applyAlignment="1">
      <alignment horizontal="center" vertical="center" wrapText="1"/>
    </xf>
    <xf numFmtId="0" fontId="0" fillId="0" borderId="0" xfId="0" applyFont="1" applyFill="1" applyBorder="1"/>
    <xf numFmtId="0" fontId="0" fillId="0" borderId="1" xfId="0" applyBorder="1"/>
    <xf numFmtId="0" fontId="0" fillId="0" borderId="18" xfId="0" applyBorder="1"/>
    <xf numFmtId="16" fontId="0" fillId="0" borderId="18" xfId="0" applyNumberFormat="1" applyBorder="1" applyAlignment="1">
      <alignment horizontal="left"/>
    </xf>
    <xf numFmtId="0" fontId="0" fillId="0" borderId="18" xfId="0" applyBorder="1" applyAlignment="1">
      <alignment horizontal="left"/>
    </xf>
    <xf numFmtId="0" fontId="0" fillId="0" borderId="1" xfId="0" applyBorder="1" applyAlignment="1">
      <alignment wrapText="1"/>
    </xf>
    <xf numFmtId="0" fontId="0" fillId="0" borderId="1" xfId="0" applyBorder="1" applyAlignment="1">
      <alignment horizontal="center"/>
    </xf>
    <xf numFmtId="164" fontId="0" fillId="0" borderId="1" xfId="1" applyNumberFormat="1" applyFont="1" applyBorder="1"/>
    <xf numFmtId="164" fontId="1" fillId="0" borderId="1" xfId="1" applyNumberFormat="1" applyFont="1" applyBorder="1"/>
    <xf numFmtId="0" fontId="1" fillId="0" borderId="1" xfId="0" applyFont="1" applyBorder="1" applyAlignment="1">
      <alignment horizontal="center" vertical="center"/>
    </xf>
    <xf numFmtId="0" fontId="0" fillId="0" borderId="25" xfId="0" applyBorder="1" applyAlignment="1">
      <alignment horizontal="left"/>
    </xf>
    <xf numFmtId="0" fontId="1" fillId="0" borderId="6" xfId="0" applyFont="1" applyBorder="1" applyAlignment="1">
      <alignment horizontal="center"/>
    </xf>
    <xf numFmtId="0" fontId="1" fillId="0" borderId="6" xfId="0" applyFont="1" applyBorder="1" applyAlignment="1">
      <alignment horizontal="center" vertical="center"/>
    </xf>
    <xf numFmtId="0" fontId="0" fillId="0" borderId="0" xfId="0" applyBorder="1"/>
    <xf numFmtId="164" fontId="0" fillId="0" borderId="1" xfId="0" applyNumberFormat="1" applyBorder="1"/>
    <xf numFmtId="0" fontId="4" fillId="0" borderId="3" xfId="0" applyFont="1" applyBorder="1"/>
    <xf numFmtId="164" fontId="4" fillId="0" borderId="5" xfId="0" applyNumberFormat="1" applyFont="1" applyBorder="1"/>
    <xf numFmtId="0" fontId="0" fillId="0" borderId="0" xfId="0" applyFont="1" applyAlignment="1">
      <alignment horizontal="left" vertical="center" wrapText="1"/>
    </xf>
    <xf numFmtId="9" fontId="1" fillId="0" borderId="0" xfId="0" applyNumberFormat="1" applyFont="1" applyBorder="1" applyAlignment="1">
      <alignment horizontal="center" vertical="center"/>
    </xf>
    <xf numFmtId="0" fontId="0" fillId="0" borderId="0" xfId="0" applyFont="1" applyAlignment="1">
      <alignment horizontal="center" vertical="center" wrapText="1"/>
    </xf>
    <xf numFmtId="164" fontId="0" fillId="0" borderId="0" xfId="1" applyNumberFormat="1" applyFont="1" applyAlignment="1">
      <alignment horizontal="center" vertical="center"/>
    </xf>
    <xf numFmtId="0" fontId="0" fillId="0" borderId="1" xfId="0" applyBorder="1" applyAlignment="1">
      <alignment horizontal="center"/>
    </xf>
    <xf numFmtId="164" fontId="0" fillId="0" borderId="0" xfId="1" applyNumberFormat="1" applyFont="1" applyAlignment="1">
      <alignment vertical="top"/>
    </xf>
    <xf numFmtId="0" fontId="5" fillId="0" borderId="26" xfId="0"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xf numFmtId="0" fontId="0" fillId="0" borderId="1" xfId="0" applyBorder="1" applyAlignment="1">
      <alignment vertical="center" wrapText="1"/>
    </xf>
    <xf numFmtId="14" fontId="0" fillId="0" borderId="18" xfId="0" applyNumberFormat="1" applyBorder="1" applyAlignment="1">
      <alignment horizontal="left"/>
    </xf>
    <xf numFmtId="0" fontId="0" fillId="0" borderId="0" xfId="0" applyFont="1" applyBorder="1" applyAlignment="1">
      <alignment horizontal="center"/>
    </xf>
    <xf numFmtId="164" fontId="0" fillId="0" borderId="0" xfId="0" applyNumberFormat="1"/>
    <xf numFmtId="164" fontId="1" fillId="0" borderId="0" xfId="0" applyNumberFormat="1" applyFont="1" applyBorder="1" applyAlignment="1">
      <alignment horizontal="center" vertical="center"/>
    </xf>
    <xf numFmtId="0" fontId="0" fillId="0" borderId="1" xfId="0" applyBorder="1" applyAlignment="1">
      <alignment horizontal="center"/>
    </xf>
    <xf numFmtId="0" fontId="1" fillId="0" borderId="1" xfId="0" applyFont="1" applyBorder="1" applyAlignment="1">
      <alignment horizontal="center"/>
    </xf>
    <xf numFmtId="164" fontId="1" fillId="0" borderId="1" xfId="0" applyNumberFormat="1" applyFont="1" applyBorder="1"/>
    <xf numFmtId="0" fontId="9" fillId="0" borderId="1" xfId="0" applyFont="1" applyBorder="1" applyAlignment="1">
      <alignment vertical="center" wrapText="1"/>
    </xf>
    <xf numFmtId="0" fontId="10" fillId="0" borderId="1" xfId="1" applyNumberFormat="1" applyFont="1" applyBorder="1" applyAlignment="1">
      <alignment vertical="center"/>
    </xf>
    <xf numFmtId="0" fontId="1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5" fillId="2" borderId="1" xfId="0" applyFont="1" applyFill="1" applyBorder="1" applyAlignment="1">
      <alignment horizontal="left" vertical="center" wrapText="1"/>
    </xf>
    <xf numFmtId="9" fontId="5" fillId="2" borderId="1" xfId="2" applyFont="1" applyFill="1" applyBorder="1" applyAlignment="1">
      <alignment horizontal="center" vertical="center" wrapText="1"/>
    </xf>
    <xf numFmtId="164" fontId="5" fillId="2" borderId="16" xfId="0" applyNumberFormat="1" applyFont="1" applyFill="1" applyBorder="1" applyAlignment="1">
      <alignment horizontal="center" vertical="center" wrapText="1"/>
    </xf>
    <xf numFmtId="164" fontId="3" fillId="0" borderId="0" xfId="0" applyNumberFormat="1" applyFont="1"/>
    <xf numFmtId="164" fontId="4" fillId="0" borderId="18" xfId="1" applyNumberFormat="1" applyFont="1" applyBorder="1" applyAlignment="1">
      <alignment horizontal="center" vertical="center" wrapText="1"/>
    </xf>
    <xf numFmtId="164" fontId="3" fillId="2" borderId="1" xfId="1" applyNumberFormat="1" applyFont="1" applyFill="1" applyBorder="1" applyAlignment="1">
      <alignment horizontal="center" vertical="center" wrapText="1"/>
    </xf>
    <xf numFmtId="43" fontId="5" fillId="2" borderId="16" xfId="0" applyNumberFormat="1" applyFont="1" applyFill="1" applyBorder="1" applyAlignment="1">
      <alignment horizontal="center" vertical="center" wrapText="1"/>
    </xf>
    <xf numFmtId="0" fontId="0" fillId="0" borderId="1" xfId="0" applyBorder="1" applyAlignment="1">
      <alignment horizontal="center"/>
    </xf>
    <xf numFmtId="0" fontId="0" fillId="0" borderId="1" xfId="0" applyBorder="1" applyAlignment="1">
      <alignment horizontal="center"/>
    </xf>
    <xf numFmtId="164" fontId="1" fillId="0" borderId="1" xfId="1" applyNumberFormat="1" applyFont="1" applyBorder="1" applyAlignment="1">
      <alignment horizontal="center"/>
    </xf>
    <xf numFmtId="0" fontId="0" fillId="0" borderId="1" xfId="0" applyBorder="1" applyAlignment="1">
      <alignment horizontal="center"/>
    </xf>
    <xf numFmtId="164" fontId="4" fillId="0" borderId="5" xfId="0" applyNumberFormat="1" applyFont="1" applyBorder="1" applyAlignment="1">
      <alignment vertical="center"/>
    </xf>
    <xf numFmtId="0" fontId="5" fillId="3" borderId="1" xfId="0" applyFont="1" applyFill="1" applyBorder="1" applyAlignment="1">
      <alignment horizontal="left" vertical="center" wrapText="1"/>
    </xf>
    <xf numFmtId="164" fontId="5" fillId="3" borderId="1" xfId="1" applyNumberFormat="1" applyFont="1" applyFill="1" applyBorder="1" applyAlignment="1">
      <alignment horizontal="left" vertical="center" wrapText="1"/>
    </xf>
    <xf numFmtId="0" fontId="0" fillId="0" borderId="0" xfId="0" applyAlignment="1">
      <alignment vertical="center"/>
    </xf>
    <xf numFmtId="166" fontId="0" fillId="0" borderId="0" xfId="1" applyNumberFormat="1" applyFont="1"/>
    <xf numFmtId="164" fontId="11" fillId="0" borderId="0" xfId="0" applyNumberFormat="1" applyFont="1"/>
    <xf numFmtId="164" fontId="12" fillId="0" borderId="0" xfId="1" applyNumberFormat="1" applyFont="1"/>
    <xf numFmtId="164" fontId="13" fillId="0" borderId="0" xfId="0" applyNumberFormat="1" applyFont="1"/>
    <xf numFmtId="0" fontId="0" fillId="0" borderId="1" xfId="0" applyBorder="1" applyAlignment="1">
      <alignment horizontal="center"/>
    </xf>
    <xf numFmtId="1" fontId="0" fillId="0" borderId="1" xfId="0" applyNumberFormat="1" applyBorder="1"/>
    <xf numFmtId="9" fontId="0" fillId="0" borderId="0" xfId="2" applyFont="1"/>
    <xf numFmtId="1" fontId="0" fillId="0" borderId="0" xfId="0" applyNumberFormat="1"/>
    <xf numFmtId="0" fontId="1" fillId="0" borderId="0" xfId="0" applyFont="1" applyBorder="1" applyAlignment="1">
      <alignment horizontal="center"/>
    </xf>
    <xf numFmtId="0" fontId="1" fillId="0" borderId="0" xfId="0" applyFont="1" applyBorder="1" applyAlignment="1">
      <alignment horizontal="center" vertical="center"/>
    </xf>
    <xf numFmtId="164" fontId="0" fillId="0" borderId="0" xfId="1" applyNumberFormat="1" applyFont="1" applyBorder="1"/>
    <xf numFmtId="164" fontId="0" fillId="0" borderId="0" xfId="0" applyNumberFormat="1" applyBorder="1"/>
    <xf numFmtId="9" fontId="1" fillId="0" borderId="3" xfId="0" applyNumberFormat="1" applyFont="1" applyBorder="1" applyAlignment="1">
      <alignment horizontal="center" vertical="center"/>
    </xf>
    <xf numFmtId="9" fontId="1" fillId="0" borderId="4" xfId="0" applyNumberFormat="1" applyFont="1" applyBorder="1" applyAlignment="1">
      <alignment horizontal="center" vertical="center"/>
    </xf>
    <xf numFmtId="9" fontId="1" fillId="0" borderId="5" xfId="0" applyNumberFormat="1" applyFont="1" applyBorder="1" applyAlignment="1">
      <alignment horizontal="center" vertical="center"/>
    </xf>
    <xf numFmtId="0" fontId="4" fillId="0" borderId="2"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0" fillId="0" borderId="16" xfId="0" applyFont="1" applyBorder="1" applyAlignment="1">
      <alignment horizontal="center"/>
    </xf>
    <xf numFmtId="0" fontId="0" fillId="0" borderId="24" xfId="0" applyFont="1" applyBorder="1" applyAlignment="1">
      <alignment horizontal="center"/>
    </xf>
    <xf numFmtId="0" fontId="0" fillId="0" borderId="9" xfId="0" applyFont="1" applyBorder="1" applyAlignment="1">
      <alignment horizontal="center"/>
    </xf>
    <xf numFmtId="0" fontId="0" fillId="0" borderId="11" xfId="0" applyFont="1" applyBorder="1" applyAlignment="1">
      <alignment horizontal="center"/>
    </xf>
    <xf numFmtId="0" fontId="3" fillId="0" borderId="1" xfId="0" applyFont="1" applyBorder="1" applyAlignment="1">
      <alignment horizontal="left" vertical="center" wrapText="1"/>
    </xf>
    <xf numFmtId="0" fontId="3" fillId="0" borderId="9" xfId="0" applyFont="1" applyBorder="1" applyAlignment="1">
      <alignment horizontal="left" vertical="center" wrapText="1"/>
    </xf>
    <xf numFmtId="0" fontId="3" fillId="0" borderId="10" xfId="0" applyFont="1" applyBorder="1" applyAlignment="1">
      <alignment horizontal="left" vertical="center" wrapText="1"/>
    </xf>
    <xf numFmtId="0" fontId="3" fillId="0" borderId="11" xfId="0" applyFont="1" applyBorder="1" applyAlignment="1">
      <alignment horizontal="left" vertical="center" wrapText="1"/>
    </xf>
    <xf numFmtId="0" fontId="0" fillId="0" borderId="0" xfId="0" applyFont="1" applyAlignment="1">
      <alignment horizontal="center" vertical="center" wrapText="1"/>
    </xf>
    <xf numFmtId="0" fontId="0" fillId="0" borderId="2" xfId="0" applyFont="1" applyBorder="1" applyAlignment="1">
      <alignment horizontal="center" vertical="center"/>
    </xf>
    <xf numFmtId="0" fontId="0" fillId="0" borderId="7" xfId="0" applyFont="1" applyBorder="1" applyAlignment="1">
      <alignment horizontal="center" vertical="center"/>
    </xf>
    <xf numFmtId="0" fontId="0" fillId="0" borderId="8" xfId="0" applyFont="1" applyBorder="1" applyAlignment="1">
      <alignment horizontal="center" vertical="center"/>
    </xf>
    <xf numFmtId="164" fontId="7" fillId="0" borderId="22" xfId="1" applyNumberFormat="1" applyFont="1" applyBorder="1" applyAlignment="1">
      <alignment horizontal="center" vertical="center" wrapText="1"/>
    </xf>
    <xf numFmtId="164" fontId="7" fillId="0" borderId="20" xfId="1" applyNumberFormat="1" applyFont="1" applyBorder="1" applyAlignment="1">
      <alignment horizontal="center" vertical="center" wrapText="1"/>
    </xf>
    <xf numFmtId="164" fontId="7" fillId="0" borderId="21" xfId="1" applyNumberFormat="1" applyFont="1" applyBorder="1" applyAlignment="1">
      <alignment horizontal="center" vertical="center" wrapText="1"/>
    </xf>
    <xf numFmtId="0" fontId="0" fillId="0" borderId="1" xfId="0" applyFont="1" applyBorder="1" applyAlignment="1">
      <alignment horizontal="center"/>
    </xf>
    <xf numFmtId="164" fontId="0" fillId="0" borderId="0" xfId="1" applyNumberFormat="1" applyFont="1" applyAlignment="1">
      <alignment horizontal="center" vertical="center"/>
    </xf>
    <xf numFmtId="0" fontId="3" fillId="0" borderId="1" xfId="0" applyFont="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164" fontId="3" fillId="0" borderId="6" xfId="1" applyNumberFormat="1" applyFont="1" applyBorder="1" applyAlignment="1">
      <alignment horizontal="center" vertical="center" wrapText="1"/>
    </xf>
    <xf numFmtId="164" fontId="3" fillId="0" borderId="1" xfId="1"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0" fillId="0" borderId="12" xfId="0" applyFont="1" applyBorder="1" applyAlignment="1">
      <alignment horizontal="center"/>
    </xf>
    <xf numFmtId="0" fontId="0" fillId="0" borderId="0" xfId="0" applyFont="1" applyAlignment="1">
      <alignment horizontal="center"/>
    </xf>
    <xf numFmtId="0" fontId="0" fillId="0" borderId="12" xfId="0" applyFont="1" applyBorder="1" applyAlignment="1">
      <alignment horizontal="left" vertical="center" wrapText="1"/>
    </xf>
    <xf numFmtId="0" fontId="0" fillId="0" borderId="0" xfId="0" applyFont="1" applyBorder="1" applyAlignment="1">
      <alignment horizontal="left" vertical="center" wrapText="1"/>
    </xf>
    <xf numFmtId="0" fontId="4" fillId="0" borderId="2"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3" fillId="0" borderId="6" xfId="0" applyFont="1" applyBorder="1" applyAlignment="1">
      <alignment horizontal="left" vertical="center" wrapText="1"/>
    </xf>
    <xf numFmtId="0" fontId="1" fillId="0" borderId="2"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0" fillId="0" borderId="1" xfId="0" applyBorder="1" applyAlignment="1">
      <alignment horizontal="center"/>
    </xf>
    <xf numFmtId="0" fontId="0" fillId="0" borderId="11" xfId="0" applyBorder="1" applyAlignment="1">
      <alignment horizontal="center"/>
    </xf>
    <xf numFmtId="0" fontId="0" fillId="0" borderId="27" xfId="0" applyBorder="1" applyAlignment="1">
      <alignment horizontal="center"/>
    </xf>
    <xf numFmtId="0" fontId="0" fillId="0" borderId="28" xfId="0" applyBorder="1" applyAlignment="1">
      <alignment horizontal="center"/>
    </xf>
    <xf numFmtId="0" fontId="0" fillId="0" borderId="0" xfId="0" applyBorder="1" applyAlignment="1">
      <alignment horizontal="center"/>
    </xf>
    <xf numFmtId="43" fontId="0" fillId="0" borderId="1" xfId="0" applyNumberFormat="1" applyBorder="1"/>
    <xf numFmtId="43" fontId="0" fillId="0" borderId="0" xfId="0" applyNumberFormat="1"/>
    <xf numFmtId="43" fontId="0" fillId="0" borderId="1" xfId="1" applyNumberFormat="1" applyFont="1" applyBorder="1"/>
    <xf numFmtId="9" fontId="5" fillId="3" borderId="1" xfId="2" applyFont="1" applyFill="1" applyBorder="1" applyAlignment="1">
      <alignment horizontal="center" vertical="center" wrapText="1"/>
    </xf>
    <xf numFmtId="164" fontId="5" fillId="3" borderId="16" xfId="0" applyNumberFormat="1" applyFont="1" applyFill="1" applyBorder="1" applyAlignment="1">
      <alignment horizontal="center" vertical="center" wrapText="1"/>
    </xf>
    <xf numFmtId="164" fontId="0" fillId="0" borderId="9" xfId="1" applyNumberFormat="1" applyFont="1" applyBorder="1"/>
    <xf numFmtId="0" fontId="0" fillId="0" borderId="9" xfId="0" applyBorder="1"/>
    <xf numFmtId="164" fontId="0" fillId="0" borderId="18" xfId="1" applyNumberFormat="1" applyFont="1" applyBorder="1"/>
    <xf numFmtId="0" fontId="0" fillId="0" borderId="6" xfId="0" applyBorder="1"/>
    <xf numFmtId="0" fontId="4" fillId="0" borderId="32" xfId="0" applyFont="1" applyBorder="1" applyAlignment="1">
      <alignment horizontal="center" vertical="center"/>
    </xf>
    <xf numFmtId="0" fontId="4" fillId="0" borderId="33" xfId="0" applyFont="1" applyBorder="1" applyAlignment="1">
      <alignment horizontal="center" vertical="center"/>
    </xf>
    <xf numFmtId="164" fontId="14" fillId="0" borderId="34" xfId="0" applyNumberFormat="1" applyFont="1" applyBorder="1" applyAlignment="1">
      <alignment horizontal="center" vertical="center"/>
    </xf>
    <xf numFmtId="164" fontId="7" fillId="0" borderId="29" xfId="1" applyNumberFormat="1" applyFont="1" applyBorder="1" applyAlignment="1">
      <alignment horizontal="center" vertical="center"/>
    </xf>
    <xf numFmtId="164" fontId="7" fillId="0" borderId="30" xfId="1" applyNumberFormat="1" applyFont="1" applyBorder="1" applyAlignment="1">
      <alignment horizontal="center" vertical="center"/>
    </xf>
    <xf numFmtId="164" fontId="7" fillId="0" borderId="31" xfId="1" applyNumberFormat="1" applyFont="1" applyBorder="1" applyAlignment="1">
      <alignment horizontal="center" vertical="center"/>
    </xf>
    <xf numFmtId="0" fontId="1" fillId="0" borderId="1" xfId="0" applyFont="1" applyBorder="1" applyAlignment="1">
      <alignment horizontal="center"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5.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2" Type="http://schemas.openxmlformats.org/officeDocument/2006/relationships/image" Target="../media/image3.jpeg"/><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jpeg"/></Relationships>
</file>

<file path=xl/drawings/_rels/drawing9.x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3</xdr:col>
      <xdr:colOff>323850</xdr:colOff>
      <xdr:row>0</xdr:row>
      <xdr:rowOff>28575</xdr:rowOff>
    </xdr:from>
    <xdr:to>
      <xdr:col>4</xdr:col>
      <xdr:colOff>600075</xdr:colOff>
      <xdr:row>1</xdr:row>
      <xdr:rowOff>209550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48225" y="28575"/>
          <a:ext cx="1209675" cy="438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4</xdr:col>
      <xdr:colOff>66676</xdr:colOff>
      <xdr:row>0</xdr:row>
      <xdr:rowOff>43836</xdr:rowOff>
    </xdr:from>
    <xdr:to>
      <xdr:col>4</xdr:col>
      <xdr:colOff>866776</xdr:colOff>
      <xdr:row>1</xdr:row>
      <xdr:rowOff>148648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86251" y="43836"/>
          <a:ext cx="800100" cy="3048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76200</xdr:colOff>
      <xdr:row>0</xdr:row>
      <xdr:rowOff>43836</xdr:rowOff>
    </xdr:from>
    <xdr:to>
      <xdr:col>4</xdr:col>
      <xdr:colOff>942975</xdr:colOff>
      <xdr:row>1</xdr:row>
      <xdr:rowOff>136913</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38650" y="43836"/>
          <a:ext cx="866775" cy="2931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76200</xdr:colOff>
      <xdr:row>0</xdr:row>
      <xdr:rowOff>43836</xdr:rowOff>
    </xdr:from>
    <xdr:to>
      <xdr:col>4</xdr:col>
      <xdr:colOff>990600</xdr:colOff>
      <xdr:row>1</xdr:row>
      <xdr:rowOff>171450</xdr:rowOff>
    </xdr:to>
    <xdr:pic>
      <xdr:nvPicPr>
        <xdr:cNvPr id="6" name="Picture 5"/>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57700" y="43836"/>
          <a:ext cx="914400" cy="327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4</xdr:col>
      <xdr:colOff>76200</xdr:colOff>
      <xdr:row>0</xdr:row>
      <xdr:rowOff>43836</xdr:rowOff>
    </xdr:from>
    <xdr:to>
      <xdr:col>4</xdr:col>
      <xdr:colOff>990600</xdr:colOff>
      <xdr:row>1</xdr:row>
      <xdr:rowOff>161925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57700" y="43836"/>
          <a:ext cx="914400" cy="3276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4</xdr:col>
      <xdr:colOff>76200</xdr:colOff>
      <xdr:row>0</xdr:row>
      <xdr:rowOff>43836</xdr:rowOff>
    </xdr:from>
    <xdr:to>
      <xdr:col>4</xdr:col>
      <xdr:colOff>990600</xdr:colOff>
      <xdr:row>1</xdr:row>
      <xdr:rowOff>152400</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57700" y="43836"/>
          <a:ext cx="914400" cy="3181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4</xdr:col>
      <xdr:colOff>76200</xdr:colOff>
      <xdr:row>0</xdr:row>
      <xdr:rowOff>43836</xdr:rowOff>
    </xdr:from>
    <xdr:to>
      <xdr:col>4</xdr:col>
      <xdr:colOff>942975</xdr:colOff>
      <xdr:row>1</xdr:row>
      <xdr:rowOff>127388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38650" y="43836"/>
          <a:ext cx="866775" cy="2931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4</xdr:col>
      <xdr:colOff>76200</xdr:colOff>
      <xdr:row>0</xdr:row>
      <xdr:rowOff>43836</xdr:rowOff>
    </xdr:from>
    <xdr:to>
      <xdr:col>4</xdr:col>
      <xdr:colOff>942975</xdr:colOff>
      <xdr:row>1</xdr:row>
      <xdr:rowOff>117863</xdr:rowOff>
    </xdr:to>
    <xdr:pic>
      <xdr:nvPicPr>
        <xdr:cNvPr id="4" name="Picture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067300" y="43836"/>
          <a:ext cx="866775" cy="2835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123825</xdr:colOff>
      <xdr:row>0</xdr:row>
      <xdr:rowOff>43836</xdr:rowOff>
    </xdr:from>
    <xdr:to>
      <xdr:col>4</xdr:col>
      <xdr:colOff>895350</xdr:colOff>
      <xdr:row>1</xdr:row>
      <xdr:rowOff>190501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95850" y="43836"/>
          <a:ext cx="771525" cy="36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123825</xdr:colOff>
      <xdr:row>11</xdr:row>
      <xdr:rowOff>53361</xdr:rowOff>
    </xdr:from>
    <xdr:to>
      <xdr:col>4</xdr:col>
      <xdr:colOff>895350</xdr:colOff>
      <xdr:row>12</xdr:row>
      <xdr:rowOff>180976</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95850" y="53361"/>
          <a:ext cx="771525" cy="3657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123825</xdr:colOff>
      <xdr:row>0</xdr:row>
      <xdr:rowOff>43836</xdr:rowOff>
    </xdr:from>
    <xdr:to>
      <xdr:col>4</xdr:col>
      <xdr:colOff>838200</xdr:colOff>
      <xdr:row>1</xdr:row>
      <xdr:rowOff>180976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62575" y="43836"/>
          <a:ext cx="714375" cy="3371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133349</xdr:colOff>
      <xdr:row>8</xdr:row>
      <xdr:rowOff>53361</xdr:rowOff>
    </xdr:from>
    <xdr:to>
      <xdr:col>4</xdr:col>
      <xdr:colOff>904874</xdr:colOff>
      <xdr:row>9</xdr:row>
      <xdr:rowOff>222394</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72099" y="1596411"/>
          <a:ext cx="771525" cy="36905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180975</xdr:colOff>
      <xdr:row>0</xdr:row>
      <xdr:rowOff>43836</xdr:rowOff>
    </xdr:from>
    <xdr:to>
      <xdr:col>4</xdr:col>
      <xdr:colOff>990600</xdr:colOff>
      <xdr:row>1</xdr:row>
      <xdr:rowOff>171451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00675" y="43836"/>
          <a:ext cx="809625" cy="3276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171449</xdr:colOff>
      <xdr:row>8</xdr:row>
      <xdr:rowOff>43836</xdr:rowOff>
    </xdr:from>
    <xdr:to>
      <xdr:col>4</xdr:col>
      <xdr:colOff>1009651</xdr:colOff>
      <xdr:row>9</xdr:row>
      <xdr:rowOff>184538</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19799" y="1586886"/>
          <a:ext cx="838202" cy="3407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180975</xdr:colOff>
      <xdr:row>0</xdr:row>
      <xdr:rowOff>43836</xdr:rowOff>
    </xdr:from>
    <xdr:to>
      <xdr:col>4</xdr:col>
      <xdr:colOff>1114425</xdr:colOff>
      <xdr:row>1</xdr:row>
      <xdr:rowOff>161926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105400" y="43836"/>
          <a:ext cx="933450" cy="3181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171448</xdr:colOff>
      <xdr:row>8</xdr:row>
      <xdr:rowOff>43836</xdr:rowOff>
    </xdr:from>
    <xdr:to>
      <xdr:col>4</xdr:col>
      <xdr:colOff>1047749</xdr:colOff>
      <xdr:row>9</xdr:row>
      <xdr:rowOff>175013</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095873" y="1586886"/>
          <a:ext cx="876301" cy="3312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180975</xdr:colOff>
      <xdr:row>0</xdr:row>
      <xdr:rowOff>43836</xdr:rowOff>
    </xdr:from>
    <xdr:to>
      <xdr:col>4</xdr:col>
      <xdr:colOff>1038225</xdr:colOff>
      <xdr:row>1</xdr:row>
      <xdr:rowOff>152401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29350" y="43836"/>
          <a:ext cx="857250" cy="3085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171448</xdr:colOff>
      <xdr:row>8</xdr:row>
      <xdr:rowOff>43836</xdr:rowOff>
    </xdr:from>
    <xdr:to>
      <xdr:col>4</xdr:col>
      <xdr:colOff>1095375</xdr:colOff>
      <xdr:row>9</xdr:row>
      <xdr:rowOff>165488</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48298" y="1586886"/>
          <a:ext cx="923927" cy="3216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228600</xdr:colOff>
      <xdr:row>0</xdr:row>
      <xdr:rowOff>43836</xdr:rowOff>
    </xdr:from>
    <xdr:to>
      <xdr:col>4</xdr:col>
      <xdr:colOff>971550</xdr:colOff>
      <xdr:row>1</xdr:row>
      <xdr:rowOff>142876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0" y="43836"/>
          <a:ext cx="742950" cy="2990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4</xdr:col>
      <xdr:colOff>238123</xdr:colOff>
      <xdr:row>0</xdr:row>
      <xdr:rowOff>43836</xdr:rowOff>
    </xdr:from>
    <xdr:to>
      <xdr:col>4</xdr:col>
      <xdr:colOff>990600</xdr:colOff>
      <xdr:row>1</xdr:row>
      <xdr:rowOff>146438</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33873" y="43836"/>
          <a:ext cx="752477" cy="30262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228599</xdr:colOff>
      <xdr:row>0</xdr:row>
      <xdr:rowOff>43836</xdr:rowOff>
    </xdr:from>
    <xdr:to>
      <xdr:col>4</xdr:col>
      <xdr:colOff>942974</xdr:colOff>
      <xdr:row>1</xdr:row>
      <xdr:rowOff>123825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905374" y="43836"/>
          <a:ext cx="714375" cy="280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67"/>
  <sheetViews>
    <sheetView view="pageBreakPreview" topLeftCell="A46" zoomScale="90" zoomScaleNormal="100" zoomScaleSheetLayoutView="90" workbookViewId="0">
      <selection activeCell="B62" sqref="B62"/>
    </sheetView>
  </sheetViews>
  <sheetFormatPr defaultRowHeight="20.25" customHeight="1" x14ac:dyDescent="0.25"/>
  <cols>
    <col min="1" max="1" width="9" style="7" customWidth="1"/>
    <col min="2" max="2" width="53.85546875" style="2" customWidth="1"/>
    <col min="3" max="3" width="19.42578125" style="3" customWidth="1"/>
    <col min="4" max="4" width="14" style="3" bestFit="1" customWidth="1"/>
    <col min="5" max="5" width="20.7109375" style="3" customWidth="1"/>
    <col min="6" max="6" width="16" style="3" customWidth="1"/>
    <col min="7" max="7" width="15.28515625" style="3" customWidth="1"/>
    <col min="8" max="8" width="13.28515625" style="3" bestFit="1" customWidth="1"/>
    <col min="9" max="9" width="29.5703125" style="3" customWidth="1"/>
    <col min="10" max="10" width="13.85546875" style="3" bestFit="1" customWidth="1"/>
    <col min="11" max="11" width="20.140625" style="3" bestFit="1" customWidth="1"/>
    <col min="12" max="12" width="15.140625" style="3" customWidth="1"/>
    <col min="13" max="13" width="13.5703125" style="3" customWidth="1"/>
    <col min="14" max="15" width="10.7109375" style="3" bestFit="1" customWidth="1"/>
    <col min="16" max="18" width="9.140625" style="3"/>
    <col min="19" max="19" width="36.5703125" style="3" customWidth="1"/>
    <col min="20" max="20" width="21.140625" style="3" customWidth="1"/>
    <col min="21" max="21" width="19" style="3" customWidth="1"/>
    <col min="22" max="22" width="17.28515625" style="3" customWidth="1"/>
    <col min="23" max="23" width="21.42578125" style="3" customWidth="1"/>
    <col min="24" max="16384" width="9.140625" style="3"/>
  </cols>
  <sheetData>
    <row r="1" spans="1:23" ht="20.25" customHeight="1" x14ac:dyDescent="0.25">
      <c r="A1" s="10" t="s">
        <v>45</v>
      </c>
      <c r="B1" s="54">
        <v>43227</v>
      </c>
      <c r="C1" s="11"/>
      <c r="D1" s="147"/>
      <c r="E1" s="147"/>
      <c r="F1" s="38" t="s">
        <v>100</v>
      </c>
    </row>
    <row r="2" spans="1:23" ht="20.25" customHeight="1" x14ac:dyDescent="0.25">
      <c r="A2" s="148" t="s">
        <v>46</v>
      </c>
      <c r="B2" s="149"/>
      <c r="C2" s="150"/>
      <c r="D2" s="147"/>
      <c r="E2" s="147"/>
      <c r="F2" s="53">
        <v>43235</v>
      </c>
      <c r="I2" s="145" t="s">
        <v>111</v>
      </c>
      <c r="J2" s="145"/>
      <c r="K2" s="145"/>
      <c r="L2" s="145"/>
      <c r="M2" s="145"/>
      <c r="N2" s="145"/>
      <c r="O2" s="145"/>
      <c r="P2" s="145"/>
      <c r="Q2" s="145"/>
    </row>
    <row r="3" spans="1:23" ht="20.25" customHeight="1" thickBot="1" x14ac:dyDescent="0.3">
      <c r="A3" s="12" t="s">
        <v>13</v>
      </c>
      <c r="B3" s="13" t="s">
        <v>1</v>
      </c>
      <c r="C3" s="14" t="s">
        <v>38</v>
      </c>
      <c r="D3" s="15" t="s">
        <v>39</v>
      </c>
      <c r="E3" s="16" t="s">
        <v>40</v>
      </c>
      <c r="I3" s="156" t="s">
        <v>185</v>
      </c>
      <c r="J3" s="156"/>
      <c r="K3" s="156"/>
      <c r="L3" s="86"/>
      <c r="M3" s="86"/>
      <c r="N3" s="86"/>
      <c r="O3" s="86"/>
      <c r="P3" s="86"/>
      <c r="Q3" s="86"/>
    </row>
    <row r="4" spans="1:23" ht="20.25" customHeight="1" thickBot="1" x14ac:dyDescent="0.3">
      <c r="A4" s="17"/>
      <c r="B4" s="18" t="s">
        <v>36</v>
      </c>
      <c r="C4" s="19">
        <f>E4/D4</f>
        <v>833.33333333333337</v>
      </c>
      <c r="D4" s="19">
        <v>3</v>
      </c>
      <c r="E4" s="20">
        <v>2500</v>
      </c>
      <c r="F4" s="4"/>
      <c r="J4" s="3" t="s">
        <v>113</v>
      </c>
      <c r="K4" s="3" t="s">
        <v>118</v>
      </c>
      <c r="L4" s="3" t="s">
        <v>187</v>
      </c>
      <c r="M4" s="3" t="s">
        <v>126</v>
      </c>
      <c r="N4" s="3" t="s">
        <v>175</v>
      </c>
    </row>
    <row r="5" spans="1:23" ht="20.25" customHeight="1" thickBot="1" x14ac:dyDescent="0.3">
      <c r="A5" s="153" t="s">
        <v>47</v>
      </c>
      <c r="B5" s="154"/>
      <c r="C5" s="154"/>
      <c r="D5" s="154"/>
      <c r="E5" s="155"/>
      <c r="F5" s="139" t="s">
        <v>61</v>
      </c>
      <c r="G5" s="140"/>
      <c r="H5" s="141"/>
      <c r="I5" s="3" t="s">
        <v>112</v>
      </c>
      <c r="J5" s="9">
        <v>300000</v>
      </c>
      <c r="K5" s="9">
        <v>300000</v>
      </c>
      <c r="L5" s="9"/>
      <c r="M5" s="9" t="s">
        <v>127</v>
      </c>
      <c r="N5" s="9"/>
    </row>
    <row r="6" spans="1:23" ht="20.25" customHeight="1" x14ac:dyDescent="0.25">
      <c r="A6" s="23">
        <v>1</v>
      </c>
      <c r="B6" s="22" t="s">
        <v>35</v>
      </c>
      <c r="C6" s="151">
        <v>2500</v>
      </c>
      <c r="D6" s="151">
        <v>3000</v>
      </c>
      <c r="E6" s="151">
        <f>D6*C6</f>
        <v>7500000</v>
      </c>
      <c r="F6" s="50" t="s">
        <v>62</v>
      </c>
      <c r="G6" s="130" t="s">
        <v>63</v>
      </c>
      <c r="H6" s="131"/>
      <c r="I6" s="3" t="s">
        <v>114</v>
      </c>
      <c r="J6" s="146">
        <v>495000</v>
      </c>
      <c r="K6" s="146">
        <f>J6</f>
        <v>495000</v>
      </c>
      <c r="L6" s="78"/>
      <c r="M6" s="9"/>
      <c r="N6" s="9"/>
    </row>
    <row r="7" spans="1:23" ht="20.25" customHeight="1" x14ac:dyDescent="0.25">
      <c r="A7" s="24">
        <v>2</v>
      </c>
      <c r="B7" s="21" t="s">
        <v>33</v>
      </c>
      <c r="C7" s="152"/>
      <c r="D7" s="152"/>
      <c r="E7" s="152"/>
      <c r="F7" s="38" t="s">
        <v>64</v>
      </c>
      <c r="G7" s="132" t="s">
        <v>65</v>
      </c>
      <c r="H7" s="133"/>
      <c r="I7" s="3" t="s">
        <v>115</v>
      </c>
      <c r="J7" s="146"/>
      <c r="K7" s="146"/>
      <c r="L7" s="78"/>
      <c r="M7" s="9" t="s">
        <v>129</v>
      </c>
      <c r="N7" s="9"/>
    </row>
    <row r="8" spans="1:23" ht="20.25" customHeight="1" x14ac:dyDescent="0.25">
      <c r="A8" s="24">
        <v>3</v>
      </c>
      <c r="B8" s="21" t="s">
        <v>32</v>
      </c>
      <c r="C8" s="152"/>
      <c r="D8" s="152"/>
      <c r="E8" s="152"/>
      <c r="F8" s="38" t="s">
        <v>66</v>
      </c>
      <c r="G8" s="132" t="s">
        <v>67</v>
      </c>
      <c r="H8" s="133"/>
      <c r="I8" s="58" t="s">
        <v>116</v>
      </c>
      <c r="J8" s="9">
        <f>25*620+(85*600)</f>
        <v>66500</v>
      </c>
      <c r="K8" s="9">
        <f>J8</f>
        <v>66500</v>
      </c>
      <c r="L8" s="9"/>
      <c r="M8" s="9" t="s">
        <v>125</v>
      </c>
      <c r="N8" s="9"/>
    </row>
    <row r="9" spans="1:23" ht="20.25" customHeight="1" x14ac:dyDescent="0.25">
      <c r="A9" s="24">
        <v>4</v>
      </c>
      <c r="B9" s="21" t="s">
        <v>31</v>
      </c>
      <c r="C9" s="152"/>
      <c r="D9" s="152"/>
      <c r="E9" s="152"/>
      <c r="F9" s="38" t="s">
        <v>68</v>
      </c>
      <c r="G9" s="132" t="s">
        <v>69</v>
      </c>
      <c r="H9" s="133"/>
      <c r="I9" s="58" t="s">
        <v>117</v>
      </c>
      <c r="J9" s="9">
        <f>30000+2000+200+400+24000</f>
        <v>56600</v>
      </c>
      <c r="K9" s="9">
        <f>J9</f>
        <v>56600</v>
      </c>
      <c r="L9" s="9"/>
      <c r="M9" s="9" t="s">
        <v>125</v>
      </c>
      <c r="N9" s="9"/>
    </row>
    <row r="10" spans="1:23" ht="20.25" customHeight="1" x14ac:dyDescent="0.25">
      <c r="A10" s="24">
        <v>5</v>
      </c>
      <c r="B10" s="21" t="s">
        <v>34</v>
      </c>
      <c r="C10" s="152"/>
      <c r="D10" s="152"/>
      <c r="E10" s="152"/>
      <c r="F10" s="38" t="s">
        <v>70</v>
      </c>
      <c r="G10" s="132" t="s">
        <v>71</v>
      </c>
      <c r="H10" s="133"/>
      <c r="I10" s="58" t="s">
        <v>119</v>
      </c>
      <c r="M10" s="9" t="s">
        <v>128</v>
      </c>
      <c r="N10" s="9">
        <v>700</v>
      </c>
      <c r="O10" s="9">
        <v>700</v>
      </c>
    </row>
    <row r="11" spans="1:23" ht="20.25" customHeight="1" x14ac:dyDescent="0.25">
      <c r="A11" s="24">
        <v>6</v>
      </c>
      <c r="B11" s="21" t="s">
        <v>49</v>
      </c>
      <c r="C11" s="152"/>
      <c r="D11" s="152"/>
      <c r="E11" s="152"/>
      <c r="F11" s="38" t="s">
        <v>72</v>
      </c>
      <c r="G11" s="132" t="s">
        <v>73</v>
      </c>
      <c r="H11" s="133"/>
      <c r="I11" s="58" t="s">
        <v>120</v>
      </c>
      <c r="M11" s="9" t="s">
        <v>125</v>
      </c>
      <c r="N11" s="9">
        <v>4500</v>
      </c>
      <c r="O11" s="9">
        <f>N11</f>
        <v>4500</v>
      </c>
    </row>
    <row r="12" spans="1:23" ht="20.25" customHeight="1" x14ac:dyDescent="0.25">
      <c r="A12" s="24">
        <v>7</v>
      </c>
      <c r="B12" s="21" t="s">
        <v>41</v>
      </c>
      <c r="C12" s="152"/>
      <c r="D12" s="152"/>
      <c r="E12" s="152"/>
      <c r="F12" s="38" t="s">
        <v>74</v>
      </c>
      <c r="G12" s="132" t="s">
        <v>75</v>
      </c>
      <c r="H12" s="133"/>
      <c r="I12" s="58" t="s">
        <v>121</v>
      </c>
      <c r="M12" s="9" t="s">
        <v>125</v>
      </c>
      <c r="N12" s="9">
        <v>1450</v>
      </c>
      <c r="O12" s="9">
        <f>N12</f>
        <v>1450</v>
      </c>
      <c r="S12" s="158" t="s">
        <v>16</v>
      </c>
      <c r="T12" s="158" t="s">
        <v>17</v>
      </c>
      <c r="U12" s="158" t="s">
        <v>18</v>
      </c>
      <c r="V12" s="158" t="s">
        <v>19</v>
      </c>
      <c r="W12" s="158" t="s">
        <v>20</v>
      </c>
    </row>
    <row r="13" spans="1:23" ht="20.25" customHeight="1" x14ac:dyDescent="0.25">
      <c r="A13" s="24">
        <v>8</v>
      </c>
      <c r="B13" s="21" t="s">
        <v>0</v>
      </c>
      <c r="C13" s="152"/>
      <c r="D13" s="152"/>
      <c r="E13" s="152"/>
      <c r="F13" s="37"/>
      <c r="G13" s="132"/>
      <c r="H13" s="133"/>
      <c r="I13" s="58" t="s">
        <v>123</v>
      </c>
      <c r="J13" s="9">
        <v>13000</v>
      </c>
      <c r="K13" s="9">
        <f>J13</f>
        <v>13000</v>
      </c>
      <c r="L13" s="9"/>
      <c r="M13" s="9" t="s">
        <v>125</v>
      </c>
      <c r="N13" s="9"/>
      <c r="S13" s="159"/>
      <c r="T13" s="159"/>
      <c r="U13" s="159"/>
      <c r="V13" s="159"/>
      <c r="W13" s="159"/>
    </row>
    <row r="14" spans="1:23" ht="20.25" customHeight="1" x14ac:dyDescent="0.25">
      <c r="A14" s="24">
        <v>9</v>
      </c>
      <c r="B14" s="21" t="s">
        <v>52</v>
      </c>
      <c r="C14" s="152"/>
      <c r="D14" s="152"/>
      <c r="E14" s="152"/>
      <c r="F14" s="37"/>
      <c r="G14" s="132"/>
      <c r="H14" s="133"/>
      <c r="I14" s="58" t="s">
        <v>124</v>
      </c>
      <c r="J14" s="9">
        <f>585*300</f>
        <v>175500</v>
      </c>
      <c r="K14" s="9">
        <v>175000</v>
      </c>
      <c r="L14" s="9"/>
      <c r="M14" s="9"/>
      <c r="N14" s="9"/>
      <c r="S14" s="159"/>
      <c r="T14" s="159"/>
      <c r="U14" s="159"/>
      <c r="V14" s="159"/>
      <c r="W14" s="159"/>
    </row>
    <row r="15" spans="1:23" ht="20.25" customHeight="1" x14ac:dyDescent="0.25">
      <c r="A15" s="24">
        <v>10</v>
      </c>
      <c r="B15" s="21" t="s">
        <v>37</v>
      </c>
      <c r="C15" s="152"/>
      <c r="D15" s="152"/>
      <c r="E15" s="152"/>
      <c r="F15" s="5"/>
      <c r="I15" s="4" t="s">
        <v>150</v>
      </c>
      <c r="J15" s="9"/>
      <c r="M15" s="9"/>
      <c r="N15" s="9">
        <f>1600*22</f>
        <v>35200</v>
      </c>
      <c r="S15" s="159"/>
      <c r="T15" s="159"/>
      <c r="U15" s="159"/>
      <c r="V15" s="159"/>
      <c r="W15" s="159"/>
    </row>
    <row r="16" spans="1:23" ht="20.25" customHeight="1" x14ac:dyDescent="0.25">
      <c r="A16" s="24">
        <v>11</v>
      </c>
      <c r="B16" s="21" t="s">
        <v>50</v>
      </c>
      <c r="C16" s="152"/>
      <c r="D16" s="152"/>
      <c r="E16" s="152"/>
      <c r="F16" s="5"/>
      <c r="I16" s="58" t="s">
        <v>151</v>
      </c>
      <c r="M16" s="9">
        <v>2000</v>
      </c>
      <c r="N16" s="9">
        <f>M16</f>
        <v>2000</v>
      </c>
      <c r="S16" s="159"/>
      <c r="T16" s="159"/>
      <c r="U16" s="159"/>
      <c r="V16" s="159"/>
      <c r="W16" s="159"/>
    </row>
    <row r="17" spans="1:23" ht="20.25" customHeight="1" thickBot="1" x14ac:dyDescent="0.3">
      <c r="A17" s="51"/>
      <c r="B17" s="51"/>
      <c r="C17" s="51"/>
      <c r="D17" s="51"/>
      <c r="E17" s="51"/>
      <c r="F17" s="5"/>
      <c r="I17" s="58" t="s">
        <v>152</v>
      </c>
      <c r="M17" s="9">
        <v>4000</v>
      </c>
      <c r="N17" s="9">
        <f>M17</f>
        <v>4000</v>
      </c>
      <c r="S17" s="159"/>
      <c r="T17" s="159"/>
      <c r="U17" s="159"/>
      <c r="V17" s="159"/>
      <c r="W17" s="159"/>
    </row>
    <row r="18" spans="1:23" ht="20.25" customHeight="1" x14ac:dyDescent="0.25">
      <c r="A18" s="142" t="s">
        <v>90</v>
      </c>
      <c r="B18" s="143"/>
      <c r="C18" s="143"/>
      <c r="D18" s="143"/>
      <c r="E18" s="144"/>
      <c r="F18" s="5"/>
      <c r="I18" s="58" t="s">
        <v>153</v>
      </c>
      <c r="M18" s="9">
        <v>2500</v>
      </c>
      <c r="N18" s="9">
        <f>M18</f>
        <v>2500</v>
      </c>
      <c r="S18" s="159"/>
      <c r="T18" s="159"/>
      <c r="U18" s="159"/>
      <c r="V18" s="159"/>
      <c r="W18" s="159"/>
    </row>
    <row r="19" spans="1:23" ht="20.25" customHeight="1" x14ac:dyDescent="0.25">
      <c r="A19" s="45" t="s">
        <v>91</v>
      </c>
      <c r="B19" s="45" t="s">
        <v>1</v>
      </c>
      <c r="C19" s="45" t="s">
        <v>92</v>
      </c>
      <c r="D19" s="45" t="s">
        <v>14</v>
      </c>
      <c r="E19" s="45" t="s">
        <v>15</v>
      </c>
      <c r="F19" s="5"/>
      <c r="L19" s="3" t="s">
        <v>187</v>
      </c>
      <c r="M19" s="3" t="s">
        <v>189</v>
      </c>
      <c r="S19" s="159"/>
      <c r="T19" s="159"/>
      <c r="U19" s="159"/>
      <c r="V19" s="159"/>
      <c r="W19" s="159"/>
    </row>
    <row r="20" spans="1:23" ht="24.75" customHeight="1" x14ac:dyDescent="0.25">
      <c r="A20" s="45">
        <v>1</v>
      </c>
      <c r="B20" s="52" t="s">
        <v>94</v>
      </c>
      <c r="C20" s="45">
        <f>16*9</f>
        <v>144</v>
      </c>
      <c r="D20" s="45">
        <v>3030</v>
      </c>
      <c r="E20" s="45">
        <f>D20*C20</f>
        <v>436320</v>
      </c>
      <c r="F20" s="5"/>
      <c r="I20" s="58"/>
      <c r="L20" s="31">
        <f>SUM(K5:K14)</f>
        <v>1106100</v>
      </c>
      <c r="M20" s="9">
        <f>+N18+N17+N16+N12+N11+N10</f>
        <v>15150</v>
      </c>
      <c r="N20" s="9"/>
      <c r="S20" s="159"/>
      <c r="T20" s="159"/>
      <c r="U20" s="159"/>
      <c r="V20" s="159"/>
      <c r="W20" s="159"/>
    </row>
    <row r="21" spans="1:23" ht="31.5" x14ac:dyDescent="0.25">
      <c r="A21" s="45">
        <v>2</v>
      </c>
      <c r="B21" s="52" t="s">
        <v>93</v>
      </c>
      <c r="C21" s="45">
        <f>144*3</f>
        <v>432</v>
      </c>
      <c r="D21" s="45">
        <v>3000</v>
      </c>
      <c r="E21" s="45">
        <f>D21*C21</f>
        <v>1296000</v>
      </c>
      <c r="F21" s="5"/>
      <c r="I21" s="157" t="s">
        <v>184</v>
      </c>
      <c r="J21" s="157"/>
      <c r="K21" s="157"/>
      <c r="L21" s="157"/>
      <c r="M21" s="157"/>
      <c r="S21" s="159"/>
      <c r="T21" s="159"/>
      <c r="U21" s="159"/>
      <c r="V21" s="159"/>
      <c r="W21" s="159"/>
    </row>
    <row r="22" spans="1:23" ht="20.25" customHeight="1" x14ac:dyDescent="0.25">
      <c r="A22" s="45">
        <v>3</v>
      </c>
      <c r="B22" s="52" t="s">
        <v>99</v>
      </c>
      <c r="C22" s="45">
        <v>3000</v>
      </c>
      <c r="D22" s="45">
        <v>180</v>
      </c>
      <c r="E22" s="45">
        <f>D22*C22</f>
        <v>540000</v>
      </c>
      <c r="F22" s="5"/>
      <c r="I22" s="58" t="s">
        <v>154</v>
      </c>
      <c r="M22" s="9">
        <v>1000</v>
      </c>
      <c r="N22" s="9">
        <f>M22</f>
        <v>1000</v>
      </c>
      <c r="S22" s="159"/>
      <c r="T22" s="159"/>
      <c r="U22" s="159"/>
      <c r="V22" s="159"/>
      <c r="W22" s="159"/>
    </row>
    <row r="23" spans="1:23" ht="20.25" customHeight="1" x14ac:dyDescent="0.25">
      <c r="A23" s="51"/>
      <c r="B23" s="51"/>
      <c r="C23" s="51"/>
      <c r="D23" s="101" t="s">
        <v>95</v>
      </c>
      <c r="E23" s="101">
        <f>+E22+E20+E6</f>
        <v>8476320</v>
      </c>
      <c r="F23" s="5"/>
      <c r="I23" s="58" t="s">
        <v>155</v>
      </c>
      <c r="M23" s="9">
        <f>1500+14000</f>
        <v>15500</v>
      </c>
      <c r="N23" s="31">
        <f>M23</f>
        <v>15500</v>
      </c>
      <c r="S23" s="159"/>
      <c r="T23" s="159"/>
      <c r="U23" s="159"/>
      <c r="V23" s="159"/>
      <c r="W23" s="159"/>
    </row>
    <row r="24" spans="1:23" ht="20.25" customHeight="1" x14ac:dyDescent="0.25">
      <c r="A24" s="51"/>
      <c r="B24" s="102" t="s">
        <v>205</v>
      </c>
      <c r="C24" s="102">
        <v>1566</v>
      </c>
      <c r="D24" s="102">
        <f>180</f>
        <v>180</v>
      </c>
      <c r="E24" s="102">
        <f>D24*C24</f>
        <v>281880</v>
      </c>
      <c r="F24" s="5"/>
      <c r="I24" s="58" t="s">
        <v>156</v>
      </c>
      <c r="J24" s="9">
        <v>189000</v>
      </c>
      <c r="K24" s="9">
        <f t="shared" ref="K24:K27" si="0">J24</f>
        <v>189000</v>
      </c>
      <c r="L24" s="9"/>
      <c r="R24" s="9">
        <v>23500</v>
      </c>
      <c r="S24" s="159"/>
      <c r="T24" s="159"/>
      <c r="U24" s="159"/>
      <c r="V24" s="159"/>
      <c r="W24" s="159"/>
    </row>
    <row r="25" spans="1:23" ht="20.25" customHeight="1" x14ac:dyDescent="0.25">
      <c r="A25" s="51"/>
      <c r="B25" s="51"/>
      <c r="C25" s="100"/>
      <c r="D25" s="25" t="s">
        <v>95</v>
      </c>
      <c r="E25" s="100">
        <f>E24+E23</f>
        <v>8758200</v>
      </c>
      <c r="F25" s="5"/>
      <c r="I25" s="75" t="s">
        <v>157</v>
      </c>
      <c r="J25" s="56">
        <v>19500</v>
      </c>
      <c r="K25" s="9">
        <f t="shared" si="0"/>
        <v>19500</v>
      </c>
      <c r="L25" s="9"/>
      <c r="P25" s="75" t="s">
        <v>160</v>
      </c>
      <c r="Q25" s="56">
        <v>24500</v>
      </c>
      <c r="S25" s="159"/>
      <c r="T25" s="159"/>
      <c r="U25" s="159"/>
      <c r="V25" s="159"/>
      <c r="W25" s="159"/>
    </row>
    <row r="26" spans="1:23" ht="20.25" customHeight="1" thickBot="1" x14ac:dyDescent="0.3">
      <c r="A26" s="51"/>
      <c r="B26" s="51"/>
      <c r="C26" s="25"/>
      <c r="D26" s="25"/>
      <c r="E26" s="25"/>
      <c r="F26" s="5"/>
      <c r="I26" s="75" t="s">
        <v>158</v>
      </c>
      <c r="J26" s="56">
        <v>42000</v>
      </c>
      <c r="K26" s="9">
        <f t="shared" si="0"/>
        <v>42000</v>
      </c>
      <c r="L26" s="9"/>
      <c r="R26" s="9">
        <f>Q27</f>
        <v>50000</v>
      </c>
      <c r="S26" s="159"/>
      <c r="T26" s="159"/>
      <c r="U26" s="159"/>
      <c r="V26" s="159"/>
      <c r="W26" s="159"/>
    </row>
    <row r="27" spans="1:23" ht="20.25" customHeight="1" thickBot="1" x14ac:dyDescent="0.3">
      <c r="A27" s="160" t="s">
        <v>21</v>
      </c>
      <c r="B27" s="161"/>
      <c r="C27" s="161"/>
      <c r="D27" s="161"/>
      <c r="E27" s="162"/>
      <c r="F27" s="5"/>
      <c r="I27" s="75" t="s">
        <v>159</v>
      </c>
      <c r="J27" s="56">
        <v>40000</v>
      </c>
      <c r="K27" s="9">
        <f t="shared" si="0"/>
        <v>40000</v>
      </c>
      <c r="L27" s="9"/>
      <c r="P27" s="75" t="s">
        <v>162</v>
      </c>
      <c r="Q27" s="56">
        <v>50000</v>
      </c>
      <c r="S27" s="159"/>
      <c r="T27" s="159"/>
      <c r="U27" s="159"/>
      <c r="V27" s="159"/>
      <c r="W27" s="159"/>
    </row>
    <row r="28" spans="1:23" ht="20.25" customHeight="1" x14ac:dyDescent="0.25">
      <c r="A28" s="26">
        <v>1</v>
      </c>
      <c r="B28" s="163" t="s">
        <v>22</v>
      </c>
      <c r="C28" s="163"/>
      <c r="D28" s="163"/>
      <c r="E28" s="163"/>
      <c r="F28" s="5"/>
      <c r="I28" s="75" t="s">
        <v>161</v>
      </c>
      <c r="J28" s="56">
        <f>100*580</f>
        <v>58000</v>
      </c>
      <c r="K28" s="9">
        <f>J28</f>
        <v>58000</v>
      </c>
      <c r="L28" s="9"/>
      <c r="S28" s="159"/>
      <c r="T28" s="159"/>
      <c r="U28" s="159"/>
      <c r="V28" s="159"/>
      <c r="W28" s="159"/>
    </row>
    <row r="29" spans="1:23" ht="24" customHeight="1" x14ac:dyDescent="0.25">
      <c r="A29" s="26">
        <v>2</v>
      </c>
      <c r="B29" s="135" t="s">
        <v>43</v>
      </c>
      <c r="C29" s="136"/>
      <c r="D29" s="136"/>
      <c r="E29" s="137"/>
      <c r="F29" s="5"/>
      <c r="I29" s="75" t="s">
        <v>165</v>
      </c>
      <c r="J29" s="56">
        <v>2830</v>
      </c>
      <c r="K29" s="9">
        <f>J29</f>
        <v>2830</v>
      </c>
      <c r="L29" s="9"/>
      <c r="S29" s="159"/>
      <c r="T29" s="159"/>
      <c r="U29" s="159"/>
      <c r="V29" s="159"/>
      <c r="W29" s="159"/>
    </row>
    <row r="30" spans="1:23" ht="29.25" customHeight="1" x14ac:dyDescent="0.25">
      <c r="A30" s="26">
        <v>3</v>
      </c>
      <c r="B30" s="134" t="s">
        <v>30</v>
      </c>
      <c r="C30" s="134"/>
      <c r="D30" s="134"/>
      <c r="E30" s="134"/>
      <c r="F30" s="5"/>
      <c r="I30" s="75" t="s">
        <v>166</v>
      </c>
      <c r="J30" s="56">
        <v>6560</v>
      </c>
      <c r="K30" s="9">
        <f>J30</f>
        <v>6560</v>
      </c>
      <c r="L30" s="9"/>
      <c r="O30" s="55"/>
      <c r="S30" s="159"/>
      <c r="T30" s="159"/>
      <c r="U30" s="159"/>
      <c r="V30" s="159"/>
      <c r="W30" s="159"/>
    </row>
    <row r="31" spans="1:23" ht="22.5" customHeight="1" x14ac:dyDescent="0.25">
      <c r="A31" s="26">
        <v>4</v>
      </c>
      <c r="B31" s="134" t="s">
        <v>23</v>
      </c>
      <c r="C31" s="134"/>
      <c r="D31" s="134"/>
      <c r="E31" s="134"/>
      <c r="F31" s="5"/>
      <c r="I31" s="75" t="s">
        <v>167</v>
      </c>
      <c r="J31" s="9"/>
      <c r="N31" s="3">
        <f>4500+5500+2250</f>
        <v>12250</v>
      </c>
      <c r="O31" s="55"/>
      <c r="S31" s="159"/>
      <c r="T31" s="159"/>
      <c r="U31" s="159"/>
      <c r="V31" s="159"/>
      <c r="W31" s="159"/>
    </row>
    <row r="32" spans="1:23" ht="27.75" customHeight="1" x14ac:dyDescent="0.25">
      <c r="A32" s="26">
        <v>5</v>
      </c>
      <c r="B32" s="134" t="s">
        <v>24</v>
      </c>
      <c r="C32" s="134"/>
      <c r="D32" s="134"/>
      <c r="E32" s="134"/>
      <c r="F32" s="5"/>
      <c r="I32" s="75" t="s">
        <v>168</v>
      </c>
      <c r="N32" s="9">
        <v>4000</v>
      </c>
      <c r="O32" s="55"/>
      <c r="S32" s="159"/>
      <c r="T32" s="159"/>
      <c r="U32" s="159"/>
      <c r="V32" s="159"/>
      <c r="W32" s="159"/>
    </row>
    <row r="33" spans="1:23" ht="20.25" customHeight="1" x14ac:dyDescent="0.25">
      <c r="A33" s="26">
        <v>6</v>
      </c>
      <c r="B33" s="134" t="s">
        <v>25</v>
      </c>
      <c r="C33" s="134"/>
      <c r="D33" s="134"/>
      <c r="E33" s="134"/>
      <c r="F33" s="5"/>
      <c r="I33" s="75" t="s">
        <v>169</v>
      </c>
      <c r="J33" s="9">
        <f>31*400</f>
        <v>12400</v>
      </c>
      <c r="K33" s="31">
        <f t="shared" ref="K33:K41" si="1">J33</f>
        <v>12400</v>
      </c>
      <c r="L33" s="31"/>
      <c r="O33" s="56"/>
      <c r="S33" s="159"/>
      <c r="T33" s="159"/>
      <c r="U33" s="159"/>
      <c r="V33" s="159"/>
      <c r="W33" s="159"/>
    </row>
    <row r="34" spans="1:23" ht="20.25" customHeight="1" x14ac:dyDescent="0.25">
      <c r="A34" s="26">
        <v>7</v>
      </c>
      <c r="B34" s="134" t="s">
        <v>53</v>
      </c>
      <c r="C34" s="134"/>
      <c r="D34" s="134"/>
      <c r="E34" s="134"/>
      <c r="F34" s="5"/>
      <c r="I34" s="75" t="s">
        <v>170</v>
      </c>
      <c r="J34" s="9">
        <f>1000*25</f>
        <v>25000</v>
      </c>
      <c r="K34" s="31">
        <f t="shared" si="1"/>
        <v>25000</v>
      </c>
      <c r="L34" s="31"/>
      <c r="M34" s="3" t="s">
        <v>172</v>
      </c>
      <c r="O34" s="56"/>
      <c r="S34" s="159"/>
      <c r="T34" s="159"/>
      <c r="U34" s="159"/>
      <c r="V34" s="159"/>
      <c r="W34" s="159"/>
    </row>
    <row r="35" spans="1:23" ht="20.25" customHeight="1" x14ac:dyDescent="0.25">
      <c r="A35" s="26">
        <v>8</v>
      </c>
      <c r="B35" s="134" t="s">
        <v>26</v>
      </c>
      <c r="C35" s="134"/>
      <c r="D35" s="134"/>
      <c r="E35" s="134"/>
      <c r="F35" s="5"/>
      <c r="I35" s="75" t="s">
        <v>171</v>
      </c>
      <c r="J35" s="9">
        <v>83000</v>
      </c>
      <c r="K35" s="31">
        <f t="shared" si="1"/>
        <v>83000</v>
      </c>
      <c r="L35" s="31"/>
      <c r="M35" s="3" t="s">
        <v>172</v>
      </c>
      <c r="N35" s="55"/>
      <c r="O35" s="56"/>
      <c r="S35" s="159"/>
      <c r="T35" s="159"/>
      <c r="U35" s="159"/>
      <c r="V35" s="159"/>
      <c r="W35" s="159"/>
    </row>
    <row r="36" spans="1:23" ht="30" customHeight="1" x14ac:dyDescent="0.25">
      <c r="A36" s="26">
        <v>9</v>
      </c>
      <c r="B36" s="134" t="s">
        <v>96</v>
      </c>
      <c r="C36" s="134"/>
      <c r="D36" s="134"/>
      <c r="E36" s="134"/>
      <c r="F36" s="5"/>
      <c r="I36" s="75" t="s">
        <v>173</v>
      </c>
      <c r="J36" s="9">
        <f>+(2042*93)+1500</f>
        <v>191406</v>
      </c>
      <c r="K36" s="31">
        <f t="shared" si="1"/>
        <v>191406</v>
      </c>
      <c r="L36" s="31"/>
      <c r="M36" s="3" t="s">
        <v>172</v>
      </c>
      <c r="N36" s="56"/>
      <c r="O36" s="56"/>
      <c r="R36" s="55"/>
      <c r="S36" s="138" t="s">
        <v>102</v>
      </c>
      <c r="T36" s="138"/>
      <c r="U36" s="138"/>
      <c r="W36" s="6"/>
    </row>
    <row r="37" spans="1:23" ht="20.25" customHeight="1" x14ac:dyDescent="0.25">
      <c r="A37" s="26">
        <v>10</v>
      </c>
      <c r="B37" s="134" t="s">
        <v>56</v>
      </c>
      <c r="C37" s="134"/>
      <c r="D37" s="134"/>
      <c r="E37" s="134"/>
      <c r="F37" s="5"/>
      <c r="I37" s="75" t="s">
        <v>174</v>
      </c>
      <c r="J37" s="9">
        <v>4200</v>
      </c>
      <c r="K37" s="31">
        <f t="shared" si="1"/>
        <v>4200</v>
      </c>
      <c r="L37" s="31"/>
      <c r="M37" s="3" t="s">
        <v>172</v>
      </c>
      <c r="N37" s="56"/>
      <c r="O37" s="31"/>
      <c r="P37" s="3" t="s">
        <v>186</v>
      </c>
      <c r="R37" s="55"/>
      <c r="S37" s="55">
        <f>2700*600</f>
        <v>1620000</v>
      </c>
      <c r="T37" s="55"/>
      <c r="U37" s="55"/>
      <c r="W37" s="6"/>
    </row>
    <row r="38" spans="1:23" ht="22.5" customHeight="1" x14ac:dyDescent="0.25">
      <c r="A38" s="26">
        <v>11</v>
      </c>
      <c r="B38" s="134" t="s">
        <v>27</v>
      </c>
      <c r="C38" s="134"/>
      <c r="D38" s="134"/>
      <c r="E38" s="134"/>
      <c r="F38" s="5"/>
      <c r="I38" s="75" t="s">
        <v>177</v>
      </c>
      <c r="J38" s="9">
        <v>600</v>
      </c>
      <c r="K38" s="31">
        <f t="shared" si="1"/>
        <v>600</v>
      </c>
      <c r="L38" s="31"/>
      <c r="N38" s="56"/>
      <c r="O38" s="56"/>
      <c r="P38" s="75" t="s">
        <v>176</v>
      </c>
      <c r="Q38" s="9">
        <v>12500</v>
      </c>
      <c r="R38" s="55"/>
      <c r="S38" s="56">
        <f>2700*700</f>
        <v>1890000</v>
      </c>
      <c r="T38" s="55"/>
      <c r="U38" s="55"/>
      <c r="W38" s="6"/>
    </row>
    <row r="39" spans="1:23" ht="18.75" customHeight="1" x14ac:dyDescent="0.25">
      <c r="A39" s="26">
        <v>12</v>
      </c>
      <c r="B39" s="134" t="s">
        <v>57</v>
      </c>
      <c r="C39" s="134"/>
      <c r="D39" s="134"/>
      <c r="E39" s="134"/>
      <c r="F39" s="5"/>
      <c r="I39" s="75" t="s">
        <v>178</v>
      </c>
      <c r="J39" s="9">
        <v>250</v>
      </c>
      <c r="K39" s="31">
        <f t="shared" si="1"/>
        <v>250</v>
      </c>
      <c r="L39" s="31"/>
      <c r="N39" s="56"/>
      <c r="O39" s="56"/>
      <c r="R39" s="55"/>
      <c r="S39" s="56">
        <v>8400000</v>
      </c>
      <c r="T39" s="55"/>
      <c r="U39" s="57">
        <f>S39*40%</f>
        <v>3360000</v>
      </c>
      <c r="W39" s="6"/>
    </row>
    <row r="40" spans="1:23" ht="15.75" x14ac:dyDescent="0.25">
      <c r="A40" s="26">
        <v>13</v>
      </c>
      <c r="B40" s="134" t="s">
        <v>28</v>
      </c>
      <c r="C40" s="134"/>
      <c r="D40" s="134"/>
      <c r="E40" s="134"/>
      <c r="F40" s="5"/>
      <c r="I40" s="75" t="s">
        <v>179</v>
      </c>
      <c r="J40" s="9">
        <v>250</v>
      </c>
      <c r="K40" s="31">
        <f t="shared" si="1"/>
        <v>250</v>
      </c>
      <c r="L40" s="31"/>
      <c r="O40" s="56"/>
      <c r="R40" s="55"/>
      <c r="S40" s="57">
        <f>S39-S38</f>
        <v>6510000</v>
      </c>
      <c r="T40" s="55"/>
      <c r="U40" s="57" t="e">
        <f>U39+S37+U46+#REF!+S41</f>
        <v>#REF!</v>
      </c>
      <c r="W40" s="6"/>
    </row>
    <row r="41" spans="1:23" ht="20.25" customHeight="1" x14ac:dyDescent="0.25">
      <c r="A41" s="26">
        <v>14</v>
      </c>
      <c r="B41" s="135" t="s">
        <v>97</v>
      </c>
      <c r="C41" s="136"/>
      <c r="D41" s="136"/>
      <c r="E41" s="137"/>
      <c r="F41" s="5"/>
      <c r="I41" s="75" t="s">
        <v>180</v>
      </c>
      <c r="J41" s="9">
        <v>60</v>
      </c>
      <c r="K41" s="31">
        <f t="shared" si="1"/>
        <v>60</v>
      </c>
      <c r="L41" s="31" t="s">
        <v>187</v>
      </c>
      <c r="M41" s="3" t="s">
        <v>189</v>
      </c>
      <c r="N41" s="56"/>
      <c r="O41" s="56"/>
      <c r="R41" s="55"/>
      <c r="S41" s="55">
        <f>15*90000</f>
        <v>1350000</v>
      </c>
      <c r="T41" s="57">
        <f>+S41+S38</f>
        <v>3240000</v>
      </c>
      <c r="U41" s="55"/>
      <c r="W41" s="6"/>
    </row>
    <row r="42" spans="1:23" ht="20.25" customHeight="1" x14ac:dyDescent="0.25">
      <c r="A42" s="26">
        <v>15</v>
      </c>
      <c r="B42" s="134" t="s">
        <v>48</v>
      </c>
      <c r="C42" s="134"/>
      <c r="D42" s="134"/>
      <c r="E42" s="134"/>
      <c r="F42" s="5"/>
      <c r="L42" s="9">
        <f>SUM(K22:K41)</f>
        <v>675056</v>
      </c>
      <c r="M42" s="31">
        <f>+N32+N31+N23+N22</f>
        <v>32750</v>
      </c>
      <c r="N42" s="56"/>
      <c r="O42" s="56"/>
      <c r="R42" s="55"/>
      <c r="S42" s="57">
        <f>S40-S41</f>
        <v>5160000</v>
      </c>
      <c r="T42" s="55"/>
      <c r="U42" s="55"/>
    </row>
    <row r="43" spans="1:23" ht="20.25" customHeight="1" x14ac:dyDescent="0.25">
      <c r="A43" s="49">
        <v>16</v>
      </c>
      <c r="B43" s="134" t="s">
        <v>101</v>
      </c>
      <c r="C43" s="134"/>
      <c r="D43" s="134"/>
      <c r="E43" s="134"/>
      <c r="F43" s="5"/>
      <c r="N43" s="56"/>
      <c r="O43" s="56"/>
      <c r="R43" s="55" t="s">
        <v>103</v>
      </c>
      <c r="S43" s="57">
        <f>S42-U39</f>
        <v>1800000</v>
      </c>
      <c r="T43" s="55"/>
      <c r="U43" s="55"/>
    </row>
    <row r="44" spans="1:23" ht="20.25" customHeight="1" x14ac:dyDescent="0.25">
      <c r="A44" s="49">
        <v>17</v>
      </c>
      <c r="B44" s="135" t="s">
        <v>42</v>
      </c>
      <c r="C44" s="136"/>
      <c r="D44" s="136"/>
      <c r="E44" s="137"/>
      <c r="F44" s="5"/>
      <c r="N44" s="56"/>
      <c r="O44" s="55"/>
    </row>
    <row r="45" spans="1:23" ht="20.25" customHeight="1" x14ac:dyDescent="0.25">
      <c r="A45" s="49">
        <v>18</v>
      </c>
      <c r="B45" s="135" t="s">
        <v>51</v>
      </c>
      <c r="C45" s="136"/>
      <c r="D45" s="136"/>
      <c r="E45" s="137"/>
      <c r="F45" s="5"/>
      <c r="I45" s="55"/>
      <c r="J45" s="9"/>
      <c r="N45" s="56"/>
      <c r="O45" s="55"/>
    </row>
    <row r="46" spans="1:23" ht="20.25" customHeight="1" x14ac:dyDescent="0.25">
      <c r="A46" s="49">
        <v>19</v>
      </c>
      <c r="B46" s="134" t="s">
        <v>77</v>
      </c>
      <c r="C46" s="134"/>
      <c r="D46" s="134"/>
      <c r="E46" s="134"/>
      <c r="F46" s="5"/>
      <c r="I46" s="55"/>
      <c r="J46" s="9"/>
      <c r="N46" s="56"/>
      <c r="S46" s="55"/>
      <c r="T46" s="55"/>
      <c r="U46" s="55">
        <f>600*600</f>
        <v>360000</v>
      </c>
    </row>
    <row r="47" spans="1:23" ht="20.25" customHeight="1" x14ac:dyDescent="0.25">
      <c r="A47" s="49">
        <v>20</v>
      </c>
      <c r="B47" s="134" t="s">
        <v>76</v>
      </c>
      <c r="C47" s="134"/>
      <c r="D47" s="134"/>
      <c r="E47" s="134"/>
      <c r="I47" s="55"/>
      <c r="J47" s="56"/>
      <c r="K47" s="55"/>
      <c r="L47" s="77"/>
      <c r="M47" s="55"/>
      <c r="N47" s="55"/>
    </row>
    <row r="48" spans="1:23" ht="20.25" customHeight="1" thickBot="1" x14ac:dyDescent="0.3">
      <c r="A48" s="25"/>
      <c r="B48" s="25"/>
      <c r="C48" s="25"/>
      <c r="D48" s="25"/>
      <c r="E48" s="25"/>
      <c r="F48" s="5"/>
      <c r="I48" s="55"/>
      <c r="J48" s="56"/>
      <c r="K48" s="55"/>
      <c r="L48" s="77"/>
      <c r="M48" s="55"/>
      <c r="N48" s="55"/>
      <c r="S48" s="55"/>
      <c r="T48" s="55"/>
      <c r="U48" s="55"/>
    </row>
    <row r="49" spans="1:21" ht="20.25" customHeight="1" thickBot="1" x14ac:dyDescent="0.3">
      <c r="A49" s="127" t="s">
        <v>29</v>
      </c>
      <c r="B49" s="128"/>
      <c r="C49" s="128"/>
      <c r="D49" s="128"/>
      <c r="E49" s="129"/>
      <c r="F49" s="5"/>
      <c r="J49" s="9"/>
      <c r="S49" s="55"/>
      <c r="T49" s="56" t="s">
        <v>104</v>
      </c>
      <c r="U49" s="56">
        <f>350*2700</f>
        <v>945000</v>
      </c>
    </row>
    <row r="50" spans="1:21" ht="30" customHeight="1" x14ac:dyDescent="0.25">
      <c r="A50" s="27" t="s">
        <v>44</v>
      </c>
      <c r="B50" s="27" t="s">
        <v>1</v>
      </c>
      <c r="C50" s="27" t="s">
        <v>2</v>
      </c>
      <c r="D50" s="27" t="s">
        <v>3</v>
      </c>
      <c r="E50" s="36" t="s">
        <v>60</v>
      </c>
      <c r="F50" s="1" t="s">
        <v>163</v>
      </c>
      <c r="G50" s="81" t="s">
        <v>164</v>
      </c>
      <c r="H50" s="81" t="s">
        <v>188</v>
      </c>
      <c r="S50" s="55"/>
      <c r="T50" s="56" t="s">
        <v>105</v>
      </c>
      <c r="U50" s="56">
        <v>250000</v>
      </c>
    </row>
    <row r="51" spans="1:21" ht="15.75" x14ac:dyDescent="0.25">
      <c r="A51" s="28">
        <v>1</v>
      </c>
      <c r="B51" s="97" t="s">
        <v>4</v>
      </c>
      <c r="C51" s="98">
        <v>0.1</v>
      </c>
      <c r="D51" s="99">
        <f>$E$23*C51</f>
        <v>847632</v>
      </c>
      <c r="E51" s="10"/>
      <c r="F51" s="80">
        <v>1000000</v>
      </c>
      <c r="G51" s="31">
        <f>F51-D51</f>
        <v>152368</v>
      </c>
      <c r="H51" s="9">
        <f>+L20</f>
        <v>1106100</v>
      </c>
      <c r="S51" s="55"/>
      <c r="T51" s="56" t="s">
        <v>106</v>
      </c>
      <c r="U51" s="56">
        <v>250000</v>
      </c>
    </row>
    <row r="52" spans="1:21" ht="15.75" x14ac:dyDescent="0.25">
      <c r="A52" s="28">
        <v>2</v>
      </c>
      <c r="B52" s="97" t="s">
        <v>5</v>
      </c>
      <c r="C52" s="98">
        <v>0.14000000000000001</v>
      </c>
      <c r="D52" s="99">
        <f t="shared" ref="D52:D64" si="2">$E$23*C52</f>
        <v>1186684.8</v>
      </c>
      <c r="E52" s="10">
        <v>30</v>
      </c>
      <c r="F52" s="80">
        <f>D52-G51</f>
        <v>1034316.8</v>
      </c>
      <c r="H52" s="9">
        <f>+L42</f>
        <v>675056</v>
      </c>
      <c r="S52" s="55"/>
      <c r="T52" s="56" t="s">
        <v>107</v>
      </c>
      <c r="U52" s="56">
        <v>250000</v>
      </c>
    </row>
    <row r="53" spans="1:21" ht="15.75" x14ac:dyDescent="0.25">
      <c r="A53" s="28">
        <v>3</v>
      </c>
      <c r="B53" s="97" t="s">
        <v>12</v>
      </c>
      <c r="C53" s="98">
        <v>0.1</v>
      </c>
      <c r="D53" s="99">
        <f t="shared" si="2"/>
        <v>847632</v>
      </c>
      <c r="E53" s="10">
        <v>25</v>
      </c>
      <c r="F53" s="80">
        <f>D53</f>
        <v>847632</v>
      </c>
      <c r="H53" s="9"/>
      <c r="S53" s="55"/>
      <c r="T53" s="56"/>
      <c r="U53" s="56">
        <f>SUM(U49:U52)</f>
        <v>1695000</v>
      </c>
    </row>
    <row r="54" spans="1:21" ht="18" x14ac:dyDescent="0.25">
      <c r="A54" s="28">
        <v>4</v>
      </c>
      <c r="B54" s="97" t="s">
        <v>54</v>
      </c>
      <c r="C54" s="98">
        <v>0.09</v>
      </c>
      <c r="D54" s="99">
        <f t="shared" si="2"/>
        <v>762868.79999999993</v>
      </c>
      <c r="E54" s="10">
        <v>25</v>
      </c>
      <c r="F54" s="80">
        <f>D54</f>
        <v>762868.79999999993</v>
      </c>
      <c r="H54" s="9"/>
      <c r="S54" s="55"/>
      <c r="T54" s="56" t="s">
        <v>81</v>
      </c>
      <c r="U54" s="56">
        <v>1300000</v>
      </c>
    </row>
    <row r="55" spans="1:21" ht="15.75" x14ac:dyDescent="0.25">
      <c r="A55" s="28">
        <v>5</v>
      </c>
      <c r="B55" s="97" t="s">
        <v>59</v>
      </c>
      <c r="C55" s="98">
        <v>0.05</v>
      </c>
      <c r="D55" s="99">
        <f t="shared" si="2"/>
        <v>423816</v>
      </c>
      <c r="E55" s="10">
        <v>45</v>
      </c>
      <c r="F55" s="80"/>
      <c r="H55" s="9"/>
      <c r="S55" s="55"/>
      <c r="T55" s="56" t="s">
        <v>108</v>
      </c>
      <c r="U55" s="56">
        <v>400000</v>
      </c>
    </row>
    <row r="56" spans="1:21" ht="19.5" customHeight="1" x14ac:dyDescent="0.25">
      <c r="A56" s="28">
        <v>6</v>
      </c>
      <c r="B56" s="97" t="s">
        <v>55</v>
      </c>
      <c r="C56" s="98">
        <v>0.05</v>
      </c>
      <c r="D56" s="99">
        <f t="shared" si="2"/>
        <v>423816</v>
      </c>
      <c r="E56" s="10">
        <v>25</v>
      </c>
      <c r="F56" s="80"/>
      <c r="G56" s="9">
        <f>3635*70</f>
        <v>254450</v>
      </c>
      <c r="H56" s="9"/>
      <c r="S56" s="55"/>
      <c r="T56" s="56" t="s">
        <v>109</v>
      </c>
      <c r="U56" s="56">
        <v>400000</v>
      </c>
    </row>
    <row r="57" spans="1:21" ht="15.75" x14ac:dyDescent="0.25">
      <c r="A57" s="28">
        <v>7</v>
      </c>
      <c r="B57" s="97" t="s">
        <v>6</v>
      </c>
      <c r="C57" s="98">
        <v>0.1</v>
      </c>
      <c r="D57" s="99">
        <f t="shared" si="2"/>
        <v>847632</v>
      </c>
      <c r="E57" s="10">
        <v>30</v>
      </c>
      <c r="F57" s="80"/>
      <c r="H57" s="9"/>
      <c r="S57" s="55"/>
      <c r="T57" s="56" t="s">
        <v>110</v>
      </c>
      <c r="U57" s="56">
        <v>3500000</v>
      </c>
    </row>
    <row r="58" spans="1:21" ht="15.75" x14ac:dyDescent="0.25">
      <c r="A58" s="28">
        <v>8</v>
      </c>
      <c r="B58" s="29" t="s">
        <v>7</v>
      </c>
      <c r="C58" s="30">
        <v>0.04</v>
      </c>
      <c r="D58" s="33">
        <f t="shared" si="2"/>
        <v>339052.79999999999</v>
      </c>
      <c r="E58" s="10">
        <v>15</v>
      </c>
      <c r="F58" s="43"/>
      <c r="S58" s="55"/>
      <c r="T58" s="56"/>
      <c r="U58" s="56">
        <f>+U57+U56+U55+U54+U53</f>
        <v>7295000</v>
      </c>
    </row>
    <row r="59" spans="1:21" ht="15.75" x14ac:dyDescent="0.25">
      <c r="A59" s="28">
        <v>9</v>
      </c>
      <c r="B59" s="109" t="s">
        <v>8</v>
      </c>
      <c r="C59" s="175">
        <v>0.05</v>
      </c>
      <c r="D59" s="176">
        <f t="shared" si="2"/>
        <v>423816</v>
      </c>
      <c r="E59" s="10">
        <v>20</v>
      </c>
      <c r="F59" s="43"/>
      <c r="G59" s="3">
        <f>395063</f>
        <v>395063</v>
      </c>
      <c r="J59" s="3" t="s">
        <v>237</v>
      </c>
      <c r="K59" s="9">
        <v>2500000</v>
      </c>
      <c r="L59" s="9"/>
      <c r="M59" s="9"/>
      <c r="N59" s="112"/>
      <c r="S59" s="55"/>
      <c r="T59" s="56"/>
      <c r="U59" s="56"/>
    </row>
    <row r="60" spans="1:21" ht="15.75" x14ac:dyDescent="0.25">
      <c r="A60" s="28">
        <v>10</v>
      </c>
      <c r="B60" s="29" t="s">
        <v>9</v>
      </c>
      <c r="C60" s="30">
        <v>0.08</v>
      </c>
      <c r="D60" s="33">
        <f t="shared" si="2"/>
        <v>678105.59999999998</v>
      </c>
      <c r="E60" s="10">
        <v>45</v>
      </c>
      <c r="F60" s="43"/>
      <c r="G60" s="31">
        <f>G59-D59</f>
        <v>-28753</v>
      </c>
      <c r="J60" s="3" t="s">
        <v>238</v>
      </c>
      <c r="K60" s="9">
        <v>1200000</v>
      </c>
      <c r="L60" s="9"/>
      <c r="M60" s="9"/>
      <c r="N60" s="112"/>
    </row>
    <row r="61" spans="1:21" ht="21.75" customHeight="1" x14ac:dyDescent="0.25">
      <c r="A61" s="28">
        <v>11</v>
      </c>
      <c r="B61" s="97" t="s">
        <v>58</v>
      </c>
      <c r="C61" s="98">
        <v>0.05</v>
      </c>
      <c r="D61" s="99">
        <f t="shared" si="2"/>
        <v>423816</v>
      </c>
      <c r="E61" s="10">
        <v>30</v>
      </c>
      <c r="F61" s="43"/>
      <c r="J61" s="3" t="s">
        <v>239</v>
      </c>
      <c r="K61" s="9">
        <v>975000</v>
      </c>
      <c r="L61" s="9"/>
      <c r="M61" s="9"/>
      <c r="N61" s="112"/>
    </row>
    <row r="62" spans="1:21" ht="21.75" customHeight="1" x14ac:dyDescent="0.25">
      <c r="A62" s="28">
        <v>12</v>
      </c>
      <c r="B62" s="97" t="s">
        <v>98</v>
      </c>
      <c r="C62" s="98">
        <v>0.06</v>
      </c>
      <c r="D62" s="103">
        <f>$E$23*C62+E24</f>
        <v>790459.2</v>
      </c>
      <c r="E62" s="10">
        <v>12</v>
      </c>
      <c r="F62" s="43">
        <f>E22+E24</f>
        <v>821880</v>
      </c>
      <c r="J62" s="3" t="s">
        <v>240</v>
      </c>
      <c r="K62" s="9">
        <v>1050000</v>
      </c>
      <c r="L62" s="9"/>
      <c r="M62" s="9"/>
      <c r="N62" s="112"/>
    </row>
    <row r="63" spans="1:21" ht="21" customHeight="1" x14ac:dyDescent="0.25">
      <c r="A63" s="28">
        <v>13</v>
      </c>
      <c r="B63" s="97" t="s">
        <v>10</v>
      </c>
      <c r="C63" s="98">
        <v>0.04</v>
      </c>
      <c r="D63" s="99">
        <f t="shared" si="2"/>
        <v>339052.79999999999</v>
      </c>
      <c r="E63" s="10">
        <v>10</v>
      </c>
      <c r="F63" s="43"/>
      <c r="J63" s="3" t="s">
        <v>241</v>
      </c>
      <c r="K63" s="9">
        <v>400000</v>
      </c>
      <c r="L63" s="9"/>
      <c r="M63" s="9"/>
      <c r="N63" s="112"/>
    </row>
    <row r="64" spans="1:21" ht="15.75" x14ac:dyDescent="0.25">
      <c r="A64" s="28">
        <v>14</v>
      </c>
      <c r="B64" s="29" t="s">
        <v>11</v>
      </c>
      <c r="C64" s="32">
        <v>0.05</v>
      </c>
      <c r="D64" s="33">
        <f t="shared" si="2"/>
        <v>423816</v>
      </c>
      <c r="E64" s="34"/>
      <c r="F64" s="43"/>
      <c r="J64" s="3" t="s">
        <v>242</v>
      </c>
      <c r="K64" s="31">
        <f>+D64+D63+D6</f>
        <v>765868.8</v>
      </c>
    </row>
    <row r="65" spans="1:11" ht="19.5" thickBot="1" x14ac:dyDescent="0.35">
      <c r="A65" s="28">
        <v>15</v>
      </c>
      <c r="B65" s="109" t="s">
        <v>192</v>
      </c>
      <c r="C65" s="109"/>
      <c r="D65" s="110">
        <v>450000</v>
      </c>
      <c r="E65" s="29"/>
      <c r="F65" s="43"/>
      <c r="K65" s="113">
        <f>SUM(K59:K64)</f>
        <v>6890868.7999999998</v>
      </c>
    </row>
    <row r="66" spans="1:11" ht="36" customHeight="1" thickBot="1" x14ac:dyDescent="0.4">
      <c r="A66" s="3"/>
      <c r="B66" s="3"/>
      <c r="C66" s="46">
        <f>SUM(C51:C64)</f>
        <v>1.0000000000000002</v>
      </c>
      <c r="D66" s="47">
        <f>SUM(D51:D65)</f>
        <v>9208200</v>
      </c>
      <c r="E66" s="48">
        <f>SUM(E52:E64)</f>
        <v>312</v>
      </c>
      <c r="F66" s="40">
        <f>SUM(F51:F64)</f>
        <v>4466697.5999999996</v>
      </c>
      <c r="H66" s="40">
        <f>SUM(H51:H64)</f>
        <v>1781156</v>
      </c>
      <c r="J66" s="3" t="s">
        <v>243</v>
      </c>
      <c r="K66" s="114">
        <f>6500000</f>
        <v>6500000</v>
      </c>
    </row>
    <row r="67" spans="1:11" ht="36" customHeight="1" x14ac:dyDescent="0.4">
      <c r="A67" s="3"/>
      <c r="B67" s="3"/>
      <c r="G67" s="3" t="s">
        <v>190</v>
      </c>
      <c r="H67" s="31">
        <f>F66-H66</f>
        <v>2685541.5999999996</v>
      </c>
      <c r="K67" s="115">
        <f>K66/3</f>
        <v>2166666.6666666665</v>
      </c>
    </row>
    <row r="68" spans="1:11" ht="36" customHeight="1" x14ac:dyDescent="0.25">
      <c r="A68" s="3"/>
      <c r="B68" s="3"/>
      <c r="C68" s="76"/>
      <c r="D68" s="76"/>
      <c r="E68" s="76"/>
      <c r="F68" s="76"/>
      <c r="G68" s="76" t="s">
        <v>191</v>
      </c>
      <c r="H68" s="76">
        <f>H67/F66</f>
        <v>0.60123649292936232</v>
      </c>
    </row>
    <row r="69" spans="1:11" ht="36" customHeight="1" x14ac:dyDescent="0.25">
      <c r="A69" s="3"/>
      <c r="B69" s="3"/>
      <c r="C69" s="76"/>
      <c r="D69" s="76"/>
      <c r="E69" s="76"/>
      <c r="F69" s="76"/>
      <c r="G69" s="76"/>
      <c r="H69" s="88"/>
    </row>
    <row r="70" spans="1:11" ht="36" customHeight="1" x14ac:dyDescent="0.25">
      <c r="A70" s="3"/>
      <c r="B70" s="3"/>
      <c r="C70" s="76"/>
      <c r="D70" s="76"/>
      <c r="E70" s="76"/>
      <c r="F70" s="76"/>
      <c r="G70" s="76"/>
      <c r="H70" s="76"/>
    </row>
    <row r="71" spans="1:11" ht="36" customHeight="1" x14ac:dyDescent="0.25">
      <c r="A71" s="3"/>
      <c r="B71" s="3"/>
      <c r="C71" s="76"/>
      <c r="D71" s="76"/>
      <c r="E71" s="76"/>
      <c r="F71" s="76"/>
      <c r="G71" s="76"/>
      <c r="H71" s="76"/>
    </row>
    <row r="72" spans="1:11" ht="36" customHeight="1" x14ac:dyDescent="0.25">
      <c r="A72" s="3"/>
      <c r="B72" s="3"/>
      <c r="C72" s="76"/>
      <c r="D72" s="76"/>
      <c r="E72" s="76"/>
      <c r="F72" s="76"/>
      <c r="G72" s="76"/>
      <c r="H72" s="76"/>
    </row>
    <row r="73" spans="1:11" ht="36" customHeight="1" x14ac:dyDescent="0.25">
      <c r="A73" s="3"/>
      <c r="B73" s="3"/>
      <c r="C73" s="76"/>
      <c r="D73" s="76"/>
      <c r="E73" s="76"/>
      <c r="F73" s="76"/>
      <c r="G73" s="76"/>
      <c r="H73" s="76"/>
    </row>
    <row r="74" spans="1:11" ht="36" customHeight="1" x14ac:dyDescent="0.25">
      <c r="A74" s="3"/>
      <c r="B74" s="3"/>
      <c r="C74" s="76"/>
      <c r="D74" s="76"/>
      <c r="E74" s="76"/>
      <c r="F74" s="76"/>
      <c r="G74" s="76"/>
      <c r="H74" s="76"/>
    </row>
    <row r="75" spans="1:11" ht="36" customHeight="1" x14ac:dyDescent="0.25">
      <c r="A75" s="3"/>
      <c r="B75" s="3"/>
      <c r="C75" s="76"/>
      <c r="D75" s="76"/>
      <c r="E75" s="76"/>
      <c r="F75" s="76"/>
      <c r="G75" s="76"/>
      <c r="H75" s="76"/>
    </row>
    <row r="76" spans="1:11" ht="36" customHeight="1" x14ac:dyDescent="0.25">
      <c r="A76" s="3"/>
      <c r="B76" s="3"/>
      <c r="C76" s="76"/>
      <c r="D76" s="76"/>
      <c r="E76" s="76"/>
      <c r="F76" s="76"/>
      <c r="G76" s="76"/>
      <c r="H76" s="76"/>
    </row>
    <row r="77" spans="1:11" ht="36" customHeight="1" x14ac:dyDescent="0.25">
      <c r="A77" s="3"/>
      <c r="B77" s="3"/>
      <c r="C77" s="76"/>
      <c r="D77" s="76"/>
      <c r="E77" s="76"/>
      <c r="F77" s="76"/>
      <c r="G77" s="76"/>
      <c r="H77" s="76"/>
    </row>
    <row r="78" spans="1:11" ht="36" customHeight="1" x14ac:dyDescent="0.25">
      <c r="A78" s="3"/>
      <c r="B78" s="3"/>
      <c r="C78" s="76"/>
      <c r="D78" s="76"/>
      <c r="E78" s="76"/>
      <c r="F78" s="76"/>
      <c r="G78" s="76"/>
      <c r="H78" s="76"/>
    </row>
    <row r="79" spans="1:11" ht="36" customHeight="1" x14ac:dyDescent="0.25">
      <c r="A79" s="3"/>
      <c r="B79" s="3"/>
      <c r="C79" s="76"/>
      <c r="D79" s="76"/>
      <c r="E79" s="76"/>
      <c r="F79" s="76"/>
      <c r="G79" s="76"/>
      <c r="H79" s="76"/>
    </row>
    <row r="80" spans="1:11" ht="36" customHeight="1" x14ac:dyDescent="0.25">
      <c r="A80" s="3"/>
      <c r="B80" s="3"/>
      <c r="C80" s="76"/>
      <c r="D80" s="76"/>
      <c r="E80" s="76"/>
      <c r="F80" s="76"/>
      <c r="G80" s="76"/>
      <c r="H80" s="76"/>
    </row>
    <row r="81" spans="1:13" ht="36" customHeight="1" x14ac:dyDescent="0.25">
      <c r="A81" s="3"/>
      <c r="B81" s="3"/>
      <c r="C81" s="76"/>
      <c r="D81" s="76"/>
      <c r="E81" s="76"/>
      <c r="F81" s="76"/>
      <c r="G81" s="76"/>
      <c r="H81" s="76"/>
    </row>
    <row r="82" spans="1:13" ht="36" customHeight="1" x14ac:dyDescent="0.25">
      <c r="A82" s="3"/>
      <c r="B82" s="3"/>
      <c r="C82" s="76"/>
      <c r="D82" s="76"/>
      <c r="E82" s="76"/>
      <c r="F82" s="76"/>
      <c r="G82" s="76"/>
      <c r="H82" s="76"/>
    </row>
    <row r="83" spans="1:13" ht="36" customHeight="1" x14ac:dyDescent="0.25">
      <c r="A83" s="3"/>
      <c r="B83" s="3"/>
      <c r="C83" s="76"/>
      <c r="D83" s="76"/>
      <c r="E83" s="76"/>
      <c r="F83" s="76"/>
      <c r="G83" s="76"/>
      <c r="H83" s="76"/>
    </row>
    <row r="84" spans="1:13" ht="36" customHeight="1" x14ac:dyDescent="0.25">
      <c r="A84" s="3"/>
      <c r="B84" s="3"/>
      <c r="C84" s="76"/>
      <c r="D84" s="76"/>
      <c r="E84" s="76"/>
      <c r="F84" s="76"/>
      <c r="G84" s="76"/>
      <c r="H84" s="76"/>
    </row>
    <row r="85" spans="1:13" ht="36" customHeight="1" thickBot="1" x14ac:dyDescent="0.3">
      <c r="A85" s="3"/>
      <c r="B85" s="3"/>
      <c r="C85" s="76"/>
      <c r="D85" s="76"/>
      <c r="E85" s="76"/>
      <c r="F85" s="76"/>
      <c r="G85" s="76"/>
      <c r="H85" s="76"/>
    </row>
    <row r="86" spans="1:13" ht="36" customHeight="1" thickBot="1" x14ac:dyDescent="0.3">
      <c r="A86" s="3"/>
      <c r="B86" s="3"/>
      <c r="C86" s="124" t="s">
        <v>89</v>
      </c>
      <c r="D86" s="125"/>
      <c r="E86" s="125"/>
      <c r="F86" s="125"/>
      <c r="G86" s="125"/>
      <c r="H86" s="126"/>
    </row>
    <row r="87" spans="1:13" ht="20.25" customHeight="1" x14ac:dyDescent="0.25">
      <c r="A87" s="3"/>
      <c r="B87" s="3"/>
      <c r="D87" s="31">
        <f>+D66+1000000</f>
        <v>10208200</v>
      </c>
      <c r="F87" s="5"/>
    </row>
    <row r="88" spans="1:13" ht="20.25" customHeight="1" x14ac:dyDescent="0.25">
      <c r="A88" s="3"/>
      <c r="B88" s="3"/>
      <c r="D88" s="39">
        <f>D66*0.35</f>
        <v>3222870</v>
      </c>
      <c r="E88" s="35"/>
      <c r="F88" s="5"/>
    </row>
    <row r="89" spans="1:13" ht="20.25" customHeight="1" x14ac:dyDescent="0.25">
      <c r="C89" s="5"/>
      <c r="D89" s="40">
        <f>D87-D88</f>
        <v>6985330</v>
      </c>
      <c r="F89" s="5"/>
    </row>
    <row r="90" spans="1:13" ht="20.25" customHeight="1" x14ac:dyDescent="0.25">
      <c r="A90" s="2"/>
      <c r="C90" s="2" t="s">
        <v>78</v>
      </c>
      <c r="D90" s="41">
        <f>D89/2500</f>
        <v>2794.1320000000001</v>
      </c>
      <c r="E90" s="2"/>
      <c r="H90" s="2">
        <f>100*9</f>
        <v>900</v>
      </c>
    </row>
    <row r="91" spans="1:13" ht="20.25" customHeight="1" x14ac:dyDescent="0.25">
      <c r="D91" s="39">
        <f>D88-500000</f>
        <v>2722870</v>
      </c>
      <c r="E91" s="5"/>
      <c r="H91" s="43">
        <f>H90*3</f>
        <v>2700</v>
      </c>
    </row>
    <row r="92" spans="1:13" ht="20.25" customHeight="1" x14ac:dyDescent="0.25">
      <c r="D92" s="42">
        <f>D91/3</f>
        <v>907623.33333333337</v>
      </c>
      <c r="E92" s="5"/>
      <c r="H92" s="43">
        <f>H91+588</f>
        <v>3288</v>
      </c>
    </row>
    <row r="93" spans="1:13" ht="20.25" customHeight="1" x14ac:dyDescent="0.25">
      <c r="D93" s="42">
        <f>D92/10</f>
        <v>90762.333333333343</v>
      </c>
      <c r="E93" s="5" t="s">
        <v>79</v>
      </c>
      <c r="F93" s="43">
        <f>H92*170</f>
        <v>558960</v>
      </c>
      <c r="J93" s="3" t="s">
        <v>122</v>
      </c>
      <c r="K93" s="31">
        <f>SUM(K5:K92)</f>
        <v>24229560.266666669</v>
      </c>
      <c r="L93" s="31">
        <f>+L42+L20</f>
        <v>1781156</v>
      </c>
      <c r="M93" s="31"/>
    </row>
    <row r="94" spans="1:13" ht="20.25" customHeight="1" x14ac:dyDescent="0.25">
      <c r="D94" s="39">
        <f>D91+500000</f>
        <v>3222870</v>
      </c>
      <c r="E94" s="5" t="s">
        <v>85</v>
      </c>
      <c r="F94" s="43">
        <v>490000</v>
      </c>
      <c r="H94" s="3">
        <f>24*7</f>
        <v>168</v>
      </c>
    </row>
    <row r="95" spans="1:13" ht="20.25" customHeight="1" x14ac:dyDescent="0.25">
      <c r="D95" s="42">
        <f>D94/3</f>
        <v>1074290</v>
      </c>
      <c r="E95" s="5" t="s">
        <v>31</v>
      </c>
      <c r="F95" s="43">
        <v>400000</v>
      </c>
      <c r="H95" s="3">
        <f>H94*4</f>
        <v>672</v>
      </c>
    </row>
    <row r="96" spans="1:13" ht="20.25" customHeight="1" x14ac:dyDescent="0.25">
      <c r="D96" s="42">
        <f>D95/10</f>
        <v>107429</v>
      </c>
      <c r="E96" s="5" t="s">
        <v>80</v>
      </c>
      <c r="F96" s="43">
        <v>1700000</v>
      </c>
      <c r="H96" s="5">
        <f>21*4</f>
        <v>84</v>
      </c>
      <c r="I96" s="3" t="s">
        <v>87</v>
      </c>
      <c r="J96" s="3" t="s">
        <v>15</v>
      </c>
      <c r="K96" s="3" t="s">
        <v>88</v>
      </c>
    </row>
    <row r="97" spans="3:11" ht="20.25" customHeight="1" x14ac:dyDescent="0.25">
      <c r="E97" s="5" t="s">
        <v>81</v>
      </c>
      <c r="F97" s="43">
        <v>1500000</v>
      </c>
      <c r="H97" s="3">
        <f>H95-H96</f>
        <v>588</v>
      </c>
      <c r="I97" s="3">
        <f>27000+30000+10000+5000</f>
        <v>72000</v>
      </c>
      <c r="J97" s="3">
        <f>I97*4</f>
        <v>288000</v>
      </c>
      <c r="K97" s="3">
        <f>J97+200000</f>
        <v>488000</v>
      </c>
    </row>
    <row r="98" spans="3:11" ht="20.25" customHeight="1" x14ac:dyDescent="0.25">
      <c r="E98" s="5" t="s">
        <v>82</v>
      </c>
      <c r="F98" s="43">
        <v>850000</v>
      </c>
    </row>
    <row r="99" spans="3:11" ht="20.25" customHeight="1" x14ac:dyDescent="0.25">
      <c r="E99" s="5" t="s">
        <v>83</v>
      </c>
      <c r="F99" s="43">
        <v>400000</v>
      </c>
    </row>
    <row r="100" spans="3:11" ht="20.25" customHeight="1" x14ac:dyDescent="0.25">
      <c r="E100" s="5" t="s">
        <v>84</v>
      </c>
      <c r="F100" s="43">
        <v>200000</v>
      </c>
      <c r="J100" s="3">
        <f>70000*13</f>
        <v>910000</v>
      </c>
    </row>
    <row r="101" spans="3:11" ht="20.25" customHeight="1" x14ac:dyDescent="0.25">
      <c r="E101" s="5" t="s">
        <v>86</v>
      </c>
      <c r="F101" s="43">
        <v>40000</v>
      </c>
    </row>
    <row r="102" spans="3:11" ht="20.25" customHeight="1" x14ac:dyDescent="0.25">
      <c r="E102" s="5"/>
      <c r="F102" s="43">
        <f>SUM(F93:F101)</f>
        <v>6138960</v>
      </c>
    </row>
    <row r="103" spans="3:11" ht="20.25" customHeight="1" x14ac:dyDescent="0.25">
      <c r="E103" s="5"/>
      <c r="F103" s="44">
        <f>F102/2500</f>
        <v>2455.5839999999998</v>
      </c>
    </row>
    <row r="104" spans="3:11" ht="20.25" customHeight="1" x14ac:dyDescent="0.25">
      <c r="E104" s="5"/>
      <c r="F104" s="5"/>
    </row>
    <row r="105" spans="3:11" ht="20.25" customHeight="1" x14ac:dyDescent="0.25">
      <c r="E105" s="5"/>
      <c r="F105" s="5"/>
    </row>
    <row r="106" spans="3:11" ht="20.25" customHeight="1" x14ac:dyDescent="0.25">
      <c r="E106" s="5"/>
      <c r="F106" s="5"/>
    </row>
    <row r="107" spans="3:11" ht="20.25" customHeight="1" x14ac:dyDescent="0.25">
      <c r="E107" s="5"/>
      <c r="F107" s="5"/>
    </row>
    <row r="108" spans="3:11" ht="20.25" customHeight="1" x14ac:dyDescent="0.25">
      <c r="C108" s="5"/>
      <c r="D108" s="5"/>
      <c r="E108" s="5"/>
      <c r="F108" s="5"/>
    </row>
    <row r="109" spans="3:11" ht="20.25" customHeight="1" x14ac:dyDescent="0.25">
      <c r="C109" s="5"/>
      <c r="D109" s="5"/>
      <c r="E109" s="5"/>
      <c r="F109" s="5"/>
    </row>
    <row r="110" spans="3:11" ht="20.25" customHeight="1" x14ac:dyDescent="0.25">
      <c r="C110" s="5"/>
      <c r="D110" s="5"/>
      <c r="E110" s="5"/>
      <c r="F110" s="5"/>
    </row>
    <row r="111" spans="3:11" ht="20.25" customHeight="1" x14ac:dyDescent="0.25">
      <c r="C111" s="5"/>
      <c r="D111" s="5"/>
      <c r="E111" s="5"/>
      <c r="F111" s="5"/>
    </row>
    <row r="112" spans="3:11" ht="20.25" customHeight="1" x14ac:dyDescent="0.25">
      <c r="C112" s="5"/>
      <c r="D112" s="5"/>
      <c r="E112" s="5"/>
      <c r="F112" s="5"/>
    </row>
    <row r="113" spans="3:6" ht="20.25" customHeight="1" x14ac:dyDescent="0.25">
      <c r="C113" s="5"/>
      <c r="D113" s="5"/>
      <c r="E113" s="5"/>
      <c r="F113" s="5"/>
    </row>
    <row r="114" spans="3:6" ht="20.25" customHeight="1" x14ac:dyDescent="0.25">
      <c r="C114" s="5"/>
      <c r="D114" s="5"/>
      <c r="E114" s="5"/>
      <c r="F114" s="5"/>
    </row>
    <row r="115" spans="3:6" ht="20.25" customHeight="1" x14ac:dyDescent="0.25">
      <c r="C115" s="5"/>
      <c r="D115" s="5"/>
      <c r="E115" s="5"/>
      <c r="F115" s="5"/>
    </row>
    <row r="116" spans="3:6" ht="20.25" customHeight="1" x14ac:dyDescent="0.25">
      <c r="C116" s="5"/>
      <c r="D116" s="5"/>
      <c r="E116" s="5"/>
      <c r="F116" s="5"/>
    </row>
    <row r="117" spans="3:6" ht="20.25" customHeight="1" x14ac:dyDescent="0.25">
      <c r="C117" s="5"/>
      <c r="D117" s="5"/>
      <c r="E117" s="5"/>
      <c r="F117" s="5"/>
    </row>
    <row r="118" spans="3:6" ht="20.25" customHeight="1" x14ac:dyDescent="0.25">
      <c r="C118" s="5"/>
      <c r="D118" s="5"/>
      <c r="E118" s="5"/>
      <c r="F118" s="5"/>
    </row>
    <row r="119" spans="3:6" ht="20.25" customHeight="1" x14ac:dyDescent="0.25">
      <c r="C119" s="5"/>
      <c r="D119" s="5"/>
      <c r="E119" s="5"/>
      <c r="F119" s="5"/>
    </row>
    <row r="120" spans="3:6" ht="20.25" customHeight="1" x14ac:dyDescent="0.25">
      <c r="C120" s="5"/>
      <c r="D120" s="5"/>
      <c r="E120" s="5"/>
      <c r="F120" s="5"/>
    </row>
    <row r="121" spans="3:6" ht="20.25" customHeight="1" x14ac:dyDescent="0.25">
      <c r="C121" s="5"/>
      <c r="D121" s="5"/>
      <c r="E121" s="5"/>
      <c r="F121" s="5"/>
    </row>
    <row r="122" spans="3:6" ht="20.25" customHeight="1" x14ac:dyDescent="0.25">
      <c r="C122" s="5"/>
      <c r="D122" s="5"/>
      <c r="E122" s="5"/>
      <c r="F122" s="5"/>
    </row>
    <row r="123" spans="3:6" ht="20.25" customHeight="1" x14ac:dyDescent="0.25">
      <c r="C123" s="5"/>
      <c r="D123" s="5"/>
      <c r="E123" s="5"/>
      <c r="F123" s="5"/>
    </row>
    <row r="124" spans="3:6" ht="20.25" customHeight="1" x14ac:dyDescent="0.25">
      <c r="C124" s="5"/>
      <c r="D124" s="5"/>
      <c r="E124" s="5"/>
      <c r="F124" s="5"/>
    </row>
    <row r="125" spans="3:6" ht="20.25" customHeight="1" x14ac:dyDescent="0.25">
      <c r="C125" s="5"/>
      <c r="D125" s="5"/>
      <c r="E125" s="5"/>
      <c r="F125" s="5"/>
    </row>
    <row r="126" spans="3:6" ht="20.25" customHeight="1" x14ac:dyDescent="0.25">
      <c r="C126" s="5"/>
      <c r="D126" s="5"/>
      <c r="E126" s="5"/>
      <c r="F126" s="5"/>
    </row>
    <row r="127" spans="3:6" ht="20.25" customHeight="1" x14ac:dyDescent="0.25">
      <c r="C127" s="5"/>
      <c r="D127" s="5"/>
      <c r="E127" s="5"/>
      <c r="F127" s="5"/>
    </row>
    <row r="128" spans="3:6" ht="20.25" customHeight="1" x14ac:dyDescent="0.25">
      <c r="C128" s="5"/>
      <c r="D128" s="5"/>
      <c r="E128" s="5"/>
      <c r="F128" s="5"/>
    </row>
    <row r="129" spans="3:6" ht="20.25" customHeight="1" x14ac:dyDescent="0.25">
      <c r="C129" s="5"/>
      <c r="D129" s="5"/>
      <c r="E129" s="5"/>
      <c r="F129" s="5"/>
    </row>
    <row r="130" spans="3:6" ht="20.25" customHeight="1" x14ac:dyDescent="0.25">
      <c r="C130" s="5"/>
      <c r="D130" s="5"/>
      <c r="E130" s="5"/>
      <c r="F130" s="5"/>
    </row>
    <row r="131" spans="3:6" ht="20.25" customHeight="1" x14ac:dyDescent="0.25">
      <c r="C131" s="5"/>
      <c r="D131" s="5"/>
      <c r="E131" s="5"/>
      <c r="F131" s="5"/>
    </row>
    <row r="132" spans="3:6" ht="20.25" customHeight="1" x14ac:dyDescent="0.25">
      <c r="C132" s="5"/>
      <c r="D132" s="5"/>
      <c r="E132" s="5"/>
      <c r="F132" s="5"/>
    </row>
    <row r="133" spans="3:6" ht="20.25" customHeight="1" x14ac:dyDescent="0.25">
      <c r="C133" s="5"/>
      <c r="D133" s="5"/>
      <c r="E133" s="5"/>
      <c r="F133" s="5"/>
    </row>
    <row r="134" spans="3:6" ht="20.25" customHeight="1" x14ac:dyDescent="0.25">
      <c r="C134" s="5"/>
      <c r="D134" s="5"/>
      <c r="E134" s="5"/>
      <c r="F134" s="5"/>
    </row>
    <row r="135" spans="3:6" ht="20.25" customHeight="1" x14ac:dyDescent="0.25">
      <c r="C135" s="5"/>
      <c r="D135" s="5"/>
      <c r="E135" s="5"/>
      <c r="F135" s="5"/>
    </row>
    <row r="136" spans="3:6" ht="20.25" customHeight="1" x14ac:dyDescent="0.25">
      <c r="C136" s="5"/>
      <c r="D136" s="5"/>
      <c r="E136" s="5"/>
      <c r="F136" s="5"/>
    </row>
    <row r="137" spans="3:6" ht="20.25" customHeight="1" x14ac:dyDescent="0.25">
      <c r="C137" s="5"/>
      <c r="D137" s="5"/>
      <c r="E137" s="5"/>
      <c r="F137" s="5"/>
    </row>
    <row r="138" spans="3:6" ht="20.25" customHeight="1" x14ac:dyDescent="0.25">
      <c r="C138" s="8"/>
      <c r="D138" s="8"/>
      <c r="E138" s="8"/>
      <c r="F138" s="8"/>
    </row>
    <row r="139" spans="3:6" ht="20.25" customHeight="1" x14ac:dyDescent="0.25">
      <c r="C139" s="8"/>
      <c r="D139" s="8"/>
      <c r="E139" s="8"/>
      <c r="F139" s="8"/>
    </row>
    <row r="140" spans="3:6" ht="20.25" customHeight="1" x14ac:dyDescent="0.25">
      <c r="C140" s="8"/>
      <c r="D140" s="8"/>
      <c r="E140" s="8"/>
      <c r="F140" s="8"/>
    </row>
    <row r="141" spans="3:6" ht="20.25" customHeight="1" x14ac:dyDescent="0.25">
      <c r="C141" s="8"/>
      <c r="D141" s="8"/>
      <c r="E141" s="8"/>
      <c r="F141" s="8"/>
    </row>
    <row r="142" spans="3:6" ht="20.25" customHeight="1" x14ac:dyDescent="0.25">
      <c r="C142" s="8"/>
      <c r="D142" s="8"/>
      <c r="E142" s="8"/>
      <c r="F142" s="8"/>
    </row>
    <row r="143" spans="3:6" ht="20.25" customHeight="1" x14ac:dyDescent="0.25">
      <c r="C143" s="8"/>
      <c r="D143" s="8"/>
      <c r="E143" s="8"/>
      <c r="F143" s="8"/>
    </row>
    <row r="144" spans="3:6" ht="20.25" customHeight="1" x14ac:dyDescent="0.25">
      <c r="C144" s="8"/>
      <c r="D144" s="8"/>
      <c r="E144" s="8"/>
      <c r="F144" s="8"/>
    </row>
    <row r="145" spans="3:6" ht="20.25" customHeight="1" x14ac:dyDescent="0.25">
      <c r="C145" s="8"/>
      <c r="D145" s="8"/>
      <c r="E145" s="8"/>
      <c r="F145" s="8"/>
    </row>
    <row r="146" spans="3:6" ht="20.25" customHeight="1" x14ac:dyDescent="0.25">
      <c r="C146" s="8"/>
      <c r="D146" s="8"/>
      <c r="E146" s="8"/>
      <c r="F146" s="8"/>
    </row>
    <row r="147" spans="3:6" ht="20.25" customHeight="1" x14ac:dyDescent="0.25">
      <c r="C147" s="8"/>
      <c r="D147" s="8"/>
      <c r="E147" s="8"/>
      <c r="F147" s="8"/>
    </row>
    <row r="148" spans="3:6" ht="20.25" customHeight="1" x14ac:dyDescent="0.25">
      <c r="C148" s="8"/>
      <c r="D148" s="8"/>
      <c r="E148" s="8"/>
      <c r="F148" s="8"/>
    </row>
    <row r="149" spans="3:6" ht="20.25" customHeight="1" x14ac:dyDescent="0.25">
      <c r="C149" s="8"/>
      <c r="D149" s="8"/>
      <c r="E149" s="8"/>
      <c r="F149" s="8"/>
    </row>
    <row r="150" spans="3:6" ht="20.25" customHeight="1" x14ac:dyDescent="0.25">
      <c r="C150" s="8"/>
      <c r="D150" s="8"/>
      <c r="E150" s="8"/>
      <c r="F150" s="8"/>
    </row>
    <row r="151" spans="3:6" ht="20.25" customHeight="1" x14ac:dyDescent="0.25">
      <c r="C151" s="8"/>
      <c r="D151" s="8"/>
      <c r="E151" s="8"/>
      <c r="F151" s="8"/>
    </row>
    <row r="152" spans="3:6" ht="20.25" customHeight="1" x14ac:dyDescent="0.25">
      <c r="C152" s="8"/>
      <c r="D152" s="8"/>
      <c r="E152" s="8"/>
      <c r="F152" s="8"/>
    </row>
    <row r="153" spans="3:6" ht="20.25" customHeight="1" x14ac:dyDescent="0.25">
      <c r="C153" s="8"/>
      <c r="D153" s="8"/>
      <c r="E153" s="8"/>
      <c r="F153" s="8"/>
    </row>
    <row r="154" spans="3:6" ht="20.25" customHeight="1" x14ac:dyDescent="0.25">
      <c r="C154" s="8"/>
      <c r="D154" s="8"/>
      <c r="E154" s="8"/>
      <c r="F154" s="8"/>
    </row>
    <row r="155" spans="3:6" ht="20.25" customHeight="1" x14ac:dyDescent="0.25">
      <c r="C155" s="8"/>
      <c r="D155" s="8"/>
      <c r="E155" s="8"/>
      <c r="F155" s="8"/>
    </row>
    <row r="156" spans="3:6" ht="20.25" customHeight="1" x14ac:dyDescent="0.25">
      <c r="C156" s="8"/>
      <c r="D156" s="8"/>
      <c r="E156" s="8"/>
      <c r="F156" s="8"/>
    </row>
    <row r="157" spans="3:6" ht="20.25" customHeight="1" x14ac:dyDescent="0.25">
      <c r="C157" s="8"/>
      <c r="D157" s="8"/>
      <c r="E157" s="8"/>
      <c r="F157" s="8"/>
    </row>
    <row r="158" spans="3:6" ht="20.25" customHeight="1" x14ac:dyDescent="0.25">
      <c r="C158" s="8"/>
      <c r="D158" s="8"/>
      <c r="E158" s="8"/>
      <c r="F158" s="8"/>
    </row>
    <row r="159" spans="3:6" ht="20.25" customHeight="1" x14ac:dyDescent="0.25">
      <c r="C159" s="8"/>
      <c r="D159" s="8"/>
      <c r="E159" s="8"/>
      <c r="F159" s="8"/>
    </row>
    <row r="160" spans="3:6" ht="20.25" customHeight="1" x14ac:dyDescent="0.25">
      <c r="C160" s="8"/>
      <c r="D160" s="8"/>
      <c r="E160" s="8"/>
      <c r="F160" s="8"/>
    </row>
    <row r="161" spans="3:6" ht="20.25" customHeight="1" x14ac:dyDescent="0.25">
      <c r="C161" s="8"/>
      <c r="D161" s="8"/>
      <c r="E161" s="8"/>
      <c r="F161" s="8"/>
    </row>
    <row r="162" spans="3:6" ht="20.25" customHeight="1" x14ac:dyDescent="0.25">
      <c r="C162" s="8"/>
      <c r="D162" s="8"/>
      <c r="E162" s="8"/>
      <c r="F162" s="8"/>
    </row>
    <row r="163" spans="3:6" ht="20.25" customHeight="1" x14ac:dyDescent="0.25">
      <c r="C163" s="8"/>
      <c r="D163" s="8"/>
      <c r="E163" s="8"/>
      <c r="F163" s="8"/>
    </row>
    <row r="164" spans="3:6" ht="20.25" customHeight="1" x14ac:dyDescent="0.25">
      <c r="C164" s="8"/>
      <c r="D164" s="8"/>
      <c r="E164" s="8"/>
      <c r="F164" s="8"/>
    </row>
    <row r="165" spans="3:6" ht="20.25" customHeight="1" x14ac:dyDescent="0.25">
      <c r="C165" s="8"/>
      <c r="D165" s="8"/>
      <c r="E165" s="8"/>
      <c r="F165" s="8"/>
    </row>
    <row r="166" spans="3:6" ht="20.25" customHeight="1" x14ac:dyDescent="0.25">
      <c r="C166" s="8"/>
      <c r="D166" s="8"/>
      <c r="E166" s="8"/>
      <c r="F166" s="8"/>
    </row>
    <row r="167" spans="3:6" ht="20.25" customHeight="1" x14ac:dyDescent="0.25">
      <c r="C167" s="8"/>
      <c r="D167" s="8"/>
      <c r="E167" s="8"/>
      <c r="F167" s="8"/>
    </row>
  </sheetData>
  <mergeCells count="51">
    <mergeCell ref="V12:V35"/>
    <mergeCell ref="W12:W35"/>
    <mergeCell ref="A27:E27"/>
    <mergeCell ref="B28:E28"/>
    <mergeCell ref="B30:E30"/>
    <mergeCell ref="B31:E31"/>
    <mergeCell ref="B32:E32"/>
    <mergeCell ref="B33:E33"/>
    <mergeCell ref="B34:E34"/>
    <mergeCell ref="B29:E29"/>
    <mergeCell ref="S12:S35"/>
    <mergeCell ref="T12:T35"/>
    <mergeCell ref="U12:U35"/>
    <mergeCell ref="C6:C16"/>
    <mergeCell ref="D6:D16"/>
    <mergeCell ref="B35:E35"/>
    <mergeCell ref="B45:E45"/>
    <mergeCell ref="B46:E46"/>
    <mergeCell ref="B43:E43"/>
    <mergeCell ref="B42:E42"/>
    <mergeCell ref="B37:E37"/>
    <mergeCell ref="B38:E38"/>
    <mergeCell ref="S36:U36"/>
    <mergeCell ref="F5:H5"/>
    <mergeCell ref="A18:E18"/>
    <mergeCell ref="B36:E36"/>
    <mergeCell ref="I2:Q2"/>
    <mergeCell ref="J6:J7"/>
    <mergeCell ref="K6:K7"/>
    <mergeCell ref="D1:E2"/>
    <mergeCell ref="A2:C2"/>
    <mergeCell ref="E6:E16"/>
    <mergeCell ref="A5:E5"/>
    <mergeCell ref="I3:K3"/>
    <mergeCell ref="I21:M21"/>
    <mergeCell ref="C86:H86"/>
    <mergeCell ref="A49:E49"/>
    <mergeCell ref="G6:H6"/>
    <mergeCell ref="G7:H7"/>
    <mergeCell ref="G8:H8"/>
    <mergeCell ref="G9:H9"/>
    <mergeCell ref="G10:H10"/>
    <mergeCell ref="G11:H11"/>
    <mergeCell ref="G12:H12"/>
    <mergeCell ref="G13:H13"/>
    <mergeCell ref="G14:H14"/>
    <mergeCell ref="B39:E39"/>
    <mergeCell ref="B40:E40"/>
    <mergeCell ref="B47:E47"/>
    <mergeCell ref="B44:E44"/>
    <mergeCell ref="B41:E41"/>
  </mergeCells>
  <pageMargins left="0.7" right="0.7" top="0.75" bottom="0.75" header="0.3" footer="0.3"/>
  <pageSetup scale="48" orientation="portrait" r:id="rId1"/>
  <rowBreaks count="1" manualBreakCount="1">
    <brk id="66" max="21" man="1"/>
  </rowBreaks>
  <colBreaks count="2" manualBreakCount="2">
    <brk id="8" max="89" man="1"/>
    <brk id="17" max="89" man="1"/>
  </colBreak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election activeCell="C5" sqref="C5"/>
    </sheetView>
  </sheetViews>
  <sheetFormatPr defaultRowHeight="15" x14ac:dyDescent="0.25"/>
  <cols>
    <col min="1" max="1" width="10.5703125" customWidth="1"/>
    <col min="2" max="2" width="37.42578125" bestFit="1" customWidth="1"/>
    <col min="4" max="4" width="12.5703125" bestFit="1" customWidth="1"/>
    <col min="5" max="5" width="15.28515625" customWidth="1"/>
  </cols>
  <sheetData>
    <row r="1" spans="1:7" ht="15.75" thickBot="1" x14ac:dyDescent="0.3">
      <c r="A1" s="60" t="s">
        <v>134</v>
      </c>
      <c r="B1" s="85">
        <v>43529</v>
      </c>
      <c r="C1" s="62" t="s">
        <v>144</v>
      </c>
      <c r="D1" s="68" t="s">
        <v>233</v>
      </c>
      <c r="E1" s="169"/>
    </row>
    <row r="2" spans="1:7" ht="15.75" thickBot="1" x14ac:dyDescent="0.3">
      <c r="A2" s="164" t="s">
        <v>234</v>
      </c>
      <c r="B2" s="165"/>
      <c r="C2" s="165"/>
      <c r="D2" s="165"/>
      <c r="E2" s="170"/>
    </row>
    <row r="3" spans="1:7" x14ac:dyDescent="0.25">
      <c r="A3" s="69" t="s">
        <v>13</v>
      </c>
      <c r="B3" s="69" t="s">
        <v>1</v>
      </c>
      <c r="C3" s="70" t="s">
        <v>135</v>
      </c>
      <c r="D3" s="70" t="s">
        <v>113</v>
      </c>
      <c r="E3" s="70" t="s">
        <v>15</v>
      </c>
    </row>
    <row r="4" spans="1:7" x14ac:dyDescent="0.25">
      <c r="A4" s="107">
        <v>1</v>
      </c>
      <c r="B4" s="83" t="s">
        <v>227</v>
      </c>
      <c r="C4" s="95">
        <v>780</v>
      </c>
      <c r="D4" s="65">
        <v>150</v>
      </c>
      <c r="E4" s="65">
        <f>D4*C4</f>
        <v>117000</v>
      </c>
    </row>
    <row r="5" spans="1:7" x14ac:dyDescent="0.25">
      <c r="A5" s="107">
        <v>2</v>
      </c>
      <c r="B5" s="59" t="s">
        <v>236</v>
      </c>
      <c r="C5" s="107">
        <v>780</v>
      </c>
      <c r="D5" s="65">
        <v>90</v>
      </c>
      <c r="E5" s="65">
        <f>D5*C5</f>
        <v>70200</v>
      </c>
    </row>
    <row r="6" spans="1:7" x14ac:dyDescent="0.25">
      <c r="A6" s="107">
        <v>3</v>
      </c>
      <c r="B6" s="59" t="s">
        <v>232</v>
      </c>
      <c r="C6" s="59">
        <v>1</v>
      </c>
      <c r="D6" s="65">
        <v>80000</v>
      </c>
      <c r="E6" s="65">
        <f>D6*C6</f>
        <v>80000</v>
      </c>
    </row>
    <row r="7" spans="1:7" x14ac:dyDescent="0.25">
      <c r="A7" s="107"/>
      <c r="B7" s="59"/>
      <c r="C7" s="59"/>
      <c r="D7" s="106" t="s">
        <v>15</v>
      </c>
      <c r="E7" s="66">
        <f>SUM(E4:E6)</f>
        <v>267200</v>
      </c>
    </row>
    <row r="9" spans="1:7" ht="31.5" x14ac:dyDescent="0.25">
      <c r="A9" s="92" t="s">
        <v>199</v>
      </c>
      <c r="B9" s="93" t="s">
        <v>200</v>
      </c>
    </row>
    <row r="10" spans="1:7" ht="15.75" x14ac:dyDescent="0.25">
      <c r="A10" s="92" t="s">
        <v>201</v>
      </c>
      <c r="B10" s="94" t="s">
        <v>202</v>
      </c>
      <c r="F10" s="111"/>
      <c r="G10" s="87"/>
    </row>
    <row r="11" spans="1:7" ht="47.25" x14ac:dyDescent="0.25">
      <c r="A11" s="92" t="s">
        <v>203</v>
      </c>
      <c r="B11" s="94" t="s">
        <v>204</v>
      </c>
      <c r="G11" s="87"/>
    </row>
  </sheetData>
  <mergeCells count="2">
    <mergeCell ref="E1:E2"/>
    <mergeCell ref="A2:D2"/>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F20" sqref="F20"/>
    </sheetView>
  </sheetViews>
  <sheetFormatPr defaultRowHeight="15" x14ac:dyDescent="0.25"/>
  <cols>
    <col min="1" max="1" width="10.7109375" customWidth="1"/>
    <col min="2" max="2" width="34" bestFit="1" customWidth="1"/>
    <col min="4" max="4" width="11.5703125" bestFit="1" customWidth="1"/>
    <col min="5" max="5" width="15.7109375" customWidth="1"/>
  </cols>
  <sheetData>
    <row r="1" spans="1:5" ht="15.75" thickBot="1" x14ac:dyDescent="0.3">
      <c r="A1" s="60" t="s">
        <v>134</v>
      </c>
      <c r="B1" s="85">
        <v>43529</v>
      </c>
      <c r="C1" s="62" t="s">
        <v>144</v>
      </c>
      <c r="D1" s="68" t="s">
        <v>235</v>
      </c>
      <c r="E1" s="169"/>
    </row>
    <row r="2" spans="1:5" ht="15.75" thickBot="1" x14ac:dyDescent="0.3">
      <c r="A2" s="164" t="s">
        <v>146</v>
      </c>
      <c r="B2" s="165"/>
      <c r="C2" s="165"/>
      <c r="D2" s="165"/>
      <c r="E2" s="170"/>
    </row>
    <row r="3" spans="1:5" x14ac:dyDescent="0.25">
      <c r="A3" s="69" t="s">
        <v>13</v>
      </c>
      <c r="B3" s="69" t="s">
        <v>1</v>
      </c>
      <c r="C3" s="70" t="s">
        <v>135</v>
      </c>
      <c r="D3" s="70" t="s">
        <v>113</v>
      </c>
      <c r="E3" s="70" t="s">
        <v>15</v>
      </c>
    </row>
    <row r="4" spans="1:5" x14ac:dyDescent="0.25">
      <c r="A4" s="95">
        <v>1</v>
      </c>
      <c r="B4" s="63" t="s">
        <v>228</v>
      </c>
      <c r="C4" s="59">
        <v>3</v>
      </c>
      <c r="D4" s="65">
        <v>5000</v>
      </c>
      <c r="E4" s="65">
        <f>D4*C4</f>
        <v>15000</v>
      </c>
    </row>
    <row r="5" spans="1:5" x14ac:dyDescent="0.25">
      <c r="A5" s="95">
        <v>2</v>
      </c>
      <c r="B5" s="63" t="s">
        <v>229</v>
      </c>
      <c r="C5" s="59">
        <v>3</v>
      </c>
      <c r="D5" s="65">
        <v>5000</v>
      </c>
      <c r="E5" s="65">
        <f>D5*C5</f>
        <v>15000</v>
      </c>
    </row>
    <row r="6" spans="1:5" x14ac:dyDescent="0.25">
      <c r="A6" s="95">
        <v>3</v>
      </c>
      <c r="B6" s="59" t="s">
        <v>230</v>
      </c>
      <c r="C6" s="59">
        <v>40</v>
      </c>
      <c r="D6" s="65">
        <v>500</v>
      </c>
      <c r="E6" s="65">
        <f>D6*C6</f>
        <v>20000</v>
      </c>
    </row>
    <row r="7" spans="1:5" x14ac:dyDescent="0.25">
      <c r="A7" s="95">
        <v>4</v>
      </c>
      <c r="B7" s="59" t="s">
        <v>231</v>
      </c>
      <c r="C7" s="59">
        <v>2</v>
      </c>
      <c r="D7" s="65">
        <v>22000</v>
      </c>
      <c r="E7" s="65">
        <f>D7*C7</f>
        <v>44000</v>
      </c>
    </row>
    <row r="8" spans="1:5" x14ac:dyDescent="0.25">
      <c r="D8" s="90" t="s">
        <v>15</v>
      </c>
      <c r="E8" s="91">
        <f>SUM(E4:E7)</f>
        <v>94000</v>
      </c>
    </row>
    <row r="10" spans="1:5" ht="31.5" x14ac:dyDescent="0.25">
      <c r="A10" s="92" t="s">
        <v>199</v>
      </c>
      <c r="B10" s="93" t="s">
        <v>200</v>
      </c>
    </row>
    <row r="11" spans="1:5" ht="15.75" x14ac:dyDescent="0.25">
      <c r="A11" s="92" t="s">
        <v>201</v>
      </c>
      <c r="B11" s="94" t="s">
        <v>202</v>
      </c>
    </row>
    <row r="12" spans="1:5" ht="47.25" x14ac:dyDescent="0.25">
      <c r="A12" s="92" t="s">
        <v>203</v>
      </c>
      <c r="B12" s="94" t="s">
        <v>204</v>
      </c>
    </row>
  </sheetData>
  <mergeCells count="2">
    <mergeCell ref="E1:E2"/>
    <mergeCell ref="A2:D2"/>
  </mergeCell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E15" sqref="E15"/>
    </sheetView>
  </sheetViews>
  <sheetFormatPr defaultRowHeight="15" x14ac:dyDescent="0.25"/>
  <cols>
    <col min="1" max="1" width="10.7109375" customWidth="1"/>
    <col min="2" max="2" width="34" bestFit="1" customWidth="1"/>
    <col min="4" max="4" width="11.85546875" customWidth="1"/>
    <col min="5" max="5" width="15.7109375" customWidth="1"/>
  </cols>
  <sheetData>
    <row r="1" spans="1:5" ht="15.75" thickBot="1" x14ac:dyDescent="0.3">
      <c r="A1" s="60" t="s">
        <v>134</v>
      </c>
      <c r="B1" s="85">
        <v>43551</v>
      </c>
      <c r="C1" s="62" t="s">
        <v>144</v>
      </c>
      <c r="D1" s="68" t="s">
        <v>244</v>
      </c>
      <c r="E1" s="169"/>
    </row>
    <row r="2" spans="1:5" ht="15.75" thickBot="1" x14ac:dyDescent="0.3">
      <c r="A2" s="164" t="s">
        <v>146</v>
      </c>
      <c r="B2" s="165"/>
      <c r="C2" s="165"/>
      <c r="D2" s="165"/>
      <c r="E2" s="170"/>
    </row>
    <row r="3" spans="1:5" x14ac:dyDescent="0.25">
      <c r="A3" s="69" t="s">
        <v>13</v>
      </c>
      <c r="B3" s="69" t="s">
        <v>1</v>
      </c>
      <c r="C3" s="70" t="s">
        <v>135</v>
      </c>
      <c r="D3" s="70" t="s">
        <v>113</v>
      </c>
      <c r="E3" s="70" t="s">
        <v>15</v>
      </c>
    </row>
    <row r="4" spans="1:5" ht="30" x14ac:dyDescent="0.25">
      <c r="A4" s="95">
        <v>1</v>
      </c>
      <c r="B4" s="63" t="s">
        <v>245</v>
      </c>
      <c r="C4" s="59">
        <v>1</v>
      </c>
      <c r="D4" s="65">
        <f>'Main Sheet'!D63</f>
        <v>339052.79999999999</v>
      </c>
      <c r="E4" s="65">
        <f>D4*C4</f>
        <v>339052.79999999999</v>
      </c>
    </row>
    <row r="5" spans="1:5" ht="15.75" customHeight="1" x14ac:dyDescent="0.25">
      <c r="A5" s="95"/>
      <c r="B5" s="63"/>
      <c r="C5" s="59"/>
      <c r="D5" s="65"/>
      <c r="E5" s="65"/>
    </row>
    <row r="6" spans="1:5" x14ac:dyDescent="0.25">
      <c r="D6" s="90" t="s">
        <v>15</v>
      </c>
      <c r="E6" s="91">
        <f>SUM(E4:E5)</f>
        <v>339052.79999999999</v>
      </c>
    </row>
    <row r="8" spans="1:5" ht="31.5" x14ac:dyDescent="0.25">
      <c r="A8" s="92" t="s">
        <v>199</v>
      </c>
      <c r="B8" s="93" t="s">
        <v>200</v>
      </c>
    </row>
    <row r="9" spans="1:5" ht="15.75" x14ac:dyDescent="0.25">
      <c r="A9" s="92" t="s">
        <v>201</v>
      </c>
      <c r="B9" s="94" t="s">
        <v>202</v>
      </c>
    </row>
    <row r="10" spans="1:5" ht="31.5" x14ac:dyDescent="0.25">
      <c r="A10" s="92" t="s">
        <v>203</v>
      </c>
      <c r="B10" s="94" t="s">
        <v>204</v>
      </c>
    </row>
  </sheetData>
  <mergeCells count="2">
    <mergeCell ref="E1:E2"/>
    <mergeCell ref="A2:D2"/>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23" sqref="E23"/>
    </sheetView>
  </sheetViews>
  <sheetFormatPr defaultRowHeight="15" x14ac:dyDescent="0.25"/>
  <cols>
    <col min="1" max="1" width="10.7109375" customWidth="1"/>
    <col min="2" max="2" width="34" bestFit="1" customWidth="1"/>
    <col min="4" max="4" width="11.85546875" customWidth="1"/>
    <col min="5" max="5" width="15.7109375" customWidth="1"/>
  </cols>
  <sheetData>
    <row r="1" spans="1:5" ht="15.75" thickBot="1" x14ac:dyDescent="0.3">
      <c r="A1" s="60" t="s">
        <v>134</v>
      </c>
      <c r="B1" s="85">
        <v>43565</v>
      </c>
      <c r="C1" s="62" t="s">
        <v>144</v>
      </c>
      <c r="D1" s="68" t="s">
        <v>265</v>
      </c>
      <c r="E1" s="169"/>
    </row>
    <row r="2" spans="1:5" ht="15.75" thickBot="1" x14ac:dyDescent="0.3">
      <c r="A2" s="164" t="s">
        <v>254</v>
      </c>
      <c r="B2" s="165"/>
      <c r="C2" s="165"/>
      <c r="D2" s="165"/>
      <c r="E2" s="170"/>
    </row>
    <row r="3" spans="1:5" x14ac:dyDescent="0.25">
      <c r="A3" s="69" t="s">
        <v>13</v>
      </c>
      <c r="B3" s="69" t="s">
        <v>1</v>
      </c>
      <c r="C3" s="70" t="s">
        <v>38</v>
      </c>
      <c r="D3" s="70" t="s">
        <v>113</v>
      </c>
      <c r="E3" s="70" t="s">
        <v>15</v>
      </c>
    </row>
    <row r="4" spans="1:5" x14ac:dyDescent="0.25">
      <c r="A4" s="95">
        <v>1</v>
      </c>
      <c r="B4" s="63" t="s">
        <v>246</v>
      </c>
      <c r="C4" s="59">
        <v>3</v>
      </c>
      <c r="D4" s="65">
        <v>2000</v>
      </c>
      <c r="E4" s="65">
        <f t="shared" ref="E4:E6" si="0">D4*C4</f>
        <v>6000</v>
      </c>
    </row>
    <row r="5" spans="1:5" x14ac:dyDescent="0.25">
      <c r="A5" s="95">
        <v>2</v>
      </c>
      <c r="B5" s="63" t="s">
        <v>247</v>
      </c>
      <c r="C5" s="59">
        <v>4</v>
      </c>
      <c r="D5" s="65">
        <v>3000</v>
      </c>
      <c r="E5" s="65">
        <f t="shared" si="0"/>
        <v>12000</v>
      </c>
    </row>
    <row r="6" spans="1:5" x14ac:dyDescent="0.25">
      <c r="A6" s="95">
        <v>3</v>
      </c>
      <c r="B6" s="63" t="s">
        <v>248</v>
      </c>
      <c r="C6" s="59">
        <v>54</v>
      </c>
      <c r="D6" s="65">
        <v>1000</v>
      </c>
      <c r="E6" s="65">
        <f t="shared" si="0"/>
        <v>54000</v>
      </c>
    </row>
    <row r="7" spans="1:5" ht="14.25" customHeight="1" x14ac:dyDescent="0.25">
      <c r="A7" s="95"/>
      <c r="B7" s="63"/>
      <c r="C7" s="59"/>
      <c r="D7" s="65"/>
      <c r="E7" s="65"/>
    </row>
    <row r="8" spans="1:5" x14ac:dyDescent="0.25">
      <c r="D8" s="90" t="s">
        <v>15</v>
      </c>
      <c r="E8" s="91">
        <f>SUM(E4:E7)</f>
        <v>72000</v>
      </c>
    </row>
    <row r="10" spans="1:5" ht="31.5" x14ac:dyDescent="0.25">
      <c r="A10" s="92" t="s">
        <v>199</v>
      </c>
      <c r="B10" s="93" t="s">
        <v>200</v>
      </c>
    </row>
    <row r="11" spans="1:5" ht="15.75" x14ac:dyDescent="0.25">
      <c r="A11" s="92" t="s">
        <v>201</v>
      </c>
      <c r="B11" s="94" t="s">
        <v>202</v>
      </c>
    </row>
    <row r="12" spans="1:5" ht="31.5" x14ac:dyDescent="0.25">
      <c r="A12" s="92" t="s">
        <v>203</v>
      </c>
      <c r="B12" s="94" t="s">
        <v>204</v>
      </c>
    </row>
  </sheetData>
  <mergeCells count="2">
    <mergeCell ref="E1:E2"/>
    <mergeCell ref="A2:D2"/>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view="pageBreakPreview" topLeftCell="A3" zoomScale="90" zoomScaleNormal="100" zoomScaleSheetLayoutView="90" workbookViewId="0">
      <selection activeCell="C8" sqref="C8"/>
    </sheetView>
  </sheetViews>
  <sheetFormatPr defaultRowHeight="15" x14ac:dyDescent="0.25"/>
  <cols>
    <col min="1" max="1" width="10.7109375" customWidth="1"/>
    <col min="2" max="2" width="36.140625" customWidth="1"/>
    <col min="4" max="4" width="11.85546875" customWidth="1"/>
    <col min="5" max="5" width="15.7109375" customWidth="1"/>
    <col min="9" max="9" width="11.5703125" bestFit="1" customWidth="1"/>
    <col min="13" max="13" width="11.5703125" bestFit="1" customWidth="1"/>
  </cols>
  <sheetData>
    <row r="1" spans="1:10" ht="15.75" thickBot="1" x14ac:dyDescent="0.3">
      <c r="A1" s="60" t="s">
        <v>134</v>
      </c>
      <c r="B1" s="85" t="s">
        <v>262</v>
      </c>
      <c r="C1" s="62" t="s">
        <v>144</v>
      </c>
      <c r="D1" s="68" t="s">
        <v>261</v>
      </c>
      <c r="E1" s="169"/>
    </row>
    <row r="2" spans="1:10" ht="15.75" thickBot="1" x14ac:dyDescent="0.3">
      <c r="A2" s="164" t="s">
        <v>263</v>
      </c>
      <c r="B2" s="165"/>
      <c r="C2" s="165"/>
      <c r="D2" s="165"/>
      <c r="E2" s="170"/>
    </row>
    <row r="3" spans="1:10" x14ac:dyDescent="0.25">
      <c r="A3" s="69" t="s">
        <v>13</v>
      </c>
      <c r="B3" s="69" t="s">
        <v>1</v>
      </c>
      <c r="C3" s="70" t="s">
        <v>249</v>
      </c>
      <c r="D3" s="70" t="s">
        <v>113</v>
      </c>
      <c r="E3" s="70" t="s">
        <v>15</v>
      </c>
    </row>
    <row r="4" spans="1:10" ht="30" x14ac:dyDescent="0.25">
      <c r="A4" s="95">
        <v>1</v>
      </c>
      <c r="B4" s="63" t="s">
        <v>264</v>
      </c>
      <c r="C4" s="117">
        <f>616.63</f>
        <v>616.63</v>
      </c>
      <c r="D4" s="65">
        <v>65</v>
      </c>
      <c r="E4" s="65">
        <f t="shared" ref="E4:E9" si="0">D4*C4</f>
        <v>40080.949999999997</v>
      </c>
    </row>
    <row r="5" spans="1:10" x14ac:dyDescent="0.25">
      <c r="A5" s="95">
        <v>2</v>
      </c>
      <c r="B5" s="63" t="s">
        <v>250</v>
      </c>
      <c r="C5" s="117">
        <f>734.17*1.1</f>
        <v>807.58699999999999</v>
      </c>
      <c r="D5" s="65">
        <v>65</v>
      </c>
      <c r="E5" s="65">
        <f>D5*C5</f>
        <v>52493.154999999999</v>
      </c>
      <c r="H5">
        <f>3500/10.74</f>
        <v>325.88454376163872</v>
      </c>
    </row>
    <row r="6" spans="1:10" x14ac:dyDescent="0.25">
      <c r="A6" s="95">
        <v>3</v>
      </c>
      <c r="B6" s="63" t="s">
        <v>251</v>
      </c>
      <c r="C6" s="117">
        <f>1143.97</f>
        <v>1143.97</v>
      </c>
      <c r="D6" s="65">
        <v>65</v>
      </c>
      <c r="E6" s="65">
        <f t="shared" si="0"/>
        <v>74358.05</v>
      </c>
      <c r="H6" s="87">
        <f>E4/H5</f>
        <v>122.99125799999999</v>
      </c>
      <c r="J6">
        <f>50/10.74</f>
        <v>4.655493482309125</v>
      </c>
    </row>
    <row r="7" spans="1:10" x14ac:dyDescent="0.25">
      <c r="A7" s="95">
        <v>4</v>
      </c>
      <c r="B7" s="63" t="s">
        <v>252</v>
      </c>
      <c r="C7" s="117">
        <f>94.5</f>
        <v>94.5</v>
      </c>
      <c r="D7" s="65">
        <v>65</v>
      </c>
      <c r="E7" s="65">
        <f t="shared" si="0"/>
        <v>6142.5</v>
      </c>
      <c r="H7">
        <f>1450/10.74</f>
        <v>135.00931098696461</v>
      </c>
    </row>
    <row r="8" spans="1:10" x14ac:dyDescent="0.25">
      <c r="A8" s="95">
        <v>5</v>
      </c>
      <c r="B8" s="63" t="s">
        <v>253</v>
      </c>
      <c r="C8" s="117">
        <f>461</f>
        <v>461</v>
      </c>
      <c r="D8" s="65">
        <v>65</v>
      </c>
      <c r="E8" s="65">
        <f t="shared" si="0"/>
        <v>29965</v>
      </c>
      <c r="H8">
        <f>1500/10.74</f>
        <v>139.66480446927375</v>
      </c>
    </row>
    <row r="9" spans="1:10" x14ac:dyDescent="0.25">
      <c r="A9" s="95"/>
      <c r="B9" s="63"/>
      <c r="C9" s="59"/>
      <c r="D9" s="65"/>
      <c r="E9" s="65">
        <f t="shared" si="0"/>
        <v>0</v>
      </c>
    </row>
    <row r="10" spans="1:10" x14ac:dyDescent="0.25">
      <c r="A10" s="95"/>
      <c r="B10" s="63"/>
      <c r="C10" s="59"/>
      <c r="D10" s="65"/>
      <c r="E10" s="65"/>
      <c r="I10">
        <f>50*10.74</f>
        <v>537</v>
      </c>
    </row>
    <row r="11" spans="1:10" x14ac:dyDescent="0.25">
      <c r="D11" s="90" t="s">
        <v>15</v>
      </c>
      <c r="E11" s="91">
        <f>SUM(E4:E10)</f>
        <v>203039.655</v>
      </c>
    </row>
    <row r="13" spans="1:10" ht="31.5" x14ac:dyDescent="0.25">
      <c r="A13" s="92" t="s">
        <v>199</v>
      </c>
      <c r="B13" s="93" t="s">
        <v>200</v>
      </c>
      <c r="H13">
        <f>0.5*3.5*54</f>
        <v>94.5</v>
      </c>
    </row>
    <row r="14" spans="1:10" ht="15.75" x14ac:dyDescent="0.25">
      <c r="A14" s="92" t="s">
        <v>201</v>
      </c>
      <c r="B14" s="94" t="s">
        <v>202</v>
      </c>
    </row>
    <row r="15" spans="1:10" ht="31.5" x14ac:dyDescent="0.25">
      <c r="A15" s="92" t="s">
        <v>203</v>
      </c>
      <c r="B15" s="94" t="s">
        <v>204</v>
      </c>
      <c r="G15">
        <f>3355/1.1</f>
        <v>3049.9999999999995</v>
      </c>
    </row>
    <row r="17" spans="1:13" x14ac:dyDescent="0.25">
      <c r="A17" s="171"/>
      <c r="B17" s="171"/>
      <c r="C17" s="171"/>
      <c r="D17" s="171"/>
      <c r="E17" s="171"/>
      <c r="G17">
        <v>3500</v>
      </c>
    </row>
    <row r="18" spans="1:13" x14ac:dyDescent="0.25">
      <c r="A18" s="120"/>
      <c r="B18" s="120"/>
      <c r="C18" s="121"/>
      <c r="D18" s="121"/>
      <c r="E18" s="121"/>
      <c r="G18" s="118">
        <f>G15/G17</f>
        <v>0.87142857142857133</v>
      </c>
      <c r="K18">
        <f>G17*0.1</f>
        <v>350</v>
      </c>
    </row>
    <row r="19" spans="1:13" x14ac:dyDescent="0.25">
      <c r="A19" s="71"/>
      <c r="B19" s="71"/>
      <c r="C19" s="122"/>
      <c r="D19" s="71"/>
      <c r="E19" s="122"/>
      <c r="K19">
        <f>G17-K18</f>
        <v>3150</v>
      </c>
    </row>
    <row r="20" spans="1:13" x14ac:dyDescent="0.25">
      <c r="A20" s="71"/>
      <c r="B20" s="71"/>
      <c r="C20" s="71"/>
      <c r="D20" s="71"/>
      <c r="E20" s="122"/>
    </row>
    <row r="21" spans="1:13" x14ac:dyDescent="0.25">
      <c r="A21" s="71"/>
      <c r="B21" s="71"/>
      <c r="C21" s="71"/>
      <c r="D21" s="71"/>
      <c r="E21" s="123"/>
      <c r="H21">
        <f>100*10.74</f>
        <v>1074</v>
      </c>
    </row>
    <row r="22" spans="1:13" x14ac:dyDescent="0.25">
      <c r="A22" s="71"/>
      <c r="B22" s="71"/>
      <c r="C22" s="71"/>
      <c r="D22" s="71"/>
      <c r="E22" s="123"/>
      <c r="H22">
        <f>65*10.74</f>
        <v>698.1</v>
      </c>
    </row>
    <row r="23" spans="1:13" x14ac:dyDescent="0.25">
      <c r="A23" s="71"/>
      <c r="B23" s="71"/>
      <c r="C23" s="71"/>
      <c r="D23" s="71"/>
      <c r="E23" s="71"/>
      <c r="H23">
        <f>1500-H22</f>
        <v>801.9</v>
      </c>
    </row>
    <row r="24" spans="1:13" x14ac:dyDescent="0.25">
      <c r="A24" s="71"/>
      <c r="B24" s="71"/>
      <c r="C24" s="71"/>
      <c r="D24" s="71"/>
      <c r="E24" s="71"/>
      <c r="H24">
        <f>H23/10.74</f>
        <v>74.664804469273733</v>
      </c>
    </row>
    <row r="25" spans="1:13" x14ac:dyDescent="0.25">
      <c r="A25" s="71"/>
      <c r="B25" s="71"/>
      <c r="C25" s="71"/>
      <c r="D25" s="71"/>
      <c r="E25" s="71"/>
      <c r="H25">
        <f>1500/10.74</f>
        <v>139.66480446927375</v>
      </c>
      <c r="I25">
        <v>3500</v>
      </c>
      <c r="J25">
        <f>65/10.74</f>
        <v>6.0521415270018624</v>
      </c>
      <c r="L25">
        <f>I25/10.74</f>
        <v>325.88454376163872</v>
      </c>
    </row>
    <row r="26" spans="1:13" x14ac:dyDescent="0.25">
      <c r="I26" s="9">
        <f>I25*H25</f>
        <v>488826.8156424581</v>
      </c>
      <c r="J26" s="119">
        <f>J25*I25</f>
        <v>21182.495344506518</v>
      </c>
      <c r="L26">
        <f>L25*50</f>
        <v>16294.227188081935</v>
      </c>
      <c r="M26">
        <f>1100/10.74</f>
        <v>102.42085661080074</v>
      </c>
    </row>
    <row r="27" spans="1:13" x14ac:dyDescent="0.25">
      <c r="M27">
        <f>400/10.74</f>
        <v>37.243947858473</v>
      </c>
    </row>
    <row r="28" spans="1:13" x14ac:dyDescent="0.25">
      <c r="M28" s="9">
        <f>M27*I25</f>
        <v>130353.8175046555</v>
      </c>
    </row>
    <row r="29" spans="1:13" x14ac:dyDescent="0.25">
      <c r="M29" s="9">
        <f>M26*I25</f>
        <v>358472.99813780258</v>
      </c>
    </row>
  </sheetData>
  <mergeCells count="3">
    <mergeCell ref="E1:E2"/>
    <mergeCell ref="A2:D2"/>
    <mergeCell ref="A17:E17"/>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view="pageBreakPreview" zoomScale="60" zoomScaleNormal="100" workbookViewId="0">
      <selection sqref="A1:E14"/>
    </sheetView>
  </sheetViews>
  <sheetFormatPr defaultRowHeight="15" x14ac:dyDescent="0.25"/>
  <cols>
    <col min="1" max="1" width="10.7109375" customWidth="1"/>
    <col min="2" max="2" width="43.42578125" customWidth="1"/>
    <col min="4" max="4" width="11.5703125" bestFit="1" customWidth="1"/>
    <col min="5" max="5" width="15.7109375" customWidth="1"/>
  </cols>
  <sheetData>
    <row r="1" spans="1:5" ht="15.75" thickBot="1" x14ac:dyDescent="0.3">
      <c r="A1" s="60" t="s">
        <v>134</v>
      </c>
      <c r="B1" s="85">
        <v>43565</v>
      </c>
      <c r="C1" s="62" t="s">
        <v>144</v>
      </c>
      <c r="D1" s="68" t="s">
        <v>255</v>
      </c>
      <c r="E1" s="169"/>
    </row>
    <row r="2" spans="1:5" ht="15.75" thickBot="1" x14ac:dyDescent="0.3">
      <c r="A2" s="164" t="s">
        <v>146</v>
      </c>
      <c r="B2" s="165"/>
      <c r="C2" s="165"/>
      <c r="D2" s="165"/>
      <c r="E2" s="170"/>
    </row>
    <row r="3" spans="1:5" x14ac:dyDescent="0.25">
      <c r="A3" s="69" t="s">
        <v>13</v>
      </c>
      <c r="B3" s="69" t="s">
        <v>1</v>
      </c>
      <c r="C3" s="70" t="s">
        <v>135</v>
      </c>
      <c r="D3" s="70" t="s">
        <v>113</v>
      </c>
      <c r="E3" s="70" t="s">
        <v>15</v>
      </c>
    </row>
    <row r="4" spans="1:5" x14ac:dyDescent="0.25">
      <c r="A4" s="95">
        <v>1</v>
      </c>
      <c r="B4" s="63" t="s">
        <v>256</v>
      </c>
      <c r="C4" s="59">
        <v>3</v>
      </c>
      <c r="D4" s="65">
        <v>5000</v>
      </c>
      <c r="E4" s="65">
        <f>D4*C4</f>
        <v>15000</v>
      </c>
    </row>
    <row r="5" spans="1:5" x14ac:dyDescent="0.25">
      <c r="A5" s="95">
        <v>2</v>
      </c>
      <c r="B5" s="59" t="s">
        <v>257</v>
      </c>
      <c r="C5" s="59">
        <v>22</v>
      </c>
      <c r="D5" s="65">
        <v>500</v>
      </c>
      <c r="E5" s="65">
        <f>D5*C5</f>
        <v>11000</v>
      </c>
    </row>
    <row r="6" spans="1:5" x14ac:dyDescent="0.25">
      <c r="A6" s="95">
        <v>3</v>
      </c>
      <c r="B6" s="59" t="s">
        <v>231</v>
      </c>
      <c r="C6" s="59">
        <v>2</v>
      </c>
      <c r="D6" s="65">
        <v>22000</v>
      </c>
      <c r="E6" s="65">
        <f>D6*C6</f>
        <v>44000</v>
      </c>
    </row>
    <row r="7" spans="1:5" x14ac:dyDescent="0.25">
      <c r="A7" s="95">
        <v>4</v>
      </c>
      <c r="B7" s="59" t="s">
        <v>258</v>
      </c>
      <c r="C7" s="59">
        <v>1</v>
      </c>
      <c r="D7" s="65">
        <v>6500</v>
      </c>
      <c r="E7" s="65">
        <f>D7</f>
        <v>6500</v>
      </c>
    </row>
    <row r="8" spans="1:5" x14ac:dyDescent="0.25">
      <c r="A8" s="95">
        <v>5</v>
      </c>
      <c r="B8" s="59" t="s">
        <v>259</v>
      </c>
      <c r="C8" s="59">
        <v>1</v>
      </c>
      <c r="D8" s="65">
        <v>6000</v>
      </c>
      <c r="E8" s="65">
        <f>D8</f>
        <v>6000</v>
      </c>
    </row>
    <row r="9" spans="1:5" x14ac:dyDescent="0.25">
      <c r="A9" s="95">
        <v>6</v>
      </c>
      <c r="B9" s="59" t="s">
        <v>260</v>
      </c>
      <c r="C9" s="59">
        <v>1</v>
      </c>
      <c r="D9" s="65">
        <v>10000</v>
      </c>
      <c r="E9" s="65">
        <f>D9</f>
        <v>10000</v>
      </c>
    </row>
    <row r="10" spans="1:5" x14ac:dyDescent="0.25">
      <c r="D10" s="90" t="s">
        <v>15</v>
      </c>
      <c r="E10" s="91">
        <f>SUM(E4:E9)</f>
        <v>92500</v>
      </c>
    </row>
    <row r="12" spans="1:5" ht="31.5" x14ac:dyDescent="0.25">
      <c r="A12" s="92" t="s">
        <v>199</v>
      </c>
      <c r="B12" s="93" t="s">
        <v>200</v>
      </c>
    </row>
    <row r="13" spans="1:5" ht="15.75" x14ac:dyDescent="0.25">
      <c r="A13" s="92" t="s">
        <v>201</v>
      </c>
      <c r="B13" s="94" t="s">
        <v>202</v>
      </c>
    </row>
    <row r="14" spans="1:5" ht="31.5" x14ac:dyDescent="0.25">
      <c r="A14" s="92" t="s">
        <v>203</v>
      </c>
      <c r="B14" s="94" t="s">
        <v>204</v>
      </c>
    </row>
  </sheetData>
  <mergeCells count="2">
    <mergeCell ref="E1:E2"/>
    <mergeCell ref="A2:D2"/>
  </mergeCells>
  <pageMargins left="0.7" right="0.7" top="0.75" bottom="0.75" header="0.3" footer="0.3"/>
  <pageSetup scale="9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C5" sqref="C5"/>
    </sheetView>
  </sheetViews>
  <sheetFormatPr defaultRowHeight="15" x14ac:dyDescent="0.25"/>
  <cols>
    <col min="1" max="1" width="10.7109375" customWidth="1"/>
    <col min="2" max="2" width="43.42578125" customWidth="1"/>
    <col min="4" max="4" width="11.5703125" bestFit="1" customWidth="1"/>
    <col min="5" max="5" width="15.7109375" customWidth="1"/>
  </cols>
  <sheetData>
    <row r="1" spans="1:5" ht="15.75" thickBot="1" x14ac:dyDescent="0.3">
      <c r="A1" s="60" t="s">
        <v>134</v>
      </c>
      <c r="B1" s="85">
        <v>43565</v>
      </c>
      <c r="C1" s="62" t="s">
        <v>144</v>
      </c>
      <c r="D1" s="68" t="s">
        <v>267</v>
      </c>
      <c r="E1" s="169"/>
    </row>
    <row r="2" spans="1:5" ht="15.75" thickBot="1" x14ac:dyDescent="0.3">
      <c r="A2" s="164" t="s">
        <v>266</v>
      </c>
      <c r="B2" s="165"/>
      <c r="C2" s="165"/>
      <c r="D2" s="165"/>
      <c r="E2" s="170"/>
    </row>
    <row r="3" spans="1:5" x14ac:dyDescent="0.25">
      <c r="A3" s="69" t="s">
        <v>13</v>
      </c>
      <c r="B3" s="69" t="s">
        <v>1</v>
      </c>
      <c r="C3" s="70" t="s">
        <v>135</v>
      </c>
      <c r="D3" s="70" t="s">
        <v>113</v>
      </c>
      <c r="E3" s="70" t="s">
        <v>15</v>
      </c>
    </row>
    <row r="4" spans="1:5" x14ac:dyDescent="0.25">
      <c r="A4" s="95">
        <v>1</v>
      </c>
      <c r="B4" s="63" t="s">
        <v>268</v>
      </c>
      <c r="C4" s="59">
        <v>1000</v>
      </c>
      <c r="D4" s="65">
        <v>100</v>
      </c>
      <c r="E4" s="65">
        <f>D4*C4</f>
        <v>100000</v>
      </c>
    </row>
    <row r="5" spans="1:5" x14ac:dyDescent="0.25">
      <c r="A5" s="95">
        <v>2</v>
      </c>
      <c r="B5" s="59" t="s">
        <v>269</v>
      </c>
      <c r="C5" s="59">
        <v>8</v>
      </c>
      <c r="D5" s="65">
        <v>8000</v>
      </c>
      <c r="E5" s="65">
        <f>D5*C5</f>
        <v>64000</v>
      </c>
    </row>
    <row r="6" spans="1:5" x14ac:dyDescent="0.25">
      <c r="A6" s="95">
        <v>3</v>
      </c>
      <c r="B6" s="59" t="s">
        <v>270</v>
      </c>
      <c r="C6" s="59">
        <v>20</v>
      </c>
      <c r="D6" s="65">
        <v>1500</v>
      </c>
      <c r="E6" s="65">
        <f>D6*C6</f>
        <v>30000</v>
      </c>
    </row>
    <row r="7" spans="1:5" x14ac:dyDescent="0.25">
      <c r="A7" s="95">
        <v>4</v>
      </c>
      <c r="B7" s="59"/>
      <c r="C7" s="59"/>
      <c r="D7" s="65"/>
      <c r="E7" s="65"/>
    </row>
    <row r="8" spans="1:5" x14ac:dyDescent="0.25">
      <c r="A8" s="95">
        <v>5</v>
      </c>
      <c r="B8" s="59"/>
      <c r="C8" s="59"/>
      <c r="D8" s="65"/>
      <c r="E8" s="65"/>
    </row>
    <row r="9" spans="1:5" x14ac:dyDescent="0.25">
      <c r="A9" s="95">
        <v>6</v>
      </c>
      <c r="B9" s="59"/>
      <c r="C9" s="59"/>
      <c r="D9" s="65"/>
      <c r="E9" s="65"/>
    </row>
    <row r="10" spans="1:5" x14ac:dyDescent="0.25">
      <c r="D10" s="90" t="s">
        <v>15</v>
      </c>
      <c r="E10" s="91">
        <f>SUM(E4:E9)</f>
        <v>194000</v>
      </c>
    </row>
    <row r="12" spans="1:5" ht="31.5" x14ac:dyDescent="0.25">
      <c r="A12" s="92" t="s">
        <v>199</v>
      </c>
      <c r="B12" s="93" t="s">
        <v>200</v>
      </c>
    </row>
    <row r="13" spans="1:5" ht="15.75" x14ac:dyDescent="0.25">
      <c r="A13" s="92" t="s">
        <v>201</v>
      </c>
      <c r="B13" s="94" t="s">
        <v>202</v>
      </c>
    </row>
    <row r="14" spans="1:5" ht="31.5" x14ac:dyDescent="0.25">
      <c r="A14" s="92" t="s">
        <v>203</v>
      </c>
      <c r="B14" s="94" t="s">
        <v>204</v>
      </c>
    </row>
  </sheetData>
  <mergeCells count="2">
    <mergeCell ref="E1:E2"/>
    <mergeCell ref="A2:D2"/>
  </mergeCell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tabSelected="1" topLeftCell="A2" zoomScaleNormal="100" workbookViewId="0">
      <selection activeCell="G17" sqref="G17"/>
    </sheetView>
  </sheetViews>
  <sheetFormatPr defaultRowHeight="15" x14ac:dyDescent="0.25"/>
  <cols>
    <col min="1" max="1" width="7.85546875" customWidth="1"/>
    <col min="2" max="2" width="19.5703125" customWidth="1"/>
    <col min="3" max="3" width="14.140625" bestFit="1" customWidth="1"/>
    <col min="4" max="4" width="12.28515625" customWidth="1"/>
    <col min="5" max="5" width="15.28515625" bestFit="1" customWidth="1"/>
    <col min="6" max="6" width="11.5703125" bestFit="1" customWidth="1"/>
    <col min="7" max="7" width="22" customWidth="1"/>
    <col min="8" max="8" width="16.28515625" customWidth="1"/>
    <col min="9" max="9" width="11.5703125" bestFit="1" customWidth="1"/>
  </cols>
  <sheetData>
    <row r="1" spans="1:9" ht="30" x14ac:dyDescent="0.25">
      <c r="A1" s="187" t="s">
        <v>13</v>
      </c>
      <c r="B1" s="187" t="s">
        <v>271</v>
      </c>
      <c r="C1" s="187" t="s">
        <v>280</v>
      </c>
      <c r="D1" s="187" t="s">
        <v>278</v>
      </c>
      <c r="E1" s="187" t="s">
        <v>272</v>
      </c>
      <c r="F1" s="187" t="s">
        <v>15</v>
      </c>
      <c r="G1" s="187" t="s">
        <v>282</v>
      </c>
      <c r="H1" s="187" t="s">
        <v>281</v>
      </c>
      <c r="I1" s="187" t="s">
        <v>15</v>
      </c>
    </row>
    <row r="2" spans="1:9" x14ac:dyDescent="0.25">
      <c r="A2" s="95">
        <v>1</v>
      </c>
      <c r="B2" s="63" t="s">
        <v>273</v>
      </c>
      <c r="C2" s="65">
        <v>617</v>
      </c>
      <c r="D2" s="65">
        <f>C2/10.76</f>
        <v>57.342007434944236</v>
      </c>
      <c r="E2" s="65">
        <v>1400</v>
      </c>
      <c r="F2" s="65">
        <f>E2*D2</f>
        <v>80278.810408921927</v>
      </c>
      <c r="G2" s="65">
        <f>C2</f>
        <v>617</v>
      </c>
      <c r="H2" s="65">
        <v>30</v>
      </c>
      <c r="I2" s="65">
        <f>H2*G2</f>
        <v>18510</v>
      </c>
    </row>
    <row r="3" spans="1:9" x14ac:dyDescent="0.25">
      <c r="A3" s="116">
        <v>2</v>
      </c>
      <c r="B3" s="63" t="s">
        <v>274</v>
      </c>
      <c r="C3" s="65">
        <v>808</v>
      </c>
      <c r="D3" s="65">
        <f t="shared" ref="D3:D5" si="0">C3/10.76</f>
        <v>75.092936802973981</v>
      </c>
      <c r="E3" s="65">
        <v>1400</v>
      </c>
      <c r="F3" s="65">
        <f t="shared" ref="F3:F8" si="1">E3*D3</f>
        <v>105130.11152416357</v>
      </c>
      <c r="G3" s="65">
        <f t="shared" ref="G3:G7" si="2">C3</f>
        <v>808</v>
      </c>
      <c r="H3" s="65">
        <v>30</v>
      </c>
      <c r="I3" s="65">
        <f t="shared" ref="I3:I7" si="3">H3*G3</f>
        <v>24240</v>
      </c>
    </row>
    <row r="4" spans="1:9" x14ac:dyDescent="0.25">
      <c r="A4" s="95">
        <v>3</v>
      </c>
      <c r="B4" s="63" t="s">
        <v>275</v>
      </c>
      <c r="C4" s="65">
        <v>1144</v>
      </c>
      <c r="D4" s="65">
        <f t="shared" si="0"/>
        <v>106.31970260223048</v>
      </c>
      <c r="E4" s="65">
        <v>1400</v>
      </c>
      <c r="F4" s="65">
        <f t="shared" si="1"/>
        <v>148847.58364312266</v>
      </c>
      <c r="G4" s="65">
        <f t="shared" si="2"/>
        <v>1144</v>
      </c>
      <c r="H4" s="65">
        <v>30</v>
      </c>
      <c r="I4" s="65">
        <f t="shared" si="3"/>
        <v>34320</v>
      </c>
    </row>
    <row r="5" spans="1:9" x14ac:dyDescent="0.25">
      <c r="A5" s="116">
        <v>4</v>
      </c>
      <c r="B5" s="63" t="s">
        <v>276</v>
      </c>
      <c r="C5" s="65">
        <v>95</v>
      </c>
      <c r="D5" s="65">
        <f t="shared" si="0"/>
        <v>8.828996282527882</v>
      </c>
      <c r="E5" s="65">
        <v>1400</v>
      </c>
      <c r="F5" s="65">
        <f t="shared" si="1"/>
        <v>12360.594795539035</v>
      </c>
      <c r="G5" s="65">
        <f t="shared" si="2"/>
        <v>95</v>
      </c>
      <c r="H5" s="65">
        <v>30</v>
      </c>
      <c r="I5" s="65">
        <f t="shared" si="3"/>
        <v>2850</v>
      </c>
    </row>
    <row r="6" spans="1:9" x14ac:dyDescent="0.25">
      <c r="A6" s="95">
        <v>5</v>
      </c>
      <c r="B6" s="63" t="s">
        <v>277</v>
      </c>
      <c r="C6" s="65">
        <f>507*0.33</f>
        <v>167.31</v>
      </c>
      <c r="D6" s="65">
        <f>C6/10.76</f>
        <v>15.549256505576208</v>
      </c>
      <c r="E6" s="65">
        <v>1400</v>
      </c>
      <c r="F6" s="65">
        <f t="shared" si="1"/>
        <v>21768.959107806691</v>
      </c>
      <c r="G6" s="65">
        <f t="shared" si="2"/>
        <v>167.31</v>
      </c>
      <c r="H6" s="65">
        <v>30</v>
      </c>
      <c r="I6" s="65">
        <f t="shared" si="3"/>
        <v>5019.3</v>
      </c>
    </row>
    <row r="7" spans="1:9" x14ac:dyDescent="0.25">
      <c r="A7" s="59"/>
      <c r="B7" s="63" t="s">
        <v>279</v>
      </c>
      <c r="C7" s="65">
        <f>SUM(C2:C6)</f>
        <v>2831.31</v>
      </c>
      <c r="D7" s="65">
        <f>SUM(D2:D6)</f>
        <v>263.13289962825274</v>
      </c>
      <c r="E7" s="65">
        <v>1400</v>
      </c>
      <c r="F7" s="65">
        <f t="shared" si="1"/>
        <v>368386.05947955383</v>
      </c>
      <c r="G7" s="65">
        <f t="shared" si="2"/>
        <v>2831.31</v>
      </c>
      <c r="H7" s="65">
        <v>30</v>
      </c>
      <c r="I7" s="65">
        <f t="shared" si="3"/>
        <v>84939.3</v>
      </c>
    </row>
    <row r="8" spans="1:9" ht="15.75" thickBot="1" x14ac:dyDescent="0.3">
      <c r="A8" s="95">
        <v>6</v>
      </c>
      <c r="B8" s="63" t="s">
        <v>283</v>
      </c>
      <c r="C8" s="174">
        <f>C7*0.15</f>
        <v>424.69649999999996</v>
      </c>
      <c r="D8" s="65">
        <f>D7*0.15</f>
        <v>39.469934944237913</v>
      </c>
      <c r="E8" s="65"/>
      <c r="F8" s="65"/>
      <c r="G8" s="179"/>
      <c r="H8" s="179"/>
      <c r="I8" s="179"/>
    </row>
    <row r="9" spans="1:9" ht="21" x14ac:dyDescent="0.25">
      <c r="A9" s="95">
        <v>7</v>
      </c>
      <c r="B9" s="63" t="s">
        <v>15</v>
      </c>
      <c r="C9" s="65">
        <f>C8+C7</f>
        <v>3256.0065</v>
      </c>
      <c r="D9" s="65">
        <f>D7+D8</f>
        <v>302.60283457249068</v>
      </c>
      <c r="E9" s="65">
        <v>1400</v>
      </c>
      <c r="F9" s="177">
        <f>E9*D9</f>
        <v>423643.96840148693</v>
      </c>
      <c r="G9" s="184" t="s">
        <v>284</v>
      </c>
      <c r="H9" s="185"/>
      <c r="I9" s="186"/>
    </row>
    <row r="10" spans="1:9" ht="19.5" thickBot="1" x14ac:dyDescent="0.3">
      <c r="A10" s="59"/>
      <c r="B10" s="59"/>
      <c r="C10" s="59"/>
      <c r="D10" s="59"/>
      <c r="E10" s="172"/>
      <c r="F10" s="178"/>
      <c r="G10" s="181" t="s">
        <v>285</v>
      </c>
      <c r="H10" s="182" t="s">
        <v>142</v>
      </c>
      <c r="I10" s="183">
        <f>I7</f>
        <v>84939.3</v>
      </c>
    </row>
    <row r="11" spans="1:9" x14ac:dyDescent="0.25">
      <c r="A11" s="59"/>
      <c r="B11" s="59"/>
      <c r="C11" s="59"/>
      <c r="D11" s="59"/>
      <c r="E11" s="65"/>
      <c r="F11" s="59"/>
      <c r="G11" s="180"/>
      <c r="H11" s="180"/>
      <c r="I11" s="180"/>
    </row>
    <row r="15" spans="1:9" x14ac:dyDescent="0.25">
      <c r="D15" s="118"/>
      <c r="E15" s="87"/>
      <c r="F15" s="173"/>
    </row>
    <row r="16" spans="1:9" x14ac:dyDescent="0.25">
      <c r="E16" s="87"/>
      <c r="I16" s="173"/>
    </row>
    <row r="17" spans="4:6" x14ac:dyDescent="0.25">
      <c r="D17" s="173"/>
      <c r="E17" s="173"/>
      <c r="F17" s="173"/>
    </row>
    <row r="20" spans="4:6" x14ac:dyDescent="0.25">
      <c r="D20" s="173"/>
    </row>
  </sheetData>
  <mergeCells count="1">
    <mergeCell ref="G9:I9"/>
  </mergeCells>
  <pageMargins left="0.7" right="0.7" top="0.75" bottom="0.75" header="0.3" footer="0.3"/>
  <pageSetup scale="66"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zoomScaleNormal="100" workbookViewId="0">
      <selection activeCell="E90" sqref="E90"/>
    </sheetView>
  </sheetViews>
  <sheetFormatPr defaultRowHeight="15" x14ac:dyDescent="0.25"/>
  <cols>
    <col min="1" max="1" width="5.140625" bestFit="1" customWidth="1"/>
    <col min="2" max="2" width="49.28515625" customWidth="1"/>
    <col min="3" max="3" width="7.85546875" customWidth="1"/>
    <col min="4" max="4" width="13.28515625" bestFit="1" customWidth="1"/>
    <col min="5" max="5" width="16.5703125" customWidth="1"/>
  </cols>
  <sheetData>
    <row r="1" spans="1:15" ht="17.25" customHeight="1" thickBot="1" x14ac:dyDescent="0.3">
      <c r="A1" s="60" t="s">
        <v>134</v>
      </c>
      <c r="B1" s="61">
        <v>43339</v>
      </c>
      <c r="C1" s="62" t="s">
        <v>144</v>
      </c>
      <c r="D1" s="68" t="s">
        <v>145</v>
      </c>
      <c r="E1" s="167"/>
    </row>
    <row r="2" spans="1:15" ht="15.75" thickBot="1" x14ac:dyDescent="0.3">
      <c r="A2" s="164" t="s">
        <v>133</v>
      </c>
      <c r="B2" s="165"/>
      <c r="C2" s="165"/>
      <c r="D2" s="166"/>
      <c r="E2" s="168"/>
      <c r="N2" t="s">
        <v>131</v>
      </c>
    </row>
    <row r="3" spans="1:15" x14ac:dyDescent="0.25">
      <c r="A3" s="69" t="s">
        <v>13</v>
      </c>
      <c r="B3" s="69" t="s">
        <v>1</v>
      </c>
      <c r="C3" s="70" t="s">
        <v>135</v>
      </c>
      <c r="D3" s="70" t="s">
        <v>113</v>
      </c>
      <c r="E3" s="67" t="s">
        <v>15</v>
      </c>
      <c r="M3" t="s">
        <v>130</v>
      </c>
      <c r="N3">
        <v>9500</v>
      </c>
      <c r="O3">
        <f>N3/3</f>
        <v>3166.6666666666665</v>
      </c>
    </row>
    <row r="4" spans="1:15" x14ac:dyDescent="0.25">
      <c r="A4" s="59">
        <v>1</v>
      </c>
      <c r="B4" s="84" t="s">
        <v>147</v>
      </c>
      <c r="C4" s="59">
        <v>1</v>
      </c>
      <c r="D4" s="65">
        <f>'Main Sheet'!D52</f>
        <v>1186684.8</v>
      </c>
      <c r="E4" s="65">
        <f>D4*C4</f>
        <v>1186684.8</v>
      </c>
      <c r="M4" t="s">
        <v>132</v>
      </c>
      <c r="N4">
        <v>2500</v>
      </c>
    </row>
    <row r="5" spans="1:15" x14ac:dyDescent="0.25">
      <c r="A5" s="59"/>
      <c r="B5" s="59"/>
      <c r="C5" s="59"/>
      <c r="D5" s="65"/>
      <c r="E5" s="65"/>
    </row>
    <row r="6" spans="1:15" x14ac:dyDescent="0.25">
      <c r="A6" s="59">
        <v>2</v>
      </c>
      <c r="B6" s="59" t="s">
        <v>148</v>
      </c>
      <c r="C6" s="59"/>
      <c r="D6" s="65">
        <v>1000000</v>
      </c>
      <c r="E6" s="65"/>
    </row>
    <row r="7" spans="1:15" x14ac:dyDescent="0.25">
      <c r="A7" s="59"/>
      <c r="B7" s="59" t="s">
        <v>140</v>
      </c>
      <c r="C7" s="59"/>
      <c r="D7" s="65">
        <f>'Main Sheet'!D51</f>
        <v>847632</v>
      </c>
      <c r="E7" s="65"/>
    </row>
    <row r="8" spans="1:15" x14ac:dyDescent="0.25">
      <c r="A8" s="59"/>
      <c r="B8" s="59" t="s">
        <v>141</v>
      </c>
      <c r="C8" s="59"/>
      <c r="D8" s="65" t="s">
        <v>143</v>
      </c>
      <c r="E8" s="65">
        <f>D6-D7</f>
        <v>152368</v>
      </c>
    </row>
    <row r="9" spans="1:15" x14ac:dyDescent="0.25">
      <c r="A9" s="59"/>
      <c r="B9" s="59"/>
      <c r="C9" s="59"/>
      <c r="D9" s="66" t="s">
        <v>142</v>
      </c>
      <c r="E9" s="66">
        <f>E4-E8</f>
        <v>1034316.8</v>
      </c>
    </row>
    <row r="10" spans="1:15" x14ac:dyDescent="0.25">
      <c r="D10" s="9"/>
      <c r="E10" s="9"/>
    </row>
    <row r="11" spans="1:15" x14ac:dyDescent="0.25">
      <c r="D11" s="9"/>
      <c r="E11" s="9"/>
    </row>
    <row r="12" spans="1:15" ht="18.75" customHeight="1" thickBot="1" x14ac:dyDescent="0.3">
      <c r="A12" s="60" t="s">
        <v>134</v>
      </c>
      <c r="B12" s="61">
        <v>43339</v>
      </c>
      <c r="C12" s="62" t="s">
        <v>144</v>
      </c>
      <c r="D12" s="68" t="s">
        <v>149</v>
      </c>
      <c r="E12" s="167"/>
    </row>
    <row r="13" spans="1:15" ht="16.5" customHeight="1" thickBot="1" x14ac:dyDescent="0.3">
      <c r="A13" s="164" t="s">
        <v>146</v>
      </c>
      <c r="B13" s="165"/>
      <c r="C13" s="165"/>
      <c r="D13" s="166"/>
      <c r="E13" s="168"/>
    </row>
    <row r="14" spans="1:15" x14ac:dyDescent="0.25">
      <c r="A14" s="69" t="s">
        <v>13</v>
      </c>
      <c r="B14" s="69" t="s">
        <v>1</v>
      </c>
      <c r="C14" s="70" t="s">
        <v>135</v>
      </c>
      <c r="D14" s="70" t="s">
        <v>113</v>
      </c>
      <c r="E14" s="67" t="s">
        <v>15</v>
      </c>
    </row>
    <row r="15" spans="1:15" x14ac:dyDescent="0.25">
      <c r="A15" s="59">
        <v>1</v>
      </c>
      <c r="B15" s="63" t="s">
        <v>136</v>
      </c>
      <c r="C15" s="59">
        <v>3</v>
      </c>
      <c r="D15" s="65">
        <f>E15/C15</f>
        <v>3166.6666666666665</v>
      </c>
      <c r="E15" s="65">
        <v>9500</v>
      </c>
    </row>
    <row r="16" spans="1:15" x14ac:dyDescent="0.25">
      <c r="A16" s="59">
        <v>2</v>
      </c>
      <c r="B16" s="59" t="s">
        <v>137</v>
      </c>
      <c r="C16" s="59">
        <v>2</v>
      </c>
      <c r="D16" s="65">
        <v>1250</v>
      </c>
      <c r="E16" s="65">
        <f>D16*C16</f>
        <v>2500</v>
      </c>
      <c r="F16" s="71"/>
      <c r="G16" s="71"/>
      <c r="H16" s="71"/>
      <c r="I16" s="71"/>
    </row>
    <row r="17" spans="1:5" x14ac:dyDescent="0.25">
      <c r="A17" s="59">
        <v>3</v>
      </c>
      <c r="B17" s="59" t="s">
        <v>138</v>
      </c>
      <c r="C17" s="59">
        <v>1</v>
      </c>
      <c r="D17" s="65">
        <v>5000</v>
      </c>
      <c r="E17" s="65">
        <f>D17</f>
        <v>5000</v>
      </c>
    </row>
    <row r="18" spans="1:5" x14ac:dyDescent="0.25">
      <c r="A18" s="59">
        <v>4</v>
      </c>
      <c r="B18" s="59" t="s">
        <v>139</v>
      </c>
      <c r="C18" s="59">
        <v>1</v>
      </c>
      <c r="D18" s="65">
        <v>1000</v>
      </c>
      <c r="E18" s="65">
        <f>D18</f>
        <v>1000</v>
      </c>
    </row>
    <row r="19" spans="1:5" x14ac:dyDescent="0.25">
      <c r="D19" s="64" t="s">
        <v>15</v>
      </c>
      <c r="E19" s="72">
        <f>SUM(E15:E18)</f>
        <v>18000</v>
      </c>
    </row>
    <row r="21" spans="1:5" ht="15.75" thickBot="1" x14ac:dyDescent="0.3"/>
    <row r="22" spans="1:5" ht="16.5" thickBot="1" x14ac:dyDescent="0.3">
      <c r="D22" s="73" t="s">
        <v>142</v>
      </c>
      <c r="E22" s="74">
        <f>+E19+E9</f>
        <v>1052316.8</v>
      </c>
    </row>
  </sheetData>
  <mergeCells count="4">
    <mergeCell ref="A2:D2"/>
    <mergeCell ref="E1:E2"/>
    <mergeCell ref="E12:E13"/>
    <mergeCell ref="A13:D1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Normal="100" workbookViewId="0">
      <selection activeCell="B22" sqref="B22"/>
    </sheetView>
  </sheetViews>
  <sheetFormatPr defaultRowHeight="15" x14ac:dyDescent="0.25"/>
  <cols>
    <col min="2" max="2" width="46.7109375" customWidth="1"/>
    <col min="4" max="4" width="13.5703125" bestFit="1" customWidth="1"/>
    <col min="5" max="5" width="14.5703125" customWidth="1"/>
  </cols>
  <sheetData>
    <row r="1" spans="1:7" ht="15.75" thickBot="1" x14ac:dyDescent="0.3">
      <c r="A1" s="60" t="s">
        <v>134</v>
      </c>
      <c r="B1" s="85">
        <v>43376</v>
      </c>
      <c r="C1" s="62" t="s">
        <v>144</v>
      </c>
      <c r="D1" s="68" t="s">
        <v>193</v>
      </c>
      <c r="E1" s="167"/>
    </row>
    <row r="2" spans="1:7" ht="15.75" thickBot="1" x14ac:dyDescent="0.3">
      <c r="A2" s="164" t="s">
        <v>133</v>
      </c>
      <c r="B2" s="165"/>
      <c r="C2" s="165"/>
      <c r="D2" s="166"/>
      <c r="E2" s="168"/>
    </row>
    <row r="3" spans="1:7" x14ac:dyDescent="0.25">
      <c r="A3" s="69" t="s">
        <v>13</v>
      </c>
      <c r="B3" s="69" t="s">
        <v>1</v>
      </c>
      <c r="C3" s="70" t="s">
        <v>135</v>
      </c>
      <c r="D3" s="70" t="s">
        <v>113</v>
      </c>
      <c r="E3" s="67" t="s">
        <v>15</v>
      </c>
    </row>
    <row r="4" spans="1:7" x14ac:dyDescent="0.25">
      <c r="A4" s="59">
        <v>1</v>
      </c>
      <c r="B4" s="83" t="s">
        <v>181</v>
      </c>
      <c r="C4" s="59">
        <v>1</v>
      </c>
      <c r="D4" s="65">
        <f>'Main Sheet'!D53</f>
        <v>847632</v>
      </c>
      <c r="E4" s="65">
        <f>D4*C4</f>
        <v>847632</v>
      </c>
    </row>
    <row r="5" spans="1:7" x14ac:dyDescent="0.25">
      <c r="A5" s="59"/>
      <c r="B5" s="59"/>
      <c r="C5" s="59"/>
      <c r="D5" s="65"/>
      <c r="E5" s="65"/>
    </row>
    <row r="6" spans="1:7" x14ac:dyDescent="0.25">
      <c r="A6" s="59"/>
      <c r="B6" s="59"/>
      <c r="C6" s="59"/>
      <c r="D6" s="66" t="s">
        <v>15</v>
      </c>
      <c r="E6" s="66">
        <f>E4</f>
        <v>847632</v>
      </c>
    </row>
    <row r="7" spans="1:7" x14ac:dyDescent="0.25">
      <c r="D7" s="9"/>
      <c r="E7" s="9"/>
    </row>
    <row r="8" spans="1:7" x14ac:dyDescent="0.25">
      <c r="D8" s="9"/>
      <c r="E8" s="9"/>
    </row>
    <row r="9" spans="1:7" ht="15.75" thickBot="1" x14ac:dyDescent="0.3">
      <c r="A9" s="60" t="s">
        <v>134</v>
      </c>
      <c r="B9" s="85">
        <v>43376</v>
      </c>
      <c r="C9" s="62" t="s">
        <v>144</v>
      </c>
      <c r="D9" s="68" t="s">
        <v>182</v>
      </c>
      <c r="E9" s="167"/>
    </row>
    <row r="10" spans="1:7" ht="21.75" customHeight="1" thickBot="1" x14ac:dyDescent="0.3">
      <c r="A10" s="164" t="s">
        <v>146</v>
      </c>
      <c r="B10" s="165"/>
      <c r="C10" s="165"/>
      <c r="D10" s="166"/>
      <c r="E10" s="168"/>
    </row>
    <row r="11" spans="1:7" x14ac:dyDescent="0.25">
      <c r="A11" s="69" t="s">
        <v>13</v>
      </c>
      <c r="B11" s="69" t="s">
        <v>1</v>
      </c>
      <c r="C11" s="70" t="s">
        <v>135</v>
      </c>
      <c r="D11" s="70" t="s">
        <v>113</v>
      </c>
      <c r="E11" s="67" t="s">
        <v>15</v>
      </c>
    </row>
    <row r="12" spans="1:7" ht="30" x14ac:dyDescent="0.25">
      <c r="A12" s="59">
        <v>1</v>
      </c>
      <c r="B12" s="63" t="s">
        <v>136</v>
      </c>
      <c r="C12" s="59">
        <v>4</v>
      </c>
      <c r="D12" s="65">
        <f>E12/C12</f>
        <v>3062.5</v>
      </c>
      <c r="E12" s="65">
        <f>'Main Sheet'!N31</f>
        <v>12250</v>
      </c>
    </row>
    <row r="13" spans="1:7" x14ac:dyDescent="0.25">
      <c r="A13" s="59">
        <v>2</v>
      </c>
      <c r="B13" s="59" t="s">
        <v>183</v>
      </c>
      <c r="C13" s="59">
        <v>20</v>
      </c>
      <c r="D13" s="65">
        <f>E13/C13</f>
        <v>250</v>
      </c>
      <c r="E13" s="65">
        <f>'Main Sheet'!N32+'Main Sheet'!N22</f>
        <v>5000</v>
      </c>
    </row>
    <row r="14" spans="1:7" x14ac:dyDescent="0.25">
      <c r="A14" s="59"/>
      <c r="B14" s="59"/>
      <c r="C14" s="59"/>
      <c r="D14" s="65"/>
      <c r="E14" s="65"/>
    </row>
    <row r="15" spans="1:7" x14ac:dyDescent="0.25">
      <c r="A15" s="59"/>
      <c r="B15" s="59"/>
      <c r="C15" s="59"/>
      <c r="D15" s="65"/>
      <c r="E15" s="65"/>
    </row>
    <row r="16" spans="1:7" x14ac:dyDescent="0.25">
      <c r="D16" s="79" t="s">
        <v>15</v>
      </c>
      <c r="E16" s="72">
        <f>SUM(E12:E15)</f>
        <v>17250</v>
      </c>
      <c r="G16" s="87"/>
    </row>
    <row r="18" spans="4:5" ht="15.75" thickBot="1" x14ac:dyDescent="0.3"/>
    <row r="19" spans="4:5" ht="16.5" thickBot="1" x14ac:dyDescent="0.3">
      <c r="D19" s="73" t="s">
        <v>142</v>
      </c>
      <c r="E19" s="74">
        <f>+E16+E6</f>
        <v>864882</v>
      </c>
    </row>
  </sheetData>
  <mergeCells count="4">
    <mergeCell ref="E1:E2"/>
    <mergeCell ref="A2:D2"/>
    <mergeCell ref="E9:E10"/>
    <mergeCell ref="A10:D10"/>
  </mergeCells>
  <pageMargins left="0.7" right="0.7" top="0.75" bottom="0.75" header="0.3" footer="0.3"/>
  <pageSetup scale="97"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zoomScaleNormal="100" workbookViewId="0">
      <selection activeCell="B22" sqref="B22"/>
    </sheetView>
  </sheetViews>
  <sheetFormatPr defaultRowHeight="15" x14ac:dyDescent="0.25"/>
  <cols>
    <col min="1" max="1" width="12.42578125" customWidth="1"/>
    <col min="2" max="2" width="47.42578125" bestFit="1" customWidth="1"/>
    <col min="4" max="4" width="18.7109375" customWidth="1"/>
    <col min="5" max="5" width="17.5703125" customWidth="1"/>
  </cols>
  <sheetData>
    <row r="1" spans="1:5" ht="15.75" thickBot="1" x14ac:dyDescent="0.3">
      <c r="A1" s="60" t="s">
        <v>134</v>
      </c>
      <c r="B1" s="85">
        <v>43392</v>
      </c>
      <c r="C1" s="62" t="s">
        <v>144</v>
      </c>
      <c r="D1" s="68" t="s">
        <v>194</v>
      </c>
      <c r="E1" s="167"/>
    </row>
    <row r="2" spans="1:5" ht="15.75" thickBot="1" x14ac:dyDescent="0.3">
      <c r="A2" s="164" t="s">
        <v>133</v>
      </c>
      <c r="B2" s="165"/>
      <c r="C2" s="165"/>
      <c r="D2" s="166"/>
      <c r="E2" s="168"/>
    </row>
    <row r="3" spans="1:5" x14ac:dyDescent="0.25">
      <c r="A3" s="69" t="s">
        <v>13</v>
      </c>
      <c r="B3" s="69" t="s">
        <v>1</v>
      </c>
      <c r="C3" s="70" t="s">
        <v>135</v>
      </c>
      <c r="D3" s="70" t="s">
        <v>113</v>
      </c>
      <c r="E3" s="67" t="s">
        <v>15</v>
      </c>
    </row>
    <row r="4" spans="1:5" x14ac:dyDescent="0.25">
      <c r="A4" s="82">
        <v>1</v>
      </c>
      <c r="B4" s="83" t="s">
        <v>195</v>
      </c>
      <c r="C4" s="59">
        <v>1</v>
      </c>
      <c r="D4" s="65">
        <f>'Main Sheet'!D54</f>
        <v>762868.79999999993</v>
      </c>
      <c r="E4" s="65">
        <f>D4*C4</f>
        <v>762868.79999999993</v>
      </c>
    </row>
    <row r="5" spans="1:5" x14ac:dyDescent="0.25">
      <c r="A5" s="82">
        <v>2</v>
      </c>
      <c r="B5" s="59" t="s">
        <v>197</v>
      </c>
      <c r="C5" s="59">
        <v>4566</v>
      </c>
      <c r="D5" s="65">
        <v>180</v>
      </c>
      <c r="E5" s="65">
        <f>D5*C5</f>
        <v>821880</v>
      </c>
    </row>
    <row r="6" spans="1:5" x14ac:dyDescent="0.25">
      <c r="A6" s="82"/>
      <c r="B6" s="59"/>
      <c r="C6" s="59"/>
      <c r="D6" s="66" t="s">
        <v>15</v>
      </c>
      <c r="E6" s="66">
        <f>E5+E4</f>
        <v>1584748.7999999998</v>
      </c>
    </row>
    <row r="7" spans="1:5" x14ac:dyDescent="0.25">
      <c r="D7" s="9"/>
      <c r="E7" s="9"/>
    </row>
    <row r="8" spans="1:5" x14ac:dyDescent="0.25">
      <c r="D8" s="9"/>
      <c r="E8" s="9"/>
    </row>
    <row r="9" spans="1:5" ht="15.75" thickBot="1" x14ac:dyDescent="0.3">
      <c r="A9" s="60" t="s">
        <v>134</v>
      </c>
      <c r="B9" s="85">
        <v>43392</v>
      </c>
      <c r="C9" s="62" t="s">
        <v>144</v>
      </c>
      <c r="D9" s="68" t="s">
        <v>198</v>
      </c>
      <c r="E9" s="167"/>
    </row>
    <row r="10" spans="1:5" ht="15.75" thickBot="1" x14ac:dyDescent="0.3">
      <c r="A10" s="164" t="s">
        <v>146</v>
      </c>
      <c r="B10" s="165"/>
      <c r="C10" s="165"/>
      <c r="D10" s="166"/>
      <c r="E10" s="168"/>
    </row>
    <row r="11" spans="1:5" x14ac:dyDescent="0.25">
      <c r="A11" s="69" t="s">
        <v>13</v>
      </c>
      <c r="B11" s="69" t="s">
        <v>1</v>
      </c>
      <c r="C11" s="70" t="s">
        <v>135</v>
      </c>
      <c r="D11" s="70" t="s">
        <v>113</v>
      </c>
      <c r="E11" s="67" t="s">
        <v>15</v>
      </c>
    </row>
    <row r="12" spans="1:5" x14ac:dyDescent="0.25">
      <c r="A12" s="95">
        <v>1</v>
      </c>
      <c r="B12" s="63" t="s">
        <v>136</v>
      </c>
      <c r="C12" s="59">
        <v>4</v>
      </c>
      <c r="D12" s="65">
        <v>5000</v>
      </c>
      <c r="E12" s="65">
        <f>D12*C12</f>
        <v>20000</v>
      </c>
    </row>
    <row r="13" spans="1:5" x14ac:dyDescent="0.25">
      <c r="A13" s="95">
        <v>2</v>
      </c>
      <c r="B13" s="59" t="s">
        <v>183</v>
      </c>
      <c r="C13" s="59">
        <v>20</v>
      </c>
      <c r="D13" s="65">
        <v>250</v>
      </c>
      <c r="E13" s="65">
        <f>D13*C13</f>
        <v>5000</v>
      </c>
    </row>
    <row r="14" spans="1:5" x14ac:dyDescent="0.25">
      <c r="A14" s="95">
        <v>3</v>
      </c>
      <c r="B14" s="59" t="s">
        <v>196</v>
      </c>
      <c r="C14" s="59">
        <v>1</v>
      </c>
      <c r="D14" s="65">
        <v>15500</v>
      </c>
      <c r="E14" s="65">
        <f>D14</f>
        <v>15500</v>
      </c>
    </row>
    <row r="15" spans="1:5" x14ac:dyDescent="0.25">
      <c r="A15" s="95"/>
      <c r="B15" s="59"/>
      <c r="C15" s="59"/>
      <c r="D15" s="65"/>
      <c r="E15" s="65"/>
    </row>
    <row r="16" spans="1:5" x14ac:dyDescent="0.25">
      <c r="D16" s="90" t="s">
        <v>15</v>
      </c>
      <c r="E16" s="91">
        <f>SUM(E12:E15)</f>
        <v>40500</v>
      </c>
    </row>
    <row r="18" spans="1:5" ht="16.5" thickBot="1" x14ac:dyDescent="0.3">
      <c r="A18" s="92" t="s">
        <v>199</v>
      </c>
      <c r="B18" s="93" t="s">
        <v>200</v>
      </c>
    </row>
    <row r="19" spans="1:5" ht="16.5" thickBot="1" x14ac:dyDescent="0.3">
      <c r="A19" s="92" t="s">
        <v>201</v>
      </c>
      <c r="B19" s="94" t="s">
        <v>202</v>
      </c>
      <c r="D19" s="73" t="s">
        <v>142</v>
      </c>
      <c r="E19" s="74">
        <f>+E16+E6</f>
        <v>1625248.7999999998</v>
      </c>
    </row>
    <row r="20" spans="1:5" ht="31.5" x14ac:dyDescent="0.25">
      <c r="A20" s="92" t="s">
        <v>203</v>
      </c>
      <c r="B20" s="94" t="s">
        <v>204</v>
      </c>
    </row>
  </sheetData>
  <mergeCells count="4">
    <mergeCell ref="E1:E2"/>
    <mergeCell ref="A2:D2"/>
    <mergeCell ref="E9:E10"/>
    <mergeCell ref="A10:D10"/>
  </mergeCells>
  <pageMargins left="0.7" right="0.7" top="0.75" bottom="0.75" header="0.3" footer="0.3"/>
  <pageSetup scale="83"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topLeftCell="A4" zoomScaleNormal="100" workbookViewId="0">
      <selection sqref="A1:E20"/>
    </sheetView>
  </sheetViews>
  <sheetFormatPr defaultRowHeight="15" x14ac:dyDescent="0.25"/>
  <cols>
    <col min="1" max="1" width="11.42578125" customWidth="1"/>
    <col min="2" max="2" width="48.28515625" bestFit="1" customWidth="1"/>
    <col min="4" max="4" width="12.5703125" bestFit="1" customWidth="1"/>
    <col min="5" max="5" width="20" customWidth="1"/>
  </cols>
  <sheetData>
    <row r="1" spans="1:5" ht="15.75" thickBot="1" x14ac:dyDescent="0.3">
      <c r="A1" s="60" t="s">
        <v>134</v>
      </c>
      <c r="B1" s="85">
        <v>43418</v>
      </c>
      <c r="C1" s="62" t="s">
        <v>144</v>
      </c>
      <c r="D1" s="68" t="s">
        <v>208</v>
      </c>
      <c r="E1" s="167"/>
    </row>
    <row r="2" spans="1:5" ht="15.75" thickBot="1" x14ac:dyDescent="0.3">
      <c r="A2" s="164" t="s">
        <v>133</v>
      </c>
      <c r="B2" s="165"/>
      <c r="C2" s="165"/>
      <c r="D2" s="166"/>
      <c r="E2" s="168"/>
    </row>
    <row r="3" spans="1:5" x14ac:dyDescent="0.25">
      <c r="A3" s="69" t="s">
        <v>13</v>
      </c>
      <c r="B3" s="69" t="s">
        <v>1</v>
      </c>
      <c r="C3" s="70" t="s">
        <v>135</v>
      </c>
      <c r="D3" s="70" t="s">
        <v>113</v>
      </c>
      <c r="E3" s="67" t="s">
        <v>15</v>
      </c>
    </row>
    <row r="4" spans="1:5" x14ac:dyDescent="0.25">
      <c r="A4" s="89">
        <v>1</v>
      </c>
      <c r="B4" s="83" t="s">
        <v>206</v>
      </c>
      <c r="C4" s="59">
        <v>1</v>
      </c>
      <c r="D4" s="65">
        <f>'Main Sheet'!D56</f>
        <v>423816</v>
      </c>
      <c r="E4" s="65">
        <f>D4*C4</f>
        <v>423816</v>
      </c>
    </row>
    <row r="5" spans="1:5" x14ac:dyDescent="0.25">
      <c r="A5" s="89">
        <v>2</v>
      </c>
      <c r="B5" s="59" t="s">
        <v>207</v>
      </c>
      <c r="C5" s="59">
        <v>1</v>
      </c>
      <c r="D5" s="65">
        <f>'Main Sheet'!D55</f>
        <v>423816</v>
      </c>
      <c r="E5" s="65">
        <f>D5*C5</f>
        <v>423816</v>
      </c>
    </row>
    <row r="6" spans="1:5" x14ac:dyDescent="0.25">
      <c r="A6" s="89"/>
      <c r="B6" s="59"/>
      <c r="C6" s="59"/>
      <c r="D6" s="66" t="s">
        <v>15</v>
      </c>
      <c r="E6" s="66">
        <f>E5+E4</f>
        <v>847632</v>
      </c>
    </row>
    <row r="7" spans="1:5" x14ac:dyDescent="0.25">
      <c r="D7" s="9"/>
      <c r="E7" s="9"/>
    </row>
    <row r="8" spans="1:5" x14ac:dyDescent="0.25">
      <c r="D8" s="9"/>
      <c r="E8" s="9"/>
    </row>
    <row r="9" spans="1:5" ht="15.75" thickBot="1" x14ac:dyDescent="0.3">
      <c r="A9" s="60" t="s">
        <v>134</v>
      </c>
      <c r="B9" s="85">
        <v>43418</v>
      </c>
      <c r="C9" s="62" t="s">
        <v>144</v>
      </c>
      <c r="D9" s="68" t="s">
        <v>209</v>
      </c>
      <c r="E9" s="167"/>
    </row>
    <row r="10" spans="1:5" ht="15.75" thickBot="1" x14ac:dyDescent="0.3">
      <c r="A10" s="164" t="s">
        <v>146</v>
      </c>
      <c r="B10" s="165"/>
      <c r="C10" s="165"/>
      <c r="D10" s="166"/>
      <c r="E10" s="168"/>
    </row>
    <row r="11" spans="1:5" x14ac:dyDescent="0.25">
      <c r="A11" s="69" t="s">
        <v>13</v>
      </c>
      <c r="B11" s="69" t="s">
        <v>1</v>
      </c>
      <c r="C11" s="70" t="s">
        <v>135</v>
      </c>
      <c r="D11" s="70" t="s">
        <v>113</v>
      </c>
      <c r="E11" s="67" t="s">
        <v>15</v>
      </c>
    </row>
    <row r="12" spans="1:5" ht="30" x14ac:dyDescent="0.25">
      <c r="A12" s="95">
        <v>1</v>
      </c>
      <c r="B12" s="63" t="s">
        <v>136</v>
      </c>
      <c r="C12" s="59">
        <v>2</v>
      </c>
      <c r="D12" s="65">
        <v>5000</v>
      </c>
      <c r="E12" s="65">
        <f>D12*C12</f>
        <v>10000</v>
      </c>
    </row>
    <row r="13" spans="1:5" x14ac:dyDescent="0.25">
      <c r="A13" s="95">
        <v>2</v>
      </c>
      <c r="B13" s="59" t="s">
        <v>183</v>
      </c>
      <c r="C13" s="59">
        <v>20</v>
      </c>
      <c r="D13" s="65">
        <v>250</v>
      </c>
      <c r="E13" s="65">
        <f>D13*C13</f>
        <v>5000</v>
      </c>
    </row>
    <row r="14" spans="1:5" x14ac:dyDescent="0.25">
      <c r="A14" s="95"/>
      <c r="B14" s="59"/>
      <c r="C14" s="59"/>
      <c r="D14" s="65"/>
      <c r="E14" s="65">
        <f>D14</f>
        <v>0</v>
      </c>
    </row>
    <row r="15" spans="1:5" x14ac:dyDescent="0.25">
      <c r="A15" s="95"/>
      <c r="B15" s="59"/>
      <c r="C15" s="59"/>
      <c r="D15" s="65"/>
      <c r="E15" s="65"/>
    </row>
    <row r="16" spans="1:5" x14ac:dyDescent="0.25">
      <c r="D16" s="90" t="s">
        <v>15</v>
      </c>
      <c r="E16" s="91">
        <f>SUM(E12:E15)</f>
        <v>15000</v>
      </c>
    </row>
    <row r="18" spans="1:5" ht="32.25" thickBot="1" x14ac:dyDescent="0.3">
      <c r="A18" s="92" t="s">
        <v>199</v>
      </c>
      <c r="B18" s="93" t="s">
        <v>200</v>
      </c>
    </row>
    <row r="19" spans="1:5" ht="32.25" thickBot="1" x14ac:dyDescent="0.3">
      <c r="A19" s="92" t="s">
        <v>201</v>
      </c>
      <c r="B19" s="94" t="s">
        <v>202</v>
      </c>
      <c r="D19" s="73" t="s">
        <v>142</v>
      </c>
      <c r="E19" s="74">
        <f>+E16+E6</f>
        <v>862632</v>
      </c>
    </row>
    <row r="20" spans="1:5" ht="31.5" x14ac:dyDescent="0.25">
      <c r="A20" s="92" t="s">
        <v>203</v>
      </c>
      <c r="B20" s="94" t="s">
        <v>204</v>
      </c>
    </row>
  </sheetData>
  <mergeCells count="4">
    <mergeCell ref="E1:E2"/>
    <mergeCell ref="A2:D2"/>
    <mergeCell ref="E9:E10"/>
    <mergeCell ref="A10:D10"/>
  </mergeCells>
  <pageMargins left="0.7" right="0.7" top="0.75" bottom="0.75" header="0.3" footer="0.3"/>
  <pageSetup scale="8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zoomScaleNormal="100" workbookViewId="0">
      <selection activeCell="E20" sqref="A1:E20"/>
    </sheetView>
  </sheetViews>
  <sheetFormatPr defaultRowHeight="15" x14ac:dyDescent="0.25"/>
  <cols>
    <col min="1" max="1" width="15.5703125" customWidth="1"/>
    <col min="2" max="2" width="48.28515625" bestFit="1" customWidth="1"/>
    <col min="4" max="4" width="17.7109375" bestFit="1" customWidth="1"/>
    <col min="5" max="5" width="17.5703125" customWidth="1"/>
  </cols>
  <sheetData>
    <row r="1" spans="1:5" ht="15.75" thickBot="1" x14ac:dyDescent="0.3">
      <c r="A1" s="60" t="s">
        <v>134</v>
      </c>
      <c r="B1" s="85">
        <v>43461</v>
      </c>
      <c r="C1" s="62" t="s">
        <v>144</v>
      </c>
      <c r="D1" s="68" t="s">
        <v>213</v>
      </c>
      <c r="E1" s="169"/>
    </row>
    <row r="2" spans="1:5" ht="15.75" thickBot="1" x14ac:dyDescent="0.3">
      <c r="A2" s="164" t="s">
        <v>133</v>
      </c>
      <c r="B2" s="165"/>
      <c r="C2" s="165"/>
      <c r="D2" s="165"/>
      <c r="E2" s="170"/>
    </row>
    <row r="3" spans="1:5" x14ac:dyDescent="0.25">
      <c r="A3" s="69" t="s">
        <v>13</v>
      </c>
      <c r="B3" s="69" t="s">
        <v>1</v>
      </c>
      <c r="C3" s="70" t="s">
        <v>135</v>
      </c>
      <c r="D3" s="70" t="s">
        <v>113</v>
      </c>
      <c r="E3" s="70" t="s">
        <v>15</v>
      </c>
    </row>
    <row r="4" spans="1:5" x14ac:dyDescent="0.25">
      <c r="A4" s="96">
        <v>1</v>
      </c>
      <c r="B4" s="83" t="s">
        <v>210</v>
      </c>
      <c r="C4" s="59">
        <v>1</v>
      </c>
      <c r="D4" s="65">
        <f>'Main Sheet'!D61</f>
        <v>423816</v>
      </c>
      <c r="E4" s="65">
        <f>D4*C4</f>
        <v>423816</v>
      </c>
    </row>
    <row r="5" spans="1:5" x14ac:dyDescent="0.25">
      <c r="A5" s="96">
        <v>2</v>
      </c>
      <c r="B5" s="59" t="s">
        <v>211</v>
      </c>
      <c r="C5" s="59">
        <v>1</v>
      </c>
      <c r="D5" s="65">
        <f>'Main Sheet'!D65</f>
        <v>450000</v>
      </c>
      <c r="E5" s="65">
        <f>D5*C5</f>
        <v>450000</v>
      </c>
    </row>
    <row r="6" spans="1:5" x14ac:dyDescent="0.25">
      <c r="A6" s="96"/>
      <c r="B6" s="59"/>
      <c r="C6" s="59"/>
      <c r="D6" s="66" t="s">
        <v>15</v>
      </c>
      <c r="E6" s="66">
        <f>E5+E4</f>
        <v>873816</v>
      </c>
    </row>
    <row r="7" spans="1:5" x14ac:dyDescent="0.25">
      <c r="D7" s="9"/>
      <c r="E7" s="9"/>
    </row>
    <row r="8" spans="1:5" ht="15.75" thickBot="1" x14ac:dyDescent="0.3">
      <c r="D8" s="9"/>
      <c r="E8" s="9"/>
    </row>
    <row r="9" spans="1:5" ht="15.75" thickBot="1" x14ac:dyDescent="0.3">
      <c r="A9" s="60" t="s">
        <v>134</v>
      </c>
      <c r="B9" s="85">
        <f>B1</f>
        <v>43461</v>
      </c>
      <c r="C9" s="62" t="s">
        <v>144</v>
      </c>
      <c r="D9" s="68" t="s">
        <v>214</v>
      </c>
      <c r="E9" s="169"/>
    </row>
    <row r="10" spans="1:5" ht="15.75" thickBot="1" x14ac:dyDescent="0.3">
      <c r="A10" s="164" t="s">
        <v>146</v>
      </c>
      <c r="B10" s="165"/>
      <c r="C10" s="165"/>
      <c r="D10" s="165"/>
      <c r="E10" s="170"/>
    </row>
    <row r="11" spans="1:5" x14ac:dyDescent="0.25">
      <c r="A11" s="69" t="s">
        <v>13</v>
      </c>
      <c r="B11" s="69" t="s">
        <v>1</v>
      </c>
      <c r="C11" s="70" t="s">
        <v>135</v>
      </c>
      <c r="D11" s="70" t="s">
        <v>113</v>
      </c>
      <c r="E11" s="70" t="s">
        <v>15</v>
      </c>
    </row>
    <row r="12" spans="1:5" ht="30" x14ac:dyDescent="0.25">
      <c r="A12" s="95">
        <v>1</v>
      </c>
      <c r="B12" s="63" t="s">
        <v>136</v>
      </c>
      <c r="C12" s="59">
        <v>2</v>
      </c>
      <c r="D12" s="65">
        <v>5000</v>
      </c>
      <c r="E12" s="65">
        <f>D12*C12</f>
        <v>10000</v>
      </c>
    </row>
    <row r="13" spans="1:5" x14ac:dyDescent="0.25">
      <c r="A13" s="95">
        <v>2</v>
      </c>
      <c r="B13" s="59" t="s">
        <v>212</v>
      </c>
      <c r="C13" s="59">
        <v>20</v>
      </c>
      <c r="D13" s="65">
        <v>350</v>
      </c>
      <c r="E13" s="65">
        <f>D13*C13</f>
        <v>7000</v>
      </c>
    </row>
    <row r="14" spans="1:5" x14ac:dyDescent="0.25">
      <c r="A14" s="95">
        <v>3</v>
      </c>
      <c r="B14" s="59" t="s">
        <v>215</v>
      </c>
      <c r="C14" s="59">
        <v>1</v>
      </c>
      <c r="D14" s="65">
        <v>22000</v>
      </c>
      <c r="E14" s="65">
        <f>D14</f>
        <v>22000</v>
      </c>
    </row>
    <row r="15" spans="1:5" x14ac:dyDescent="0.25">
      <c r="A15" s="95"/>
      <c r="B15" s="59"/>
      <c r="C15" s="59"/>
      <c r="D15" s="65"/>
      <c r="E15" s="65"/>
    </row>
    <row r="16" spans="1:5" x14ac:dyDescent="0.25">
      <c r="D16" s="90" t="s">
        <v>15</v>
      </c>
      <c r="E16" s="91">
        <f>SUM(E12:E15)</f>
        <v>39000</v>
      </c>
    </row>
    <row r="18" spans="1:5" ht="16.5" thickBot="1" x14ac:dyDescent="0.3">
      <c r="A18" s="92" t="s">
        <v>199</v>
      </c>
      <c r="B18" s="93" t="s">
        <v>200</v>
      </c>
    </row>
    <row r="19" spans="1:5" ht="16.5" thickBot="1" x14ac:dyDescent="0.3">
      <c r="A19" s="92" t="s">
        <v>201</v>
      </c>
      <c r="B19" s="94" t="s">
        <v>202</v>
      </c>
      <c r="D19" s="73" t="s">
        <v>142</v>
      </c>
      <c r="E19" s="74">
        <f>+E16+E6</f>
        <v>912816</v>
      </c>
    </row>
    <row r="20" spans="1:5" ht="31.5" x14ac:dyDescent="0.25">
      <c r="A20" s="92" t="s">
        <v>203</v>
      </c>
      <c r="B20" s="94" t="s">
        <v>204</v>
      </c>
    </row>
  </sheetData>
  <mergeCells count="4">
    <mergeCell ref="E1:E2"/>
    <mergeCell ref="A2:D2"/>
    <mergeCell ref="E9:E10"/>
    <mergeCell ref="A10:D10"/>
  </mergeCells>
  <pageMargins left="0.7" right="0.7" top="0.75" bottom="0.75" header="0.3" footer="0.3"/>
  <pageSetup scale="82"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view="pageBreakPreview" zoomScale="60" zoomScaleNormal="100" workbookViewId="0">
      <selection activeCell="E7" sqref="E7"/>
    </sheetView>
  </sheetViews>
  <sheetFormatPr defaultRowHeight="15" x14ac:dyDescent="0.25"/>
  <cols>
    <col min="1" max="1" width="11" customWidth="1"/>
    <col min="2" max="2" width="57.140625" customWidth="1"/>
    <col min="4" max="4" width="12.5703125" bestFit="1" customWidth="1"/>
    <col min="5" max="5" width="18.42578125" customWidth="1"/>
  </cols>
  <sheetData>
    <row r="1" spans="1:5" ht="15.75" thickBot="1" x14ac:dyDescent="0.3">
      <c r="A1" s="60" t="s">
        <v>134</v>
      </c>
      <c r="B1" s="85">
        <v>43494</v>
      </c>
      <c r="C1" s="62" t="s">
        <v>144</v>
      </c>
      <c r="D1" s="68" t="s">
        <v>223</v>
      </c>
      <c r="E1" s="169"/>
    </row>
    <row r="2" spans="1:5" ht="15.75" thickBot="1" x14ac:dyDescent="0.3">
      <c r="A2" s="164" t="s">
        <v>224</v>
      </c>
      <c r="B2" s="165"/>
      <c r="C2" s="165"/>
      <c r="D2" s="165"/>
      <c r="E2" s="170"/>
    </row>
    <row r="3" spans="1:5" x14ac:dyDescent="0.25">
      <c r="A3" s="69" t="s">
        <v>13</v>
      </c>
      <c r="B3" s="69" t="s">
        <v>1</v>
      </c>
      <c r="C3" s="70" t="s">
        <v>135</v>
      </c>
      <c r="D3" s="70" t="s">
        <v>113</v>
      </c>
      <c r="E3" s="70" t="s">
        <v>15</v>
      </c>
    </row>
    <row r="4" spans="1:5" x14ac:dyDescent="0.25">
      <c r="A4" s="104">
        <v>1</v>
      </c>
      <c r="B4" s="83" t="s">
        <v>226</v>
      </c>
      <c r="C4" s="59">
        <v>4</v>
      </c>
      <c r="D4" s="65">
        <v>19500</v>
      </c>
      <c r="E4" s="65">
        <f>D4*C4</f>
        <v>78000</v>
      </c>
    </row>
    <row r="5" spans="1:5" x14ac:dyDescent="0.25">
      <c r="A5" s="104">
        <v>2</v>
      </c>
      <c r="B5" s="59" t="s">
        <v>225</v>
      </c>
      <c r="C5" s="59">
        <v>1</v>
      </c>
      <c r="D5" s="65">
        <f>'Main Sheet'!D58/2</f>
        <v>169526.39999999999</v>
      </c>
      <c r="E5" s="65">
        <f>D5</f>
        <v>169526.39999999999</v>
      </c>
    </row>
    <row r="6" spans="1:5" x14ac:dyDescent="0.25">
      <c r="A6" s="105"/>
      <c r="B6" s="59"/>
      <c r="C6" s="59"/>
      <c r="D6" s="65"/>
      <c r="E6" s="65"/>
    </row>
    <row r="7" spans="1:5" x14ac:dyDescent="0.25">
      <c r="A7" s="104"/>
      <c r="B7" s="59"/>
      <c r="C7" s="59"/>
      <c r="D7" s="106" t="s">
        <v>15</v>
      </c>
      <c r="E7" s="66">
        <f>E5+E4+E6</f>
        <v>247526.39999999999</v>
      </c>
    </row>
    <row r="8" spans="1:5" x14ac:dyDescent="0.25">
      <c r="D8" s="9"/>
      <c r="E8" s="9"/>
    </row>
    <row r="11" spans="1:5" ht="16.5" thickBot="1" x14ac:dyDescent="0.3">
      <c r="A11" s="92" t="s">
        <v>199</v>
      </c>
      <c r="B11" s="93" t="s">
        <v>200</v>
      </c>
    </row>
    <row r="12" spans="1:5" ht="16.5" thickBot="1" x14ac:dyDescent="0.3">
      <c r="A12" s="92" t="s">
        <v>201</v>
      </c>
      <c r="B12" s="94" t="s">
        <v>202</v>
      </c>
      <c r="D12" s="73" t="s">
        <v>142</v>
      </c>
      <c r="E12" s="74">
        <f>+'Bill 13'!E9+E7</f>
        <v>329026.40000000002</v>
      </c>
    </row>
    <row r="13" spans="1:5" ht="31.5" x14ac:dyDescent="0.25">
      <c r="A13" s="92" t="s">
        <v>203</v>
      </c>
      <c r="B13" s="94" t="s">
        <v>204</v>
      </c>
    </row>
  </sheetData>
  <mergeCells count="2">
    <mergeCell ref="E1:E2"/>
    <mergeCell ref="A2:D2"/>
  </mergeCells>
  <pageMargins left="0.7" right="0.7" top="0.75" bottom="0.75" header="0.3" footer="0.3"/>
  <pageSetup scale="8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sqref="A1:E13"/>
    </sheetView>
  </sheetViews>
  <sheetFormatPr defaultRowHeight="15" x14ac:dyDescent="0.25"/>
  <cols>
    <col min="1" max="1" width="12" customWidth="1"/>
    <col min="2" max="2" width="34" bestFit="1" customWidth="1"/>
    <col min="4" max="4" width="12.5703125" customWidth="1"/>
    <col min="5" max="5" width="18.28515625" customWidth="1"/>
    <col min="7" max="7" width="10.5703125" bestFit="1" customWidth="1"/>
  </cols>
  <sheetData>
    <row r="1" spans="1:7" ht="15.75" thickBot="1" x14ac:dyDescent="0.3">
      <c r="A1" s="60" t="s">
        <v>134</v>
      </c>
      <c r="B1" s="85">
        <f>'Bill 12'!B1</f>
        <v>43494</v>
      </c>
      <c r="C1" s="62" t="s">
        <v>144</v>
      </c>
      <c r="D1" s="68" t="s">
        <v>216</v>
      </c>
      <c r="E1" s="169"/>
    </row>
    <row r="2" spans="1:7" ht="15.75" thickBot="1" x14ac:dyDescent="0.3">
      <c r="A2" s="164" t="s">
        <v>146</v>
      </c>
      <c r="B2" s="165"/>
      <c r="C2" s="165"/>
      <c r="D2" s="165"/>
      <c r="E2" s="170"/>
    </row>
    <row r="3" spans="1:7" x14ac:dyDescent="0.25">
      <c r="A3" s="69" t="s">
        <v>13</v>
      </c>
      <c r="B3" s="69" t="s">
        <v>1</v>
      </c>
      <c r="C3" s="70" t="s">
        <v>135</v>
      </c>
      <c r="D3" s="70" t="s">
        <v>113</v>
      </c>
      <c r="E3" s="70" t="s">
        <v>15</v>
      </c>
    </row>
    <row r="4" spans="1:7" x14ac:dyDescent="0.25">
      <c r="A4" s="95">
        <v>1</v>
      </c>
      <c r="B4" s="63" t="s">
        <v>219</v>
      </c>
      <c r="C4" s="59">
        <v>2</v>
      </c>
      <c r="D4" s="65">
        <v>5000</v>
      </c>
      <c r="E4" s="65">
        <f>D4*C4</f>
        <v>10000</v>
      </c>
    </row>
    <row r="5" spans="1:7" x14ac:dyDescent="0.25">
      <c r="A5" s="95">
        <v>2</v>
      </c>
      <c r="B5" s="63" t="s">
        <v>220</v>
      </c>
      <c r="C5" s="59">
        <v>3</v>
      </c>
      <c r="D5" s="65">
        <v>4500</v>
      </c>
      <c r="E5" s="65">
        <f>D5*C5</f>
        <v>13500</v>
      </c>
    </row>
    <row r="6" spans="1:7" x14ac:dyDescent="0.25">
      <c r="A6" s="95">
        <v>3</v>
      </c>
      <c r="B6" s="59" t="s">
        <v>217</v>
      </c>
      <c r="C6" s="59">
        <v>40</v>
      </c>
      <c r="D6" s="65">
        <v>350</v>
      </c>
      <c r="E6" s="65">
        <f>D6*C6</f>
        <v>14000</v>
      </c>
    </row>
    <row r="7" spans="1:7" x14ac:dyDescent="0.25">
      <c r="A7" s="95">
        <v>4</v>
      </c>
      <c r="B7" s="59" t="s">
        <v>218</v>
      </c>
      <c r="C7" s="59">
        <v>2</v>
      </c>
      <c r="D7" s="65">
        <v>22000</v>
      </c>
      <c r="E7" s="65">
        <f>D7*C7</f>
        <v>44000</v>
      </c>
    </row>
    <row r="8" spans="1:7" x14ac:dyDescent="0.25">
      <c r="A8" s="95"/>
      <c r="B8" s="59"/>
      <c r="C8" s="59"/>
      <c r="D8" s="65"/>
      <c r="E8" s="65"/>
    </row>
    <row r="9" spans="1:7" x14ac:dyDescent="0.25">
      <c r="D9" s="90" t="s">
        <v>15</v>
      </c>
      <c r="E9" s="91">
        <f>SUM(E4:E8)</f>
        <v>81500</v>
      </c>
      <c r="G9" s="87"/>
    </row>
    <row r="11" spans="1:7" ht="31.5" x14ac:dyDescent="0.25">
      <c r="A11" s="92" t="s">
        <v>199</v>
      </c>
      <c r="B11" s="93" t="s">
        <v>200</v>
      </c>
    </row>
    <row r="12" spans="1:7" ht="15.75" x14ac:dyDescent="0.25">
      <c r="A12" s="92" t="s">
        <v>201</v>
      </c>
      <c r="B12" s="94" t="s">
        <v>202</v>
      </c>
    </row>
    <row r="13" spans="1:7" ht="33" customHeight="1" x14ac:dyDescent="0.25">
      <c r="A13" s="92" t="s">
        <v>203</v>
      </c>
      <c r="B13" s="94" t="s">
        <v>204</v>
      </c>
    </row>
  </sheetData>
  <mergeCells count="2">
    <mergeCell ref="E1:E2"/>
    <mergeCell ref="A2:D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F20" sqref="F20"/>
    </sheetView>
  </sheetViews>
  <sheetFormatPr defaultRowHeight="15" x14ac:dyDescent="0.25"/>
  <cols>
    <col min="1" max="1" width="12" customWidth="1"/>
    <col min="2" max="2" width="36.42578125" bestFit="1" customWidth="1"/>
    <col min="4" max="4" width="12.5703125" bestFit="1" customWidth="1"/>
    <col min="5" max="5" width="16.42578125" customWidth="1"/>
  </cols>
  <sheetData>
    <row r="1" spans="1:5" ht="15.75" thickBot="1" x14ac:dyDescent="0.3">
      <c r="A1" s="60" t="s">
        <v>134</v>
      </c>
      <c r="B1" s="85">
        <v>43494</v>
      </c>
      <c r="C1" s="62" t="s">
        <v>144</v>
      </c>
      <c r="D1" s="68" t="s">
        <v>222</v>
      </c>
      <c r="E1" s="169"/>
    </row>
    <row r="2" spans="1:5" ht="15.75" thickBot="1" x14ac:dyDescent="0.3">
      <c r="A2" s="164" t="s">
        <v>133</v>
      </c>
      <c r="B2" s="165"/>
      <c r="C2" s="165"/>
      <c r="D2" s="165"/>
      <c r="E2" s="170"/>
    </row>
    <row r="3" spans="1:5" x14ac:dyDescent="0.25">
      <c r="A3" s="69" t="s">
        <v>13</v>
      </c>
      <c r="B3" s="69" t="s">
        <v>1</v>
      </c>
      <c r="C3" s="70" t="s">
        <v>135</v>
      </c>
      <c r="D3" s="70" t="s">
        <v>113</v>
      </c>
      <c r="E3" s="70" t="s">
        <v>15</v>
      </c>
    </row>
    <row r="4" spans="1:5" x14ac:dyDescent="0.25">
      <c r="A4" s="105">
        <v>1</v>
      </c>
      <c r="B4" s="83" t="s">
        <v>221</v>
      </c>
      <c r="C4" s="95">
        <v>1</v>
      </c>
      <c r="D4" s="65">
        <f>'Main Sheet'!D57</f>
        <v>847632</v>
      </c>
      <c r="E4" s="65">
        <f>D4*C4</f>
        <v>847632</v>
      </c>
    </row>
    <row r="5" spans="1:5" x14ac:dyDescent="0.25">
      <c r="A5" s="105"/>
      <c r="B5" s="59"/>
      <c r="C5" s="105"/>
      <c r="D5" s="65"/>
      <c r="E5" s="65"/>
    </row>
    <row r="6" spans="1:5" x14ac:dyDescent="0.25">
      <c r="A6" s="105"/>
      <c r="B6" s="59"/>
      <c r="C6" s="59"/>
      <c r="D6" s="106" t="s">
        <v>15</v>
      </c>
      <c r="E6" s="66">
        <f>E5+E4</f>
        <v>847632</v>
      </c>
    </row>
    <row r="8" spans="1:5" ht="32.25" thickBot="1" x14ac:dyDescent="0.3">
      <c r="A8" s="92" t="s">
        <v>199</v>
      </c>
      <c r="B8" s="93" t="s">
        <v>200</v>
      </c>
    </row>
    <row r="9" spans="1:5" ht="16.5" thickBot="1" x14ac:dyDescent="0.3">
      <c r="A9" s="92" t="s">
        <v>201</v>
      </c>
      <c r="B9" s="94" t="s">
        <v>202</v>
      </c>
      <c r="D9" s="73" t="s">
        <v>142</v>
      </c>
      <c r="E9" s="108">
        <f>E6</f>
        <v>847632</v>
      </c>
    </row>
    <row r="10" spans="1:5" ht="37.5" customHeight="1" x14ac:dyDescent="0.25">
      <c r="A10" s="92" t="s">
        <v>203</v>
      </c>
      <c r="B10" s="94" t="s">
        <v>204</v>
      </c>
    </row>
  </sheetData>
  <mergeCells count="2">
    <mergeCell ref="E1:E2"/>
    <mergeCell ref="A2:D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vt:i4>
      </vt:variant>
    </vt:vector>
  </HeadingPairs>
  <TitlesOfParts>
    <vt:vector size="20" baseType="lpstr">
      <vt:lpstr>Main Sheet</vt:lpstr>
      <vt:lpstr>Bill 2-3</vt:lpstr>
      <vt:lpstr>Bill 4-5</vt:lpstr>
      <vt:lpstr>bill 6-7</vt:lpstr>
      <vt:lpstr>Bill 8-9</vt:lpstr>
      <vt:lpstr>Bill 10-11</vt:lpstr>
      <vt:lpstr>Bill 12</vt:lpstr>
      <vt:lpstr>Bill 13</vt:lpstr>
      <vt:lpstr>Bill 14</vt:lpstr>
      <vt:lpstr>Bill 15</vt:lpstr>
      <vt:lpstr>Bill 16</vt:lpstr>
      <vt:lpstr>Bill 17</vt:lpstr>
      <vt:lpstr>Bill 18</vt:lpstr>
      <vt:lpstr>Bill 19</vt:lpstr>
      <vt:lpstr>Bill 20</vt:lpstr>
      <vt:lpstr>Bill 21</vt:lpstr>
      <vt:lpstr>Tiling Calculation</vt:lpstr>
      <vt:lpstr>'Bill 19'!Print_Area</vt:lpstr>
      <vt:lpstr>'Bill 2-3'!Print_Area</vt:lpstr>
      <vt:lpstr>'Main Sheet'!Print_Area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User-10</dc:creator>
  <cp:lastModifiedBy>mrizvi</cp:lastModifiedBy>
  <cp:lastPrinted>2019-04-11T18:43:08Z</cp:lastPrinted>
  <dcterms:created xsi:type="dcterms:W3CDTF">2018-03-08T09:48:23Z</dcterms:created>
  <dcterms:modified xsi:type="dcterms:W3CDTF">2019-04-11T18:43:34Z</dcterms:modified>
</cp:coreProperties>
</file>