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nald\Downloads\SANTA ROSA ABRIL\SECUNDARIA\METRADO\"/>
    </mc:Choice>
  </mc:AlternateContent>
  <xr:revisionPtr revIDLastSave="0" documentId="13_ncr:1_{95FB9E4B-B66F-4D74-BCF5-3596713437C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nexo" sheetId="4" r:id="rId1"/>
    <sheet name="Metrado" sheetId="1" r:id="rId2"/>
    <sheet name="RESUMEN MATERIALES" sheetId="5" r:id="rId3"/>
    <sheet name="RESUMEN" sheetId="2" r:id="rId4"/>
  </sheets>
  <externalReferences>
    <externalReference r:id="rId5"/>
  </externalReferences>
  <definedNames>
    <definedName name="_xlnm._FilterDatabase" localSheetId="1" hidden="1">Metrado!$D$14:$D$152</definedName>
    <definedName name="_xlnm._FilterDatabase" localSheetId="3" hidden="1">RESUMEN!$D$17:$D$48</definedName>
    <definedName name="_xlnm.Print_Area" localSheetId="0">Anexo!$B$1:$J$348</definedName>
    <definedName name="_xlnm.Print_Area" localSheetId="1">Metrado!$B$2:$Q$155</definedName>
    <definedName name="_xlnm.Print_Area" localSheetId="3">RESUMEN!$B$2:$G$59</definedName>
    <definedName name="_xlnm.Print_Titles" localSheetId="1">Metrado!$2:$15</definedName>
    <definedName name="_xlnm.Print_Titles" localSheetId="3">RESUMEN!$2:$16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2" l="1"/>
  <c r="E22" i="2"/>
  <c r="F21" i="2"/>
  <c r="E21" i="2"/>
  <c r="L101" i="1" l="1"/>
  <c r="Q101" i="1" s="1"/>
  <c r="N29" i="1"/>
  <c r="N28" i="1"/>
  <c r="Q28" i="1" s="1"/>
  <c r="L27" i="1"/>
  <c r="Q27" i="1" s="1"/>
  <c r="L26" i="1"/>
  <c r="Q26" i="1" s="1"/>
  <c r="N24" i="1"/>
  <c r="N23" i="1"/>
  <c r="Q23" i="1" s="1"/>
  <c r="L22" i="1"/>
  <c r="Q22" i="1" s="1"/>
  <c r="C35" i="5" l="1"/>
  <c r="F147" i="1"/>
  <c r="E147" i="1"/>
  <c r="B318" i="4"/>
  <c r="B343" i="4" s="1"/>
  <c r="B347" i="4"/>
  <c r="C346" i="4"/>
  <c r="C347" i="4" s="1"/>
  <c r="B346" i="4"/>
  <c r="C345" i="4"/>
  <c r="B345" i="4"/>
  <c r="C344" i="4"/>
  <c r="B344" i="4"/>
  <c r="G336" i="4"/>
  <c r="F333" i="4"/>
  <c r="F335" i="4" s="1"/>
  <c r="I328" i="4"/>
  <c r="D322" i="4"/>
  <c r="F322" i="4" s="1"/>
  <c r="G322" i="4" s="1"/>
  <c r="B308" i="4"/>
  <c r="B342" i="4" s="1"/>
  <c r="G98" i="1"/>
  <c r="K98" i="1" s="1"/>
  <c r="O103" i="1"/>
  <c r="O102" i="1"/>
  <c r="L100" i="1"/>
  <c r="K99" i="1"/>
  <c r="P99" i="1" s="1"/>
  <c r="P97" i="1"/>
  <c r="F96" i="1"/>
  <c r="L96" i="1" s="1"/>
  <c r="K95" i="1"/>
  <c r="P95" i="1" s="1"/>
  <c r="P93" i="1"/>
  <c r="K92" i="1"/>
  <c r="P92" i="1" s="1"/>
  <c r="Q91" i="1"/>
  <c r="F205" i="4"/>
  <c r="B188" i="4"/>
  <c r="B191" i="4" s="1"/>
  <c r="P90" i="1"/>
  <c r="L89" i="1"/>
  <c r="P88" i="1" s="1"/>
  <c r="L87" i="1"/>
  <c r="L86" i="1"/>
  <c r="K84" i="1"/>
  <c r="P84" i="1" s="1"/>
  <c r="F188" i="4" s="1"/>
  <c r="H188" i="4" s="1"/>
  <c r="I188" i="4" s="1"/>
  <c r="K83" i="1"/>
  <c r="P83" i="1" s="1"/>
  <c r="Q82" i="1"/>
  <c r="L77" i="1"/>
  <c r="P77" i="1" s="1"/>
  <c r="O65" i="1"/>
  <c r="P65" i="1" s="1"/>
  <c r="O64" i="1"/>
  <c r="P64" i="1" s="1"/>
  <c r="O53" i="1"/>
  <c r="P53" i="1" s="1"/>
  <c r="O52" i="1"/>
  <c r="P52" i="1" s="1"/>
  <c r="G147" i="1" l="1"/>
  <c r="K147" i="1" s="1"/>
  <c r="Q147" i="1" s="1"/>
  <c r="Q90" i="1"/>
  <c r="B322" i="4"/>
  <c r="B333" i="4" s="1"/>
  <c r="B335" i="4" s="1"/>
  <c r="P100" i="1"/>
  <c r="P102" i="1"/>
  <c r="P103" i="1"/>
  <c r="Q98" i="1"/>
  <c r="F318" i="4" s="1"/>
  <c r="H318" i="4" s="1"/>
  <c r="E335" i="4" s="1"/>
  <c r="G335" i="4" s="1"/>
  <c r="H334" i="4" s="1"/>
  <c r="D346" i="4" s="1"/>
  <c r="P149" i="1" s="1"/>
  <c r="D214" i="4"/>
  <c r="Q84" i="1"/>
  <c r="Q83" i="1"/>
  <c r="Q88" i="1"/>
  <c r="B214" i="4"/>
  <c r="Q92" i="1"/>
  <c r="Q93" i="1"/>
  <c r="E202" i="4"/>
  <c r="F187" i="4"/>
  <c r="H187" i="4" s="1"/>
  <c r="P85" i="1"/>
  <c r="Q85" i="1" s="1"/>
  <c r="Q103" i="1" l="1"/>
  <c r="Q149" i="1"/>
  <c r="Q102" i="1"/>
  <c r="I318" i="4"/>
  <c r="D343" i="4"/>
  <c r="E333" i="4"/>
  <c r="G333" i="4" s="1"/>
  <c r="H332" i="4" s="1"/>
  <c r="D345" i="4" s="1"/>
  <c r="P148" i="1" s="1"/>
  <c r="Q148" i="1" s="1"/>
  <c r="Q99" i="1"/>
  <c r="E16" i="5" s="1"/>
  <c r="Q100" i="1"/>
  <c r="E205" i="4"/>
  <c r="G202" i="4"/>
  <c r="H336" i="4" l="1"/>
  <c r="D347" i="4" s="1"/>
  <c r="P150" i="1" s="1"/>
  <c r="Q150" i="1" s="1"/>
  <c r="G205" i="4"/>
  <c r="P155" i="1" l="1"/>
  <c r="P154" i="1"/>
  <c r="L153" i="1"/>
  <c r="J34" i="5"/>
  <c r="L43" i="1"/>
  <c r="P43" i="1" s="1"/>
  <c r="J30" i="5"/>
  <c r="P36" i="1"/>
  <c r="Q36" i="1" s="1"/>
  <c r="E30" i="5" s="1"/>
  <c r="I30" i="5" s="1"/>
  <c r="F277" i="4"/>
  <c r="G277" i="4" s="1"/>
  <c r="B273" i="4"/>
  <c r="B301" i="4" s="1"/>
  <c r="B277" i="4"/>
  <c r="F276" i="4"/>
  <c r="G276" i="4" s="1"/>
  <c r="B110" i="4"/>
  <c r="D79" i="4"/>
  <c r="F79" i="4" s="1"/>
  <c r="G79" i="4" s="1"/>
  <c r="B54" i="4"/>
  <c r="D23" i="4"/>
  <c r="F23" i="4" s="1"/>
  <c r="G23" i="4" s="1"/>
  <c r="J19" i="5"/>
  <c r="J20" i="5"/>
  <c r="D47" i="2"/>
  <c r="E37" i="2"/>
  <c r="D37" i="2"/>
  <c r="F118" i="1"/>
  <c r="E118" i="1"/>
  <c r="E47" i="2" s="1"/>
  <c r="K107" i="1"/>
  <c r="M107" i="1"/>
  <c r="J29" i="5"/>
  <c r="J31" i="5"/>
  <c r="J32" i="5"/>
  <c r="J33" i="5"/>
  <c r="J28" i="5"/>
  <c r="J25" i="5"/>
  <c r="J24" i="5"/>
  <c r="J21" i="5"/>
  <c r="J18" i="5"/>
  <c r="D57" i="2"/>
  <c r="D56" i="2"/>
  <c r="D55" i="2"/>
  <c r="D54" i="2"/>
  <c r="D53" i="2"/>
  <c r="D48" i="2"/>
  <c r="D43" i="2"/>
  <c r="D42" i="2"/>
  <c r="E38" i="2"/>
  <c r="D38" i="2"/>
  <c r="E36" i="2"/>
  <c r="D36" i="2"/>
  <c r="E35" i="2"/>
  <c r="F35" i="2"/>
  <c r="G35" i="2" s="1"/>
  <c r="D35" i="2"/>
  <c r="E34" i="2"/>
  <c r="F34" i="2"/>
  <c r="D34" i="2"/>
  <c r="E33" i="2"/>
  <c r="F33" i="2"/>
  <c r="D33" i="2"/>
  <c r="D32" i="2"/>
  <c r="E28" i="2"/>
  <c r="E27" i="2"/>
  <c r="D28" i="2"/>
  <c r="D27" i="2"/>
  <c r="D26" i="2"/>
  <c r="C26" i="2"/>
  <c r="D22" i="2"/>
  <c r="B272" i="4"/>
  <c r="B231" i="4"/>
  <c r="B255" i="4" s="1"/>
  <c r="B221" i="4"/>
  <c r="B254" i="4" s="1"/>
  <c r="B259" i="4"/>
  <c r="B258" i="4"/>
  <c r="C257" i="4"/>
  <c r="C258" i="4" s="1"/>
  <c r="C259" i="4" s="1"/>
  <c r="B257" i="4"/>
  <c r="C256" i="4"/>
  <c r="B256" i="4"/>
  <c r="G248" i="4"/>
  <c r="I241" i="4"/>
  <c r="F235" i="4"/>
  <c r="G235" i="4" s="1"/>
  <c r="B177" i="4"/>
  <c r="B171" i="4"/>
  <c r="B170" i="4"/>
  <c r="F153" i="4"/>
  <c r="F160" i="4" s="1"/>
  <c r="E153" i="4"/>
  <c r="E160" i="4" s="1"/>
  <c r="F152" i="4"/>
  <c r="E152" i="4"/>
  <c r="F151" i="4"/>
  <c r="E151" i="4"/>
  <c r="B153" i="4"/>
  <c r="B160" i="4"/>
  <c r="B152" i="4"/>
  <c r="B151" i="4"/>
  <c r="B150" i="4"/>
  <c r="F137" i="4"/>
  <c r="G137" i="4" s="1"/>
  <c r="F136" i="4"/>
  <c r="G136" i="4" s="1"/>
  <c r="F135" i="4"/>
  <c r="G135" i="4" s="1"/>
  <c r="F133" i="4"/>
  <c r="D132" i="4"/>
  <c r="F132" i="4" s="1"/>
  <c r="B137" i="4"/>
  <c r="B136" i="4"/>
  <c r="B135" i="4"/>
  <c r="B133" i="4"/>
  <c r="B132" i="4"/>
  <c r="B131" i="4"/>
  <c r="B130" i="4"/>
  <c r="B127" i="4"/>
  <c r="B126" i="4"/>
  <c r="F94" i="4"/>
  <c r="F100" i="4" s="1"/>
  <c r="E94" i="4"/>
  <c r="E100" i="4" s="1"/>
  <c r="F93" i="4"/>
  <c r="F99" i="4" s="1"/>
  <c r="E93" i="4"/>
  <c r="E99" i="4" s="1"/>
  <c r="F92" i="4"/>
  <c r="F98" i="4" s="1"/>
  <c r="E92" i="4"/>
  <c r="E98" i="4" s="1"/>
  <c r="B93" i="4"/>
  <c r="B99" i="4" s="1"/>
  <c r="B94" i="4"/>
  <c r="B92" i="4"/>
  <c r="B90" i="4"/>
  <c r="B96" i="4" s="1"/>
  <c r="B91" i="4"/>
  <c r="B97" i="4" s="1"/>
  <c r="D74" i="4"/>
  <c r="F74" i="4" s="1"/>
  <c r="B76" i="4"/>
  <c r="B77" i="4"/>
  <c r="B75" i="4"/>
  <c r="B74" i="4"/>
  <c r="B79" i="4" s="1"/>
  <c r="B70" i="4"/>
  <c r="B108" i="4" s="1"/>
  <c r="B60" i="4"/>
  <c r="B107" i="4" s="1"/>
  <c r="B113" i="4"/>
  <c r="B112" i="4"/>
  <c r="C111" i="4"/>
  <c r="C112" i="4" s="1"/>
  <c r="C113" i="4" s="1"/>
  <c r="B111" i="4"/>
  <c r="B109" i="4"/>
  <c r="G101" i="4"/>
  <c r="D100" i="4"/>
  <c r="C100" i="4"/>
  <c r="D99" i="4"/>
  <c r="C99" i="4"/>
  <c r="D98" i="4"/>
  <c r="C98" i="4"/>
  <c r="F97" i="4"/>
  <c r="E97" i="4"/>
  <c r="D97" i="4"/>
  <c r="C97" i="4"/>
  <c r="D96" i="4"/>
  <c r="C96" i="4"/>
  <c r="G91" i="4"/>
  <c r="F77" i="4"/>
  <c r="G77" i="4" s="1"/>
  <c r="F76" i="4"/>
  <c r="G76" i="4" s="1"/>
  <c r="F75" i="4"/>
  <c r="G75" i="4" s="1"/>
  <c r="F38" i="4"/>
  <c r="E38" i="4"/>
  <c r="F37" i="4"/>
  <c r="E37" i="4"/>
  <c r="F36" i="4"/>
  <c r="E36" i="4"/>
  <c r="B4" i="4"/>
  <c r="F139" i="1"/>
  <c r="Q139" i="1" s="1"/>
  <c r="E139" i="1"/>
  <c r="E56" i="2" s="1"/>
  <c r="F127" i="1"/>
  <c r="Q127" i="1" s="1"/>
  <c r="E127" i="1"/>
  <c r="E53" i="2" s="1"/>
  <c r="E119" i="1"/>
  <c r="E48" i="2" s="1"/>
  <c r="F116" i="1"/>
  <c r="F45" i="2" s="1"/>
  <c r="E116" i="1"/>
  <c r="E45" i="2" s="1"/>
  <c r="F113" i="1"/>
  <c r="Q113" i="1" s="1"/>
  <c r="E113" i="1"/>
  <c r="B289" i="4" l="1"/>
  <c r="B292" i="4" s="1"/>
  <c r="F273" i="4"/>
  <c r="H273" i="4" s="1"/>
  <c r="F289" i="4"/>
  <c r="F292" i="4" s="1"/>
  <c r="I16" i="5"/>
  <c r="F37" i="2"/>
  <c r="G37" i="2" s="1"/>
  <c r="F56" i="2"/>
  <c r="B235" i="4"/>
  <c r="B245" i="4" s="1"/>
  <c r="B247" i="4" s="1"/>
  <c r="F53" i="2"/>
  <c r="F245" i="4"/>
  <c r="F247" i="4" s="1"/>
  <c r="G160" i="4"/>
  <c r="G153" i="4"/>
  <c r="G97" i="4"/>
  <c r="G99" i="4"/>
  <c r="B100" i="4"/>
  <c r="B98" i="4"/>
  <c r="G100" i="4"/>
  <c r="G98" i="4"/>
  <c r="G74" i="4"/>
  <c r="F90" i="4"/>
  <c r="F96" i="4" s="1"/>
  <c r="G93" i="4"/>
  <c r="G94" i="4"/>
  <c r="G92" i="4"/>
  <c r="Q118" i="1" l="1"/>
  <c r="F47" i="2" s="1"/>
  <c r="G47" i="2" s="1"/>
  <c r="I273" i="4"/>
  <c r="E289" i="4"/>
  <c r="E292" i="4" s="1"/>
  <c r="D301" i="4"/>
  <c r="L152" i="1"/>
  <c r="Q35" i="1"/>
  <c r="Q34" i="1"/>
  <c r="P31" i="1"/>
  <c r="O79" i="1"/>
  <c r="P79" i="1" s="1"/>
  <c r="L76" i="1"/>
  <c r="L63" i="1"/>
  <c r="P63" i="1" s="1"/>
  <c r="L62" i="1"/>
  <c r="L61" i="1"/>
  <c r="L60" i="1"/>
  <c r="L59" i="1"/>
  <c r="K57" i="1"/>
  <c r="P57" i="1" s="1"/>
  <c r="Q56" i="1"/>
  <c r="P42" i="1"/>
  <c r="D52" i="2"/>
  <c r="D51" i="2"/>
  <c r="C51" i="2"/>
  <c r="G143" i="1"/>
  <c r="F143" i="1"/>
  <c r="E143" i="1"/>
  <c r="E57" i="2" s="1"/>
  <c r="F135" i="1"/>
  <c r="E135" i="1"/>
  <c r="E55" i="2" s="1"/>
  <c r="F131" i="1"/>
  <c r="E131" i="1"/>
  <c r="E54" i="2" s="1"/>
  <c r="F123" i="1"/>
  <c r="Q123" i="1" s="1"/>
  <c r="F52" i="2" s="1"/>
  <c r="G52" i="2" s="1"/>
  <c r="E123" i="1"/>
  <c r="E52" i="2" s="1"/>
  <c r="F119" i="1"/>
  <c r="H106" i="1"/>
  <c r="L106" i="1" s="1"/>
  <c r="P106" i="1" s="1"/>
  <c r="M105" i="1"/>
  <c r="G289" i="4" l="1"/>
  <c r="G292" i="4" s="1"/>
  <c r="F32" i="2"/>
  <c r="Q65" i="1"/>
  <c r="Q64" i="1"/>
  <c r="Q152" i="1"/>
  <c r="P153" i="1"/>
  <c r="Q63" i="1"/>
  <c r="Q105" i="1"/>
  <c r="Q106" i="1" s="1"/>
  <c r="E9" i="5" s="1"/>
  <c r="I9" i="5" s="1"/>
  <c r="P107" i="1"/>
  <c r="G27" i="2"/>
  <c r="F27" i="2"/>
  <c r="E28" i="5"/>
  <c r="I28" i="5" s="1"/>
  <c r="E29" i="5"/>
  <c r="I29" i="5" s="1"/>
  <c r="G28" i="2"/>
  <c r="F28" i="2"/>
  <c r="F70" i="4"/>
  <c r="H70" i="4" s="1"/>
  <c r="E90" i="4" s="1"/>
  <c r="Q57" i="1"/>
  <c r="Q131" i="1"/>
  <c r="F54" i="2"/>
  <c r="G54" i="2" s="1"/>
  <c r="Q135" i="1"/>
  <c r="F55" i="2"/>
  <c r="G55" i="2" s="1"/>
  <c r="F231" i="4"/>
  <c r="H231" i="4" s="1"/>
  <c r="E245" i="4" s="1"/>
  <c r="G245" i="4" s="1"/>
  <c r="H244" i="4" s="1"/>
  <c r="K143" i="1"/>
  <c r="Q143" i="1" s="1"/>
  <c r="F57" i="2" s="1"/>
  <c r="G57" i="2" s="1"/>
  <c r="P58" i="1"/>
  <c r="Q58" i="1" s="1"/>
  <c r="G53" i="2"/>
  <c r="G56" i="2"/>
  <c r="P108" i="1"/>
  <c r="P109" i="1"/>
  <c r="Q153" i="1" l="1"/>
  <c r="Q107" i="1"/>
  <c r="E10" i="5" s="1"/>
  <c r="I10" i="5" s="1"/>
  <c r="Q108" i="1"/>
  <c r="E24" i="5" s="1"/>
  <c r="I24" i="5" s="1"/>
  <c r="F38" i="2"/>
  <c r="Q119" i="1"/>
  <c r="F48" i="2" s="1"/>
  <c r="Q109" i="1"/>
  <c r="E25" i="5" s="1"/>
  <c r="I25" i="5" s="1"/>
  <c r="D108" i="4"/>
  <c r="I70" i="4"/>
  <c r="D255" i="4"/>
  <c r="E247" i="4"/>
  <c r="G247" i="4" s="1"/>
  <c r="H246" i="4" s="1"/>
  <c r="D258" i="4" s="1"/>
  <c r="P141" i="1" s="1"/>
  <c r="Q141" i="1" s="1"/>
  <c r="I231" i="4"/>
  <c r="D257" i="4"/>
  <c r="P140" i="1" s="1"/>
  <c r="Q140" i="1" s="1"/>
  <c r="G90" i="4"/>
  <c r="H89" i="4" s="1"/>
  <c r="E96" i="4"/>
  <c r="G96" i="4" s="1"/>
  <c r="H95" i="4" s="1"/>
  <c r="D112" i="4" s="1"/>
  <c r="P129" i="1" s="1"/>
  <c r="Q129" i="1" s="1"/>
  <c r="C25" i="2"/>
  <c r="C24" i="2"/>
  <c r="G21" i="2"/>
  <c r="G22" i="2"/>
  <c r="D21" i="2"/>
  <c r="D20" i="2"/>
  <c r="C20" i="2"/>
  <c r="E25" i="2"/>
  <c r="E24" i="2"/>
  <c r="D25" i="2"/>
  <c r="D24" i="2"/>
  <c r="D23" i="2"/>
  <c r="C23" i="2"/>
  <c r="D59" i="2"/>
  <c r="D46" i="2"/>
  <c r="D45" i="2"/>
  <c r="D44" i="2"/>
  <c r="D40" i="2"/>
  <c r="E32" i="2"/>
  <c r="P32" i="1"/>
  <c r="Q32" i="1" s="1"/>
  <c r="Q31" i="1"/>
  <c r="E26" i="5" s="1"/>
  <c r="I26" i="5" s="1"/>
  <c r="I283" i="4"/>
  <c r="I197" i="4"/>
  <c r="B187" i="4"/>
  <c r="B202" i="4" s="1"/>
  <c r="B205" i="4" s="1"/>
  <c r="B149" i="4"/>
  <c r="P29" i="4"/>
  <c r="Q29" i="4" s="1"/>
  <c r="P28" i="4"/>
  <c r="Q28" i="4" s="1"/>
  <c r="Q27" i="4"/>
  <c r="P25" i="4"/>
  <c r="Q25" i="4" s="1"/>
  <c r="P24" i="4"/>
  <c r="Q24" i="4" s="1"/>
  <c r="Q21" i="4"/>
  <c r="E35" i="5" l="1"/>
  <c r="Q154" i="1"/>
  <c r="E36" i="5" s="1"/>
  <c r="I36" i="5" s="1"/>
  <c r="Q155" i="1"/>
  <c r="E37" i="5" s="1"/>
  <c r="I37" i="5" s="1"/>
  <c r="H248" i="4"/>
  <c r="D259" i="4" s="1"/>
  <c r="P142" i="1" s="1"/>
  <c r="Q142" i="1" s="1"/>
  <c r="G25" i="2"/>
  <c r="E27" i="5"/>
  <c r="I27" i="5" s="1"/>
  <c r="H101" i="4"/>
  <c r="D113" i="4" s="1"/>
  <c r="P130" i="1" s="1"/>
  <c r="Q130" i="1" s="1"/>
  <c r="D111" i="4"/>
  <c r="P128" i="1" s="1"/>
  <c r="Q128" i="1" s="1"/>
  <c r="F25" i="2"/>
  <c r="F24" i="2"/>
  <c r="G24" i="2"/>
  <c r="F131" i="4"/>
  <c r="F149" i="4" s="1"/>
  <c r="B21" i="4"/>
  <c r="B38" i="4" s="1"/>
  <c r="B20" i="4"/>
  <c r="B19" i="4"/>
  <c r="F115" i="1"/>
  <c r="F44" i="2" s="1"/>
  <c r="E115" i="1"/>
  <c r="E44" i="2" s="1"/>
  <c r="L73" i="1"/>
  <c r="L72" i="1"/>
  <c r="L49" i="1"/>
  <c r="L48" i="1"/>
  <c r="G39" i="1"/>
  <c r="E31" i="2"/>
  <c r="E30" i="2"/>
  <c r="E19" i="2"/>
  <c r="E59" i="2"/>
  <c r="E50" i="2"/>
  <c r="G38" i="4" l="1"/>
  <c r="F21" i="4"/>
  <c r="G21" i="4" s="1"/>
  <c r="P71" i="1"/>
  <c r="Q116" i="1"/>
  <c r="D12" i="2" l="1"/>
  <c r="D17" i="2"/>
  <c r="C17" i="2"/>
  <c r="C49" i="2" l="1"/>
  <c r="C58" i="2"/>
  <c r="C39" i="2"/>
  <c r="C29" i="2"/>
  <c r="C18" i="2"/>
  <c r="G151" i="4"/>
  <c r="G152" i="4"/>
  <c r="C156" i="4"/>
  <c r="D156" i="4"/>
  <c r="C157" i="4"/>
  <c r="D157" i="4"/>
  <c r="E157" i="4"/>
  <c r="C158" i="4"/>
  <c r="D158" i="4"/>
  <c r="E158" i="4"/>
  <c r="F158" i="4"/>
  <c r="C159" i="4"/>
  <c r="D159" i="4"/>
  <c r="E159" i="4"/>
  <c r="F159" i="4"/>
  <c r="D155" i="4"/>
  <c r="C155" i="4"/>
  <c r="B159" i="4"/>
  <c r="B158" i="4"/>
  <c r="B157" i="4"/>
  <c r="B156" i="4"/>
  <c r="B148" i="4"/>
  <c r="B155" i="4" s="1"/>
  <c r="C41" i="4"/>
  <c r="D41" i="4"/>
  <c r="E41" i="4"/>
  <c r="F41" i="4"/>
  <c r="C42" i="4"/>
  <c r="D42" i="4"/>
  <c r="C43" i="4"/>
  <c r="D43" i="4"/>
  <c r="C44" i="4"/>
  <c r="D44" i="4"/>
  <c r="D40" i="4"/>
  <c r="C40" i="4"/>
  <c r="F43" i="4"/>
  <c r="E44" i="4"/>
  <c r="F44" i="4"/>
  <c r="F42" i="4"/>
  <c r="E42" i="4"/>
  <c r="B35" i="4"/>
  <c r="B41" i="4" s="1"/>
  <c r="F20" i="4"/>
  <c r="G20" i="4" s="1"/>
  <c r="F19" i="4"/>
  <c r="G19" i="4" s="1"/>
  <c r="D18" i="4"/>
  <c r="F18" i="4" s="1"/>
  <c r="F34" i="4" s="1"/>
  <c r="F40" i="4" s="1"/>
  <c r="B44" i="4"/>
  <c r="B36" i="4"/>
  <c r="B42" i="4" s="1"/>
  <c r="B37" i="4"/>
  <c r="B43" i="4" s="1"/>
  <c r="E114" i="1"/>
  <c r="E112" i="1"/>
  <c r="E111" i="1"/>
  <c r="E42" i="2" l="1"/>
  <c r="E43" i="2"/>
  <c r="E43" i="4"/>
  <c r="G37" i="4"/>
  <c r="B169" i="4"/>
  <c r="F157" i="4" l="1"/>
  <c r="G150" i="4"/>
  <c r="L75" i="1"/>
  <c r="P74" i="1" s="1"/>
  <c r="K70" i="1"/>
  <c r="P70" i="1" s="1"/>
  <c r="F127" i="4" l="1"/>
  <c r="H127" i="4" s="1"/>
  <c r="I127" i="4" l="1"/>
  <c r="D169" i="4"/>
  <c r="E149" i="4"/>
  <c r="E156" i="4" s="1"/>
  <c r="L51" i="1"/>
  <c r="P51" i="1" s="1"/>
  <c r="L50" i="1"/>
  <c r="L47" i="1"/>
  <c r="P46" i="1" l="1"/>
  <c r="H39" i="1"/>
  <c r="L39" i="1" l="1"/>
  <c r="F112" i="1" l="1"/>
  <c r="K94" i="1"/>
  <c r="P96" i="1" s="1"/>
  <c r="F59" i="2" l="1"/>
  <c r="I35" i="5"/>
  <c r="Q94" i="1"/>
  <c r="Q117" i="1" l="1"/>
  <c r="Q97" i="1"/>
  <c r="Q95" i="1"/>
  <c r="Q96" i="1"/>
  <c r="E8" i="5" s="1"/>
  <c r="F272" i="4"/>
  <c r="H272" i="4" s="1"/>
  <c r="F36" i="2"/>
  <c r="F291" i="4"/>
  <c r="G159" i="4"/>
  <c r="G158" i="4"/>
  <c r="G157" i="4"/>
  <c r="G132" i="4"/>
  <c r="G131" i="4"/>
  <c r="F130" i="4"/>
  <c r="O78" i="1"/>
  <c r="P78" i="1" s="1"/>
  <c r="E15" i="5" l="1"/>
  <c r="I15" i="5" s="1"/>
  <c r="G130" i="4"/>
  <c r="F148" i="4"/>
  <c r="F155" i="4" s="1"/>
  <c r="G44" i="4"/>
  <c r="G43" i="4"/>
  <c r="G42" i="4"/>
  <c r="G41" i="4"/>
  <c r="B18" i="4"/>
  <c r="B23" i="4" s="1"/>
  <c r="B14" i="4"/>
  <c r="K45" i="1"/>
  <c r="P45" i="1" s="1"/>
  <c r="D49" i="2" l="1"/>
  <c r="G38" i="2"/>
  <c r="B300" i="4"/>
  <c r="B262" i="4"/>
  <c r="B299" i="4" s="1"/>
  <c r="B305" i="4"/>
  <c r="B304" i="4"/>
  <c r="C303" i="4"/>
  <c r="C304" i="4" s="1"/>
  <c r="C305" i="4" s="1"/>
  <c r="B303" i="4"/>
  <c r="C302" i="4"/>
  <c r="B302" i="4"/>
  <c r="G293" i="4"/>
  <c r="B116" i="4"/>
  <c r="B53" i="4"/>
  <c r="G18" i="4"/>
  <c r="F117" i="1"/>
  <c r="F46" i="2" s="1"/>
  <c r="E117" i="1"/>
  <c r="E46" i="2" s="1"/>
  <c r="F114" i="1"/>
  <c r="F111" i="1"/>
  <c r="Q114" i="1" l="1"/>
  <c r="F42" i="2" s="1"/>
  <c r="F43" i="2"/>
  <c r="E291" i="4"/>
  <c r="G291" i="4" s="1"/>
  <c r="H290" i="4" s="1"/>
  <c r="G36" i="2"/>
  <c r="B276" i="4"/>
  <c r="B288" i="4" s="1"/>
  <c r="B291" i="4" s="1"/>
  <c r="F14" i="4"/>
  <c r="E288" i="4" l="1"/>
  <c r="G288" i="4" s="1"/>
  <c r="H287" i="4" s="1"/>
  <c r="D300" i="4"/>
  <c r="I272" i="4"/>
  <c r="K40" i="1"/>
  <c r="P40" i="1" s="1"/>
  <c r="P41" i="1"/>
  <c r="B168" i="4" l="1"/>
  <c r="B167" i="4"/>
  <c r="B174" i="4"/>
  <c r="B173" i="4"/>
  <c r="C172" i="4"/>
  <c r="C173" i="4" s="1"/>
  <c r="C174" i="4" s="1"/>
  <c r="B172" i="4"/>
  <c r="G161" i="4"/>
  <c r="Q115" i="1"/>
  <c r="G42" i="2"/>
  <c r="G45" i="2" l="1"/>
  <c r="G133" i="4"/>
  <c r="P39" i="1"/>
  <c r="F156" i="4" l="1"/>
  <c r="G156" i="4" s="1"/>
  <c r="G149" i="4"/>
  <c r="D31" i="2" l="1"/>
  <c r="D30" i="2"/>
  <c r="C19" i="2"/>
  <c r="D19" i="2"/>
  <c r="D18" i="2"/>
  <c r="G44" i="2" l="1"/>
  <c r="Q19" i="1"/>
  <c r="F19" i="2" s="1"/>
  <c r="L19" i="1"/>
  <c r="G19" i="2" l="1"/>
  <c r="D50" i="2"/>
  <c r="D41" i="2"/>
  <c r="D39" i="2"/>
  <c r="G34" i="2" l="1"/>
  <c r="B34" i="4" l="1"/>
  <c r="B40" i="4" s="1"/>
  <c r="Q68" i="1" l="1"/>
  <c r="Q77" i="1" s="1"/>
  <c r="G32" i="2" l="1"/>
  <c r="Q79" i="1"/>
  <c r="Q71" i="1"/>
  <c r="Q74" i="1"/>
  <c r="Q70" i="1"/>
  <c r="Q78" i="1"/>
  <c r="G43" i="2"/>
  <c r="D6" i="2"/>
  <c r="E6" i="5" l="1"/>
  <c r="I6" i="5" s="1"/>
  <c r="E14" i="5"/>
  <c r="I14" i="5" s="1"/>
  <c r="F191" i="4"/>
  <c r="B201" i="4"/>
  <c r="B204" i="4" s="1"/>
  <c r="G191" i="4" l="1"/>
  <c r="F201" i="4"/>
  <c r="F204" i="4" s="1"/>
  <c r="G36" i="4"/>
  <c r="K69" i="1" l="1"/>
  <c r="P69" i="1" s="1"/>
  <c r="Q69" i="1" l="1"/>
  <c r="E13" i="5" s="1"/>
  <c r="I13" i="5" s="1"/>
  <c r="F126" i="4"/>
  <c r="H126" i="4" s="1"/>
  <c r="B212" i="4"/>
  <c r="B218" i="4"/>
  <c r="B217" i="4"/>
  <c r="C216" i="4"/>
  <c r="C217" i="4" s="1"/>
  <c r="C218" i="4" s="1"/>
  <c r="B216" i="4"/>
  <c r="C215" i="4"/>
  <c r="B215" i="4"/>
  <c r="G206" i="4"/>
  <c r="Q121" i="1"/>
  <c r="F50" i="2" s="1"/>
  <c r="G50" i="2" s="1"/>
  <c r="G48" i="2"/>
  <c r="Q111" i="1"/>
  <c r="F40" i="2" s="1"/>
  <c r="G40" i="2" s="1"/>
  <c r="G46" i="2"/>
  <c r="Q112" i="1"/>
  <c r="F41" i="2" s="1"/>
  <c r="G41" i="2" s="1"/>
  <c r="D168" i="4" l="1"/>
  <c r="I126" i="4"/>
  <c r="E148" i="4"/>
  <c r="E155" i="4" s="1"/>
  <c r="G155" i="4" s="1"/>
  <c r="H154" i="4" s="1"/>
  <c r="G59" i="2"/>
  <c r="B213" i="4"/>
  <c r="G148" i="4" l="1"/>
  <c r="H147" i="4" s="1"/>
  <c r="D172" i="4" s="1"/>
  <c r="P132" i="1" s="1"/>
  <c r="Q132" i="1" s="1"/>
  <c r="G33" i="2"/>
  <c r="E201" i="4" l="1"/>
  <c r="G201" i="4" s="1"/>
  <c r="H200" i="4" s="1"/>
  <c r="E204" i="4"/>
  <c r="G204" i="4" s="1"/>
  <c r="H203" i="4" s="1"/>
  <c r="D213" i="4"/>
  <c r="I187" i="4"/>
  <c r="G9" i="2" l="1"/>
  <c r="L14" i="4" l="1"/>
  <c r="L11" i="4"/>
  <c r="M15" i="4" l="1"/>
  <c r="L3" i="4" s="1"/>
  <c r="E311" i="4" s="1"/>
  <c r="H321" i="4" s="1"/>
  <c r="D344" i="4" s="1"/>
  <c r="P104" i="1" s="1"/>
  <c r="Q104" i="1" s="1"/>
  <c r="G45" i="4"/>
  <c r="B57" i="4"/>
  <c r="B56" i="4"/>
  <c r="C55" i="4"/>
  <c r="C56" i="4" s="1"/>
  <c r="C57" i="4" s="1"/>
  <c r="B55" i="4"/>
  <c r="B52" i="4"/>
  <c r="B51" i="4"/>
  <c r="E63" i="4" l="1"/>
  <c r="E224" i="4"/>
  <c r="H234" i="4" s="1"/>
  <c r="D256" i="4" s="1"/>
  <c r="E265" i="4"/>
  <c r="H275" i="4" s="1"/>
  <c r="E119" i="4"/>
  <c r="E180" i="4"/>
  <c r="H190" i="4" s="1"/>
  <c r="E7" i="4"/>
  <c r="H78" i="4" s="1"/>
  <c r="D110" i="4" s="1"/>
  <c r="P67" i="1" s="1"/>
  <c r="H73" i="4" l="1"/>
  <c r="D109" i="4" s="1"/>
  <c r="P66" i="1" s="1"/>
  <c r="Q66" i="1" s="1"/>
  <c r="H22" i="4"/>
  <c r="D54" i="4" s="1"/>
  <c r="P55" i="1" s="1"/>
  <c r="H134" i="4"/>
  <c r="D171" i="4" s="1"/>
  <c r="P81" i="1" s="1"/>
  <c r="Q81" i="1" s="1"/>
  <c r="H129" i="4"/>
  <c r="D170" i="4" s="1"/>
  <c r="P80" i="1" s="1"/>
  <c r="Q80" i="1" s="1"/>
  <c r="H17" i="4"/>
  <c r="D53" i="4" s="1"/>
  <c r="P54" i="1" s="1"/>
  <c r="H293" i="4"/>
  <c r="D305" i="4" s="1"/>
  <c r="P146" i="1" s="1"/>
  <c r="Q146" i="1" s="1"/>
  <c r="H161" i="4"/>
  <c r="D303" i="4"/>
  <c r="P144" i="1" s="1"/>
  <c r="Q144" i="1" s="1"/>
  <c r="D173" i="4"/>
  <c r="P133" i="1" s="1"/>
  <c r="Q133" i="1" s="1"/>
  <c r="D215" i="4"/>
  <c r="D304" i="4" l="1"/>
  <c r="P145" i="1" s="1"/>
  <c r="Q145" i="1" s="1"/>
  <c r="D302" i="4"/>
  <c r="D174" i="4"/>
  <c r="P134" i="1" s="1"/>
  <c r="Q134" i="1" s="1"/>
  <c r="D217" i="4"/>
  <c r="P137" i="1" s="1"/>
  <c r="Q137" i="1" s="1"/>
  <c r="D216" i="4"/>
  <c r="P136" i="1" s="1"/>
  <c r="Q136" i="1" s="1"/>
  <c r="H206" i="4" l="1"/>
  <c r="D218" i="4" s="1"/>
  <c r="P138" i="1" l="1"/>
  <c r="Q138" i="1" s="1"/>
  <c r="Q38" i="1"/>
  <c r="Q43" i="1" s="1"/>
  <c r="E34" i="5" s="1"/>
  <c r="I34" i="5" s="1"/>
  <c r="Q42" i="1" l="1"/>
  <c r="Q40" i="1"/>
  <c r="E17" i="5" s="1"/>
  <c r="I17" i="5" s="1"/>
  <c r="Q41" i="1"/>
  <c r="Q39" i="1"/>
  <c r="E5" i="5" s="1"/>
  <c r="F30" i="2"/>
  <c r="G30" i="2" s="1"/>
  <c r="G11" i="2"/>
  <c r="D11" i="2"/>
  <c r="G10" i="2"/>
  <c r="D10" i="2"/>
  <c r="D8" i="2"/>
  <c r="C3" i="2"/>
  <c r="Q44" i="1"/>
  <c r="X1" i="1"/>
  <c r="E18" i="5" l="1"/>
  <c r="I18" i="5" s="1"/>
  <c r="E19" i="5"/>
  <c r="I19" i="5" s="1"/>
  <c r="Q67" i="1"/>
  <c r="Q52" i="1"/>
  <c r="E21" i="5" s="1"/>
  <c r="I21" i="5" s="1"/>
  <c r="Q53" i="1"/>
  <c r="E20" i="5" s="1"/>
  <c r="I20" i="5" s="1"/>
  <c r="F31" i="2"/>
  <c r="G31" i="2" s="1"/>
  <c r="Q51" i="1"/>
  <c r="E11" i="5" s="1"/>
  <c r="I11" i="5" s="1"/>
  <c r="Q46" i="1"/>
  <c r="E7" i="5" s="1"/>
  <c r="I7" i="5" s="1"/>
  <c r="Q45" i="1"/>
  <c r="E12" i="5" s="1"/>
  <c r="Q54" i="1"/>
  <c r="E23" i="5" s="1"/>
  <c r="I23" i="5" s="1"/>
  <c r="H14" i="4"/>
  <c r="E34" i="4" s="1"/>
  <c r="E40" i="4" s="1"/>
  <c r="G40" i="4" s="1"/>
  <c r="H39" i="4" s="1"/>
  <c r="G34" i="4" l="1"/>
  <c r="I14" i="4"/>
  <c r="D52" i="4"/>
  <c r="G35" i="4"/>
  <c r="H33" i="4" l="1"/>
  <c r="H45" i="4" s="1"/>
  <c r="D56" i="4"/>
  <c r="P125" i="1" s="1"/>
  <c r="Q125" i="1" s="1"/>
  <c r="E32" i="5" l="1"/>
  <c r="I32" i="5" s="1"/>
  <c r="D55" i="4"/>
  <c r="D57" i="4"/>
  <c r="P126" i="1" s="1"/>
  <c r="Q126" i="1" s="1"/>
  <c r="E33" i="5" l="1"/>
  <c r="I33" i="5" s="1"/>
  <c r="P124" i="1"/>
  <c r="Q124" i="1" s="1"/>
  <c r="Q55" i="1"/>
  <c r="E22" i="5" s="1"/>
  <c r="I22" i="5" s="1"/>
  <c r="E31" i="5" l="1"/>
  <c r="I31" i="5" s="1"/>
</calcChain>
</file>

<file path=xl/sharedStrings.xml><?xml version="1.0" encoding="utf-8"?>
<sst xmlns="http://schemas.openxmlformats.org/spreadsheetml/2006/main" count="975" uniqueCount="300">
  <si>
    <t>Propietario   :</t>
  </si>
  <si>
    <t>GOBIERNO REGIONAL DE APURIMAC</t>
  </si>
  <si>
    <t>Hecho por      :</t>
  </si>
  <si>
    <t>Revisado  por :</t>
  </si>
  <si>
    <t>Especialidad:</t>
  </si>
  <si>
    <t>ITEM</t>
  </si>
  <si>
    <t>DESCRIPCIÓN</t>
  </si>
  <si>
    <t>Und</t>
  </si>
  <si>
    <t>Elem. Simil.</t>
  </si>
  <si>
    <t>DIMENSIONES</t>
  </si>
  <si>
    <t>Nº de Veces</t>
  </si>
  <si>
    <t>METRADO</t>
  </si>
  <si>
    <t>Total</t>
  </si>
  <si>
    <t>Largo</t>
  </si>
  <si>
    <t>Ancho</t>
  </si>
  <si>
    <t>Lon.</t>
  </si>
  <si>
    <t>Kg.</t>
  </si>
  <si>
    <t>Und.</t>
  </si>
  <si>
    <t>m2</t>
  </si>
  <si>
    <t>kg</t>
  </si>
  <si>
    <t>kg/m</t>
  </si>
  <si>
    <t>m</t>
  </si>
  <si>
    <t>und</t>
  </si>
  <si>
    <t>Proyecto       :</t>
  </si>
  <si>
    <t>Propietario     :</t>
  </si>
  <si>
    <t>Fecha           :</t>
  </si>
  <si>
    <t>Hecho por     :</t>
  </si>
  <si>
    <t>Especialidad  :</t>
  </si>
  <si>
    <t>Modulo         :</t>
  </si>
  <si>
    <t>Revidado por :</t>
  </si>
  <si>
    <t>DESCRIPCION</t>
  </si>
  <si>
    <t>Parcial</t>
  </si>
  <si>
    <t>W</t>
  </si>
  <si>
    <t>FABRICACION DE ESTRUCTURAS METALICAS</t>
  </si>
  <si>
    <t>Área/Pintura</t>
  </si>
  <si>
    <t>Sub Total</t>
  </si>
  <si>
    <t>METRADOS DE ESTRUCTURA METALICA</t>
  </si>
  <si>
    <t>gln</t>
  </si>
  <si>
    <t>Esmalte sintético</t>
  </si>
  <si>
    <t>Base anticorrosiva</t>
  </si>
  <si>
    <t>Diluyente estándar (thinner)</t>
  </si>
  <si>
    <t>FACTOR DE DESPERDICIO DE METAL</t>
  </si>
  <si>
    <t>ANALISIS UNITARIO PARA</t>
  </si>
  <si>
    <t>FACTOR CONSUMIBLE ( R )</t>
  </si>
  <si>
    <t>Fact. Desp.</t>
  </si>
  <si>
    <t>1/8"</t>
  </si>
  <si>
    <t>3/16"</t>
  </si>
  <si>
    <t>1/4"</t>
  </si>
  <si>
    <t>3/8"</t>
  </si>
  <si>
    <t>Descripción</t>
  </si>
  <si>
    <t>Long. (m)</t>
  </si>
  <si>
    <t>Cant.</t>
  </si>
  <si>
    <t>L (mm)</t>
  </si>
  <si>
    <t>L (m)</t>
  </si>
  <si>
    <t>Parcial (m)</t>
  </si>
  <si>
    <t>Rep.</t>
  </si>
  <si>
    <t>Ancho (m)</t>
  </si>
  <si>
    <t>Perimetro (m)</t>
  </si>
  <si>
    <t xml:space="preserve">PINTURA </t>
  </si>
  <si>
    <t>Tipo</t>
  </si>
  <si>
    <t>Capas</t>
  </si>
  <si>
    <t>m2/gl</t>
  </si>
  <si>
    <t>gl/m2</t>
  </si>
  <si>
    <t>Relación de dilución (%)</t>
  </si>
  <si>
    <t>Esmalte Sintético</t>
  </si>
  <si>
    <t>Base Anticorrosiva</t>
  </si>
  <si>
    <t>Pistola</t>
  </si>
  <si>
    <t>N° caras</t>
  </si>
  <si>
    <t>Área (m2)</t>
  </si>
  <si>
    <t>ESMALTE SINTÉTICO</t>
  </si>
  <si>
    <t>BASE ANTICORROSIVA</t>
  </si>
  <si>
    <t>DILUYENTE ESTÁNDAR (THINNER)</t>
  </si>
  <si>
    <t>Metodo de pintado con:</t>
  </si>
  <si>
    <t>RESUMEN</t>
  </si>
  <si>
    <t>Rend. por</t>
  </si>
  <si>
    <t>TUBOS LAC A500</t>
  </si>
  <si>
    <t>FACTOR PARA MONTAJE DE ELECTRODO</t>
  </si>
  <si>
    <t>CM</t>
  </si>
  <si>
    <t>ELECTRODO</t>
  </si>
  <si>
    <t>VARILLAS</t>
  </si>
  <si>
    <t>VARILLA</t>
  </si>
  <si>
    <t>KG DE ELECTRODOS</t>
  </si>
  <si>
    <t>KG</t>
  </si>
  <si>
    <t>RENDIMIENTO</t>
  </si>
  <si>
    <t>KG/M</t>
  </si>
  <si>
    <t>PRUEBAS DE LABORATORIO</t>
  </si>
  <si>
    <t>ENSAYOS NO DESTRUCTIVOS</t>
  </si>
  <si>
    <t>Fecha         :</t>
  </si>
  <si>
    <t>Modulo       :</t>
  </si>
  <si>
    <t>FACTOR DE DESPERDICIO DE COBERTURA POLICARBONATO</t>
  </si>
  <si>
    <t>ACEROS Y ELECTRODOS</t>
  </si>
  <si>
    <t>GENERAL</t>
  </si>
  <si>
    <t>RAC</t>
  </si>
  <si>
    <t>und.</t>
  </si>
  <si>
    <t>Diametro/Alto</t>
  </si>
  <si>
    <t>H(m)  Perimetro/Ancho</t>
  </si>
  <si>
    <t>INSTALACION Y MONTAJE</t>
  </si>
  <si>
    <t xml:space="preserve">COBERTURA </t>
  </si>
  <si>
    <t xml:space="preserve">ANEXO METRADO DE ESTRUCTURAS METALICAS </t>
  </si>
  <si>
    <t>TRABAJOS PRELIMINARES</t>
  </si>
  <si>
    <t>TRAZO Y REPLANTEO DE ESTRUCTURAS METALICAS</t>
  </si>
  <si>
    <t>FABRICACION DE ANCLAJE DE COLUMNAS</t>
  </si>
  <si>
    <t>Electrodo E7018</t>
  </si>
  <si>
    <t>INSTALACION DE ANCLAJE DE COLUMNAS</t>
  </si>
  <si>
    <t>ELECTRODOS E7018</t>
  </si>
  <si>
    <t>r</t>
  </si>
  <si>
    <t>TUBOS ASTM A-53</t>
  </si>
  <si>
    <t>01</t>
  </si>
  <si>
    <t>01.01</t>
  </si>
  <si>
    <t>01.01.01</t>
  </si>
  <si>
    <t>01.02</t>
  </si>
  <si>
    <t>01.02.01</t>
  </si>
  <si>
    <t>01.02.02</t>
  </si>
  <si>
    <t>01.03</t>
  </si>
  <si>
    <t>01.03.01</t>
  </si>
  <si>
    <t>01.03.02</t>
  </si>
  <si>
    <t>01.04</t>
  </si>
  <si>
    <t>01.04.01</t>
  </si>
  <si>
    <t>01.05</t>
  </si>
  <si>
    <t>01.05.01</t>
  </si>
  <si>
    <t>Plancha metálica e=6 mm</t>
  </si>
  <si>
    <t>Rigidizador tipo 1</t>
  </si>
  <si>
    <t>Rigidizador tipo 2</t>
  </si>
  <si>
    <t>ELECTRODOS E6011</t>
  </si>
  <si>
    <t>Electrodo E6011</t>
  </si>
  <si>
    <t>CUBIERTA METALICA DE LOSA DEPORTIVA</t>
  </si>
  <si>
    <r>
      <t xml:space="preserve">Fierro corrugado </t>
    </r>
    <r>
      <rPr>
        <sz val="10"/>
        <color indexed="8"/>
        <rFont val="Calibri"/>
        <family val="2"/>
      </rPr>
      <t>Ø=3/4"</t>
    </r>
  </si>
  <si>
    <r>
      <t xml:space="preserve">Tubo circular schedule 40, </t>
    </r>
    <r>
      <rPr>
        <sz val="10"/>
        <color rgb="FF000000"/>
        <rFont val="Calibri"/>
        <family val="2"/>
      </rPr>
      <t>Ø=8"</t>
    </r>
  </si>
  <si>
    <t>Plancha inferior de union cercha columna</t>
  </si>
  <si>
    <t>Plancha metálica e=3/8 plg</t>
  </si>
  <si>
    <t>Rigidizador de anclaje</t>
  </si>
  <si>
    <t>Rigidizador tipo 3</t>
  </si>
  <si>
    <t>Plancha superior de union cercha columna</t>
  </si>
  <si>
    <t>Electrodo  E6011</t>
  </si>
  <si>
    <t>01.04.02</t>
  </si>
  <si>
    <t>Glb</t>
  </si>
  <si>
    <t>ELECTRODOS  E6011</t>
  </si>
  <si>
    <t xml:space="preserve">DETERGENTE </t>
  </si>
  <si>
    <t>01.05.02</t>
  </si>
  <si>
    <t>01.06</t>
  </si>
  <si>
    <t>01.06.01</t>
  </si>
  <si>
    <t>OBRAS DE CONCRETO ARMADO</t>
  </si>
  <si>
    <t>ZAPATAS</t>
  </si>
  <si>
    <t>ZAPATAS - CONCRETO F´c=210 Kg/cm2</t>
  </si>
  <si>
    <t>m3</t>
  </si>
  <si>
    <t>ZAPATAS - ACERO f'y=4200 Kg/cm2</t>
  </si>
  <si>
    <t>COLUMNAS</t>
  </si>
  <si>
    <t>COLUMNAS - CONCRETO f'c=210 Kg/cm2</t>
  </si>
  <si>
    <t>COLUMNAS - ENCOFRADO Y DESENCOFRADO</t>
  </si>
  <si>
    <t>COLUMNAS - ACERO f'y=4200 Kg/cm2</t>
  </si>
  <si>
    <t>Área / volumen</t>
  </si>
  <si>
    <t xml:space="preserve">LIMPIEZA DE TUBOS </t>
  </si>
  <si>
    <t>01.06.02</t>
  </si>
  <si>
    <t>01.07</t>
  </si>
  <si>
    <t>01.07.01</t>
  </si>
  <si>
    <t>Obra   :</t>
  </si>
  <si>
    <t xml:space="preserve">  ESTRUCTURAS METALICAS</t>
  </si>
  <si>
    <t>01.05.03</t>
  </si>
  <si>
    <t>01.05.04</t>
  </si>
  <si>
    <t>01.05.05</t>
  </si>
  <si>
    <t>01.05.06</t>
  </si>
  <si>
    <t>01.05.07</t>
  </si>
  <si>
    <t>01.05.08</t>
  </si>
  <si>
    <t>01.05.09</t>
  </si>
  <si>
    <t>ciento</t>
  </si>
  <si>
    <t xml:space="preserve">CANALETA </t>
  </si>
  <si>
    <t>Plancha metálica galvanizada e=1/27"</t>
  </si>
  <si>
    <t xml:space="preserve">Platina 1" , e=3/16" </t>
  </si>
  <si>
    <t>Sellador</t>
  </si>
  <si>
    <t>MONTAJE DE CANALETA</t>
  </si>
  <si>
    <t>PINTURAS</t>
  </si>
  <si>
    <t>01.08</t>
  </si>
  <si>
    <t>01.08.01</t>
  </si>
  <si>
    <t>01.08.02</t>
  </si>
  <si>
    <t>Plancha metálica e=12 mm,  Ø=0.40m</t>
  </si>
  <si>
    <t>Tuerca M18 grado 8</t>
  </si>
  <si>
    <t>CERCHA PRINCIPAL</t>
  </si>
  <si>
    <t>Cartela tipo 1</t>
  </si>
  <si>
    <t>Cartela tipo 2</t>
  </si>
  <si>
    <t xml:space="preserve">CORTE DE TUBOS </t>
  </si>
  <si>
    <t>DISCO DE CORTE 14" PARA TRONZADORA</t>
  </si>
  <si>
    <t>DISCO DE CORTE 4.5" PARA AMOLADORA</t>
  </si>
  <si>
    <t xml:space="preserve">CORREAS METALICAS </t>
  </si>
  <si>
    <t>Neopreno e=12 mm</t>
  </si>
  <si>
    <t>MONTAJE DE CERCHA PRINCIPAL</t>
  </si>
  <si>
    <t xml:space="preserve">MONTAJE DE CORREAS METALICAS </t>
  </si>
  <si>
    <t>PINTURA - CERCHA PRINCIPAL</t>
  </si>
  <si>
    <t xml:space="preserve">PINTURA - CORREAS METALICAS </t>
  </si>
  <si>
    <t>01.06.03</t>
  </si>
  <si>
    <t>01.06.04</t>
  </si>
  <si>
    <t>01.06.05</t>
  </si>
  <si>
    <t>01.06.06</t>
  </si>
  <si>
    <t>01.06.07</t>
  </si>
  <si>
    <t>01.06.08</t>
  </si>
  <si>
    <t>01.08.03</t>
  </si>
  <si>
    <t>01.08.04</t>
  </si>
  <si>
    <t>01.08.05</t>
  </si>
  <si>
    <t>01.08.06</t>
  </si>
  <si>
    <t>01.09</t>
  </si>
  <si>
    <t>01.09.01</t>
  </si>
  <si>
    <t>ELECTRODOS  E7018</t>
  </si>
  <si>
    <t>Electrodo  E7018</t>
  </si>
  <si>
    <t>UNIDAD</t>
  </si>
  <si>
    <t>ANCHO</t>
  </si>
  <si>
    <t>LARGO</t>
  </si>
  <si>
    <t>CANTIDAD TOTAL</t>
  </si>
  <si>
    <t>OBSERVACIONES</t>
  </si>
  <si>
    <t>RESUMEN DE MATERIALES DE ESTRUCTURA METALICA</t>
  </si>
  <si>
    <t>Plancha metalica e=6 mm</t>
  </si>
  <si>
    <t>Plancha metalica e=12 mm</t>
  </si>
  <si>
    <t>DENOMINACION DE INSUMOS</t>
  </si>
  <si>
    <t>MATERIAL</t>
  </si>
  <si>
    <t>Arandela de presion Ø=3/4"</t>
  </si>
  <si>
    <t>Arandela de presion Ø=5/8"</t>
  </si>
  <si>
    <t>Detergente</t>
  </si>
  <si>
    <t>Disco de corte 14" para tronzadora</t>
  </si>
  <si>
    <t>Disco de corte 4.5" para amoladora</t>
  </si>
  <si>
    <t>Tubo circular schedule 40, Ø=8"</t>
  </si>
  <si>
    <t>Fierro corrugado Ø=3/4"</t>
  </si>
  <si>
    <t>Electrodo  E6011 Ø=1/8"</t>
  </si>
  <si>
    <t>Electrodo  E7018 Ø=1/8"</t>
  </si>
  <si>
    <t>DIMENSIONES ESTANDAR X PIEZA</t>
  </si>
  <si>
    <t>2.40 m</t>
  </si>
  <si>
    <t>1.20 m</t>
  </si>
  <si>
    <t>6.0 m</t>
  </si>
  <si>
    <t>ASTM A36</t>
  </si>
  <si>
    <t>_</t>
  </si>
  <si>
    <t>2.5 plg</t>
  </si>
  <si>
    <t>Autoperforante No 8x1/2"</t>
  </si>
  <si>
    <t>Autoperforante No 8 x1/2"</t>
  </si>
  <si>
    <t xml:space="preserve">A solicitud </t>
  </si>
  <si>
    <t>piezas</t>
  </si>
  <si>
    <t>tubos</t>
  </si>
  <si>
    <t>planchas</t>
  </si>
  <si>
    <t>ARRIOSTRAMIENTO</t>
  </si>
  <si>
    <t>Angular 4", e=1/4"</t>
  </si>
  <si>
    <t>01.06.09</t>
  </si>
  <si>
    <t>MONTAJE DE ARRIOSTRAMIENTO</t>
  </si>
  <si>
    <t>Plancha metálica e=3/8"</t>
  </si>
  <si>
    <t>Angular 4" , e=1/4"</t>
  </si>
  <si>
    <t>ASTM A706</t>
  </si>
  <si>
    <t>soldable</t>
  </si>
  <si>
    <t>ASTM A709 LAC grado 50</t>
  </si>
  <si>
    <t>ASTM A653</t>
  </si>
  <si>
    <t>con revestimiento de zinc</t>
  </si>
  <si>
    <t>ASTM A53</t>
  </si>
  <si>
    <t>ASTM A500 LAC</t>
  </si>
  <si>
    <t>E-6011</t>
  </si>
  <si>
    <t>E-7018</t>
  </si>
  <si>
    <t>ASTM A563</t>
  </si>
  <si>
    <t>ASTM F436</t>
  </si>
  <si>
    <t>"CONSTRUCCION DE COBERTURA EN LA I.E.S SANTA ROSA DE LIMA - ABANCAY EN LA LOCALIDAD DE ABANCAY, DISTRITO DE ABANCAY, PROVINCIA DE ABANCAY, DEPARTAMENTO APURIMAC"</t>
  </si>
  <si>
    <t>9.0 m</t>
  </si>
  <si>
    <t>canales</t>
  </si>
  <si>
    <t xml:space="preserve">Perno y tuerca de alta resistencia grado 8 de Ø=5/8" L=2.5" </t>
  </si>
  <si>
    <t>Perno y tuerca de alta resistencia grado 8 Ø=5/8" L=2.5"</t>
  </si>
  <si>
    <t>GRADO 8</t>
  </si>
  <si>
    <t>TRAPO INDUSTRIAL</t>
  </si>
  <si>
    <t>CEPILLO DE ALAMBRE TIPO COPA DE 4"</t>
  </si>
  <si>
    <t>01.04.03</t>
  </si>
  <si>
    <t>Trapo industrial</t>
  </si>
  <si>
    <t>cepillo de alambre tipo copa de 4"</t>
  </si>
  <si>
    <t>Grout de nivelacion</t>
  </si>
  <si>
    <t xml:space="preserve">SUMINISTRO E INSTALACION DE COBERTURA </t>
  </si>
  <si>
    <t>Fijacion / autoperforantes</t>
  </si>
  <si>
    <t>Cinta butilo de doble contacto para techos +15m</t>
  </si>
  <si>
    <t>1.07 m</t>
  </si>
  <si>
    <t>COLUMNA METÁLICA CIRCULAR TIPO 1 - L=8.37 m</t>
  </si>
  <si>
    <t>COLUMNA METÁLICA CIRCULAR TIPO 2 -  L=4.87 m</t>
  </si>
  <si>
    <t>Tubo LAC 100X50x2.5 mm</t>
  </si>
  <si>
    <t>Tubo LAC 50x50x2 mm</t>
  </si>
  <si>
    <t>VIGA ENCAJONADA</t>
  </si>
  <si>
    <t>Tubo LAC 70x50x2.5 mm</t>
  </si>
  <si>
    <t>Refuerzo inferior</t>
  </si>
  <si>
    <t>Rigidizador tipo 4</t>
  </si>
  <si>
    <t>Plancha metálica e=6mm</t>
  </si>
  <si>
    <t>Refuerzo lateral</t>
  </si>
  <si>
    <t>CERCHA LONGITUDINAL L=4.05m</t>
  </si>
  <si>
    <t>Tubo  LAC 80x40x2 mm</t>
  </si>
  <si>
    <t>Plancha met. ASTM A1008 LAF, e=1/32", tapas</t>
  </si>
  <si>
    <t>Perno y tuerca 3/4"  grado 8</t>
  </si>
  <si>
    <t>Arandela  Ø=3/4"</t>
  </si>
  <si>
    <t>ANGULO ESTRUCTURAL A36</t>
  </si>
  <si>
    <t>01.08.07</t>
  </si>
  <si>
    <t xml:space="preserve">PINTURA - ARRIOSTRAMIENTO </t>
  </si>
  <si>
    <t>Panel aluzinc AZ 150 curvo prepintado e=0.45mm, con capa interna de poliuretano e=6mm.</t>
  </si>
  <si>
    <t>MONTAJE DE COLUMNA METÁLICA CIRCULAR TIPO 1 - L=8.37 m</t>
  </si>
  <si>
    <t>MONTAJE DE COLUMNA METÁLICA CIRCULAR TIPO 2 -  L=4.87 m</t>
  </si>
  <si>
    <t>MONTAJE DE VIGA ENCAJONADA</t>
  </si>
  <si>
    <t>PINTURA - COLUMNA METÁLICA CIRCULAR TIPO 1 - L=8.37 m</t>
  </si>
  <si>
    <t>PINTURA -COLUMNA METÁLICA CIRCULAR TIPO 2 -  L=4.87 m</t>
  </si>
  <si>
    <t>PINTURA - VIGA ENCAJONADA</t>
  </si>
  <si>
    <t>MONTAJE DE CERCHA LONGITUDINAL L=4.05m</t>
  </si>
  <si>
    <t>PINTURA - CERCHA LONGITUDINAL L=4.05m</t>
  </si>
  <si>
    <t>Tubo LAC 100X50X2.5 mm</t>
  </si>
  <si>
    <t>Plancha metalica e=1/32" LAF</t>
  </si>
  <si>
    <t>ASTM A1008 LAF</t>
  </si>
  <si>
    <t>PATIO MULTIUSOS SECUNDARIA</t>
  </si>
  <si>
    <t>plancha acero A36, unión media,e=3/8"</t>
  </si>
  <si>
    <t>plancha acero A36 unión extremos. e=3/8"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</si>
</sst>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 * #,##0.00_ ;_ * \-#,##0.00_ ;_ * &quot;-&quot;??_ ;_ @_ "/>
    <numFmt numFmtId="165" formatCode="mmmm\-yyyy"/>
    <numFmt numFmtId="166" formatCode="0.0000"/>
    <numFmt numFmtId="167" formatCode="_(* #,##0.00_);_(* \(#,##0.00\);_(* &quot;-&quot;??_);_(@_)"/>
    <numFmt numFmtId="168" formatCode="0.000"/>
    <numFmt numFmtId="169" formatCode="0.0"/>
  </numFmts>
  <fonts count="5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 Narrow"/>
      <family val="2"/>
    </font>
    <font>
      <sz val="3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3"/>
      <color rgb="FFFF0000"/>
      <name val="Arial Narrow"/>
      <family val="2"/>
    </font>
    <font>
      <sz val="10"/>
      <name val="Arial Black"/>
      <family val="2"/>
    </font>
    <font>
      <b/>
      <sz val="9"/>
      <color indexed="12"/>
      <name val="Arial Narrow"/>
      <family val="2"/>
    </font>
    <font>
      <b/>
      <sz val="9"/>
      <color rgb="FFFF0000"/>
      <name val="Arial Narrow"/>
      <family val="2"/>
    </font>
    <font>
      <sz val="8"/>
      <color rgb="FFFF0000"/>
      <name val="Arial Narrow"/>
      <family val="2"/>
    </font>
    <font>
      <b/>
      <sz val="8"/>
      <color rgb="FFFF0000"/>
      <name val="Arial Narrow"/>
      <family val="2"/>
    </font>
    <font>
      <b/>
      <sz val="9"/>
      <name val="Arial Narrow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rgb="FF00B050"/>
      <name val="Arial Narrow"/>
      <family val="2"/>
    </font>
    <font>
      <b/>
      <sz val="3"/>
      <name val="Arial Narrow"/>
      <family val="2"/>
    </font>
    <font>
      <b/>
      <sz val="10"/>
      <color theme="1" tint="4.9989318521683403E-2"/>
      <name val="Arial Narrow"/>
      <family val="2"/>
    </font>
    <font>
      <sz val="10"/>
      <color theme="1" tint="4.9989318521683403E-2"/>
      <name val="Arial Narrow"/>
      <family val="2"/>
    </font>
    <font>
      <sz val="10"/>
      <name val="Calibri"/>
      <family val="2"/>
    </font>
    <font>
      <b/>
      <sz val="10"/>
      <color theme="1" tint="4.9989318521683403E-2"/>
      <name val="Arial Black"/>
      <family val="2"/>
    </font>
    <font>
      <b/>
      <sz val="10"/>
      <name val="Arial Narrow"/>
      <family val="2"/>
    </font>
    <font>
      <b/>
      <sz val="10"/>
      <color indexed="20"/>
      <name val="Arial Narrow"/>
      <family val="2"/>
    </font>
    <font>
      <b/>
      <sz val="10"/>
      <color rgb="FFFF000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sz val="10"/>
      <color indexed="8"/>
      <name val="Arial Narrow"/>
      <family val="2"/>
    </font>
    <font>
      <sz val="10"/>
      <color rgb="FF000000"/>
      <name val="Arial Narrow"/>
      <family val="2"/>
    </font>
    <font>
      <sz val="10"/>
      <color rgb="FFFF0000"/>
      <name val="Arial Narrow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  <font>
      <b/>
      <sz val="10"/>
      <color rgb="FF000000"/>
      <name val="Arial Narrow"/>
      <family val="2"/>
    </font>
    <font>
      <b/>
      <sz val="14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8"/>
      <color indexed="8"/>
      <name val="Calibri Light"/>
      <family val="2"/>
      <scheme val="major"/>
    </font>
    <font>
      <sz val="8"/>
      <color indexed="8"/>
      <name val="Calibri Light"/>
      <family val="2"/>
      <scheme val="major"/>
    </font>
    <font>
      <sz val="9"/>
      <color indexed="8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9"/>
      <color indexed="8"/>
      <name val="Arial Narrow"/>
      <family val="2"/>
    </font>
    <font>
      <sz val="9"/>
      <name val="Arial Narrow"/>
      <family val="2"/>
    </font>
    <font>
      <b/>
      <sz val="9"/>
      <color rgb="FF0000FF"/>
      <name val="Arial Narrow"/>
      <family val="2"/>
    </font>
    <font>
      <b/>
      <sz val="10"/>
      <color rgb="FFD60093"/>
      <name val="Arial Narrow"/>
      <family val="2"/>
    </font>
    <font>
      <b/>
      <sz val="10"/>
      <color rgb="FF0000FF"/>
      <name val="Arial Narrow"/>
      <family val="2"/>
    </font>
    <font>
      <sz val="10"/>
      <color indexed="8"/>
      <name val="Calibri"/>
      <family val="2"/>
    </font>
    <font>
      <sz val="10"/>
      <color rgb="FF000000"/>
      <name val="Calibri"/>
      <family val="2"/>
    </font>
    <font>
      <b/>
      <sz val="10"/>
      <color theme="9" tint="-0.499984740745262"/>
      <name val="Arial Narrow"/>
      <family val="2"/>
    </font>
    <font>
      <b/>
      <sz val="9"/>
      <color theme="9" tint="-0.499984740745262"/>
      <name val="Arial Narrow"/>
      <family val="2"/>
    </font>
    <font>
      <sz val="10"/>
      <color theme="1"/>
      <name val="Arial Narrow"/>
      <family val="2"/>
    </font>
    <font>
      <sz val="10"/>
      <color rgb="FF005A9E"/>
      <name val="Arial Narrow"/>
      <family val="2"/>
    </font>
    <font>
      <sz val="11"/>
      <color indexed="8"/>
      <name val="Calibri Light"/>
      <family val="2"/>
      <scheme val="major"/>
    </font>
    <font>
      <b/>
      <sz val="14"/>
      <color rgb="FF005A9E"/>
      <name val="Calibri Light"/>
      <family val="2"/>
      <scheme val="major"/>
    </font>
    <font>
      <sz val="11"/>
      <color rgb="FF000000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B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dashed">
        <color theme="0" tint="-0.499984740745262"/>
      </bottom>
      <diagonal/>
    </border>
    <border>
      <left style="medium">
        <color theme="0" tint="-0.499984740745262"/>
      </left>
      <right style="dashed">
        <color theme="0" tint="-0.499984740745262"/>
      </right>
      <top style="medium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 style="medium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dashed">
        <color theme="0" tint="-0.499984740745262"/>
      </bottom>
      <diagonal/>
    </border>
    <border>
      <left style="medium">
        <color theme="0" tint="-0.499984740745262"/>
      </left>
      <right style="dashed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dashed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dashed">
        <color theme="0" tint="-0.499984740745262"/>
      </bottom>
      <diagonal/>
    </border>
    <border>
      <left/>
      <right/>
      <top style="medium">
        <color theme="0" tint="-0.499984740745262"/>
      </top>
      <bottom style="dashed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dashed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dashed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dashed">
        <color theme="0" tint="-0.499984740745262"/>
      </right>
      <top style="dashed">
        <color theme="0" tint="-0.499984740745262"/>
      </top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dashed">
        <color theme="0" tint="-0.499984740745262"/>
      </right>
      <top/>
      <bottom/>
      <diagonal/>
    </border>
    <border>
      <left style="medium">
        <color theme="0" tint="-0.499984740745262"/>
      </left>
      <right style="dashed">
        <color theme="0" tint="-0.499984740745262"/>
      </right>
      <top/>
      <bottom style="medium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dashed">
        <color theme="0" tint="-0.499984740745262"/>
      </right>
      <top/>
      <bottom style="dashed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/>
      <bottom style="dashed">
        <color theme="0" tint="-0.499984740745262"/>
      </bottom>
      <diagonal/>
    </border>
    <border>
      <left style="dashed">
        <color theme="0" tint="-0.499984740745262"/>
      </left>
      <right style="medium">
        <color theme="0" tint="-0.499984740745262"/>
      </right>
      <top/>
      <bottom style="dashed">
        <color theme="0" tint="-0.499984740745262"/>
      </bottom>
      <diagonal/>
    </border>
    <border>
      <left style="medium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medium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medium">
        <color theme="0" tint="-0.499984740745262"/>
      </bottom>
      <diagonal/>
    </border>
    <border>
      <left style="dashed">
        <color theme="0" tint="-0.499984740745262"/>
      </left>
      <right style="medium">
        <color theme="0" tint="-0.499984740745262"/>
      </right>
      <top style="dashed">
        <color theme="0" tint="-0.499984740745262"/>
      </top>
      <bottom style="medium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/>
      <bottom style="medium">
        <color theme="0" tint="-0.499984740745262"/>
      </bottom>
      <diagonal/>
    </border>
    <border>
      <left style="dashed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dashed">
        <color theme="0" tint="-0.499984740745262"/>
      </right>
      <top style="medium">
        <color theme="0" tint="-0.499984740745262"/>
      </top>
      <bottom/>
      <diagonal/>
    </border>
    <border>
      <left style="dashed">
        <color theme="0" tint="-0.499984740745262"/>
      </left>
      <right style="dashed">
        <color theme="0" tint="-0.499984740745262"/>
      </right>
      <top style="medium">
        <color theme="0" tint="-0.499984740745262"/>
      </top>
      <bottom/>
      <diagonal/>
    </border>
    <border>
      <left style="dashed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 style="medium">
        <color theme="0" tint="-0.499984740745262"/>
      </right>
      <top/>
      <bottom/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/>
      <diagonal/>
    </border>
    <border>
      <left style="dashed">
        <color theme="0" tint="-0.499984740745262"/>
      </left>
      <right style="medium">
        <color theme="0" tint="-0.499984740745262"/>
      </right>
      <top style="dashed">
        <color theme="0" tint="-0.499984740745262"/>
      </top>
      <bottom/>
      <diagonal/>
    </border>
    <border>
      <left style="dashed">
        <color theme="0" tint="-0.499984740745262"/>
      </left>
      <right/>
      <top style="dashed">
        <color theme="0" tint="-0.499984740745262"/>
      </top>
      <bottom style="dashed">
        <color theme="0" tint="-0.499984740745262"/>
      </bottom>
      <diagonal/>
    </border>
    <border>
      <left/>
      <right/>
      <top style="dashed">
        <color theme="0" tint="-0.499984740745262"/>
      </top>
      <bottom style="dashed">
        <color theme="0" tint="-0.499984740745262"/>
      </bottom>
      <diagonal/>
    </border>
    <border>
      <left/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theme="0" tint="-0.499984740745262"/>
      </right>
      <top style="hair">
        <color indexed="64"/>
      </top>
      <bottom style="hair">
        <color indexed="64"/>
      </bottom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dashed">
        <color theme="2" tint="-0.499984740745262"/>
      </left>
      <right style="dashed">
        <color theme="2" tint="-0.499984740745262"/>
      </right>
      <top style="dashed">
        <color theme="2" tint="-0.499984740745262"/>
      </top>
      <bottom style="dashed">
        <color theme="2" tint="-0.499984740745262"/>
      </bottom>
      <diagonal/>
    </border>
    <border>
      <left/>
      <right style="dashed">
        <color theme="0" tint="-0.499984740745262"/>
      </right>
      <top/>
      <bottom style="dashed">
        <color theme="0" tint="-0.499984740745262"/>
      </bottom>
      <diagonal/>
    </border>
    <border>
      <left style="dashed">
        <color theme="0" tint="-0.499984740745262"/>
      </left>
      <right/>
      <top/>
      <bottom style="dashed">
        <color theme="0" tint="-0.499984740745262"/>
      </bottom>
      <diagonal/>
    </border>
    <border>
      <left/>
      <right/>
      <top/>
      <bottom style="dashed">
        <color theme="0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theme="0" tint="-0.499984740745262"/>
      </left>
      <right/>
      <top/>
      <bottom style="dashed">
        <color theme="0" tint="-0.499984740745262"/>
      </bottom>
      <diagonal/>
    </border>
    <border>
      <left/>
      <right style="medium">
        <color theme="0" tint="-0.499984740745262"/>
      </right>
      <top/>
      <bottom style="dashed">
        <color theme="0" tint="-0.499984740745262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9" fontId="13" fillId="0" borderId="0" applyFont="0" applyFill="0" applyBorder="0" applyAlignment="0" applyProtection="0"/>
    <xf numFmtId="0" fontId="15" fillId="0" borderId="0">
      <alignment vertical="top"/>
    </xf>
    <xf numFmtId="167" fontId="13" fillId="0" borderId="0" applyFont="0" applyFill="0" applyBorder="0" applyAlignment="0" applyProtection="0"/>
  </cellStyleXfs>
  <cellXfs count="692">
    <xf numFmtId="0" fontId="0" fillId="0" borderId="0" xfId="0"/>
    <xf numFmtId="0" fontId="2" fillId="2" borderId="0" xfId="1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3" fillId="2" borderId="0" xfId="1" applyFont="1" applyFill="1" applyAlignment="1">
      <alignment vertical="center"/>
    </xf>
    <xf numFmtId="0" fontId="3" fillId="0" borderId="0" xfId="1" applyFont="1" applyFill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4" fillId="0" borderId="0" xfId="1" applyFont="1" applyFill="1" applyAlignment="1">
      <alignment vertical="center"/>
    </xf>
    <xf numFmtId="2" fontId="2" fillId="2" borderId="0" xfId="1" applyNumberFormat="1" applyFont="1" applyFill="1" applyAlignment="1">
      <alignment vertical="center"/>
    </xf>
    <xf numFmtId="2" fontId="5" fillId="2" borderId="0" xfId="1" applyNumberFormat="1" applyFont="1" applyFill="1" applyAlignment="1">
      <alignment vertical="center"/>
    </xf>
    <xf numFmtId="2" fontId="3" fillId="2" borderId="0" xfId="1" applyNumberFormat="1" applyFont="1" applyFill="1" applyAlignment="1">
      <alignment vertical="center"/>
    </xf>
    <xf numFmtId="0" fontId="3" fillId="2" borderId="5" xfId="1" applyFont="1" applyFill="1" applyBorder="1" applyAlignment="1">
      <alignment vertical="center"/>
    </xf>
    <xf numFmtId="2" fontId="3" fillId="2" borderId="5" xfId="1" applyNumberFormat="1" applyFont="1" applyFill="1" applyBorder="1" applyAlignment="1">
      <alignment vertical="center"/>
    </xf>
    <xf numFmtId="2" fontId="3" fillId="2" borderId="6" xfId="1" applyNumberFormat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2" fontId="4" fillId="2" borderId="8" xfId="1" applyNumberFormat="1" applyFont="1" applyFill="1" applyBorder="1" applyAlignment="1">
      <alignment vertical="center"/>
    </xf>
    <xf numFmtId="2" fontId="4" fillId="2" borderId="0" xfId="1" applyNumberFormat="1" applyFont="1" applyFill="1" applyBorder="1" applyAlignment="1">
      <alignment vertical="center"/>
    </xf>
    <xf numFmtId="2" fontId="2" fillId="2" borderId="0" xfId="1" applyNumberFormat="1" applyFont="1" applyFill="1" applyBorder="1" applyAlignment="1">
      <alignment vertical="center"/>
    </xf>
    <xf numFmtId="2" fontId="3" fillId="2" borderId="10" xfId="1" applyNumberFormat="1" applyFont="1" applyFill="1" applyBorder="1" applyAlignment="1">
      <alignment vertical="center"/>
    </xf>
    <xf numFmtId="2" fontId="3" fillId="2" borderId="11" xfId="1" applyNumberFormat="1" applyFont="1" applyFill="1" applyBorder="1" applyAlignment="1">
      <alignment vertical="center"/>
    </xf>
    <xf numFmtId="0" fontId="3" fillId="2" borderId="0" xfId="1" applyFont="1" applyFill="1" applyBorder="1" applyAlignment="1">
      <alignment vertical="center"/>
    </xf>
    <xf numFmtId="2" fontId="3" fillId="2" borderId="0" xfId="1" applyNumberFormat="1" applyFont="1" applyFill="1" applyBorder="1" applyAlignment="1">
      <alignment vertical="center"/>
    </xf>
    <xf numFmtId="2" fontId="6" fillId="0" borderId="0" xfId="1" applyNumberFormat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2" fontId="2" fillId="0" borderId="0" xfId="1" applyNumberFormat="1" applyFont="1" applyFill="1" applyAlignment="1">
      <alignment vertical="center"/>
    </xf>
    <xf numFmtId="2" fontId="5" fillId="0" borderId="0" xfId="1" applyNumberFormat="1" applyFont="1" applyFill="1" applyAlignment="1">
      <alignment vertical="center"/>
    </xf>
    <xf numFmtId="0" fontId="8" fillId="0" borderId="0" xfId="0" applyFont="1" applyAlignment="1">
      <alignment vertical="top"/>
    </xf>
    <xf numFmtId="0" fontId="10" fillId="0" borderId="0" xfId="1" applyFont="1" applyFill="1" applyBorder="1" applyAlignment="1">
      <alignment vertical="center"/>
    </xf>
    <xf numFmtId="0" fontId="11" fillId="0" borderId="0" xfId="1" applyFont="1" applyFill="1" applyBorder="1" applyAlignment="1">
      <alignment vertical="center"/>
    </xf>
    <xf numFmtId="0" fontId="16" fillId="0" borderId="0" xfId="1" applyFont="1" applyFill="1" applyBorder="1" applyAlignment="1">
      <alignment vertical="center"/>
    </xf>
    <xf numFmtId="0" fontId="16" fillId="0" borderId="0" xfId="1" quotePrefix="1" applyFont="1" applyFill="1" applyBorder="1" applyAlignment="1">
      <alignment horizontal="center" vertical="center"/>
    </xf>
    <xf numFmtId="0" fontId="16" fillId="0" borderId="18" xfId="1" quotePrefix="1" applyFont="1" applyFill="1" applyBorder="1" applyAlignment="1">
      <alignment horizontal="left" vertical="center"/>
    </xf>
    <xf numFmtId="0" fontId="16" fillId="0" borderId="0" xfId="1" applyFont="1" applyFill="1" applyBorder="1" applyAlignment="1">
      <alignment horizontal="center" vertical="center"/>
    </xf>
    <xf numFmtId="0" fontId="4" fillId="0" borderId="0" xfId="1" quotePrefix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11" fillId="0" borderId="0" xfId="1" quotePrefix="1" applyFont="1" applyFill="1" applyBorder="1" applyAlignment="1">
      <alignment vertical="center"/>
    </xf>
    <xf numFmtId="0" fontId="11" fillId="0" borderId="0" xfId="1" applyFont="1" applyFill="1" applyBorder="1" applyAlignment="1">
      <alignment horizontal="center" vertical="center"/>
    </xf>
    <xf numFmtId="0" fontId="2" fillId="0" borderId="0" xfId="1" quotePrefix="1" applyFont="1" applyFill="1" applyBorder="1" applyAlignment="1">
      <alignment vertical="center"/>
    </xf>
    <xf numFmtId="0" fontId="2" fillId="0" borderId="0" xfId="1" applyFont="1" applyFill="1" applyBorder="1" applyAlignment="1">
      <alignment horizontal="center" vertical="center"/>
    </xf>
    <xf numFmtId="0" fontId="10" fillId="0" borderId="0" xfId="1" quotePrefix="1" applyFont="1" applyFill="1" applyBorder="1" applyAlignment="1">
      <alignment vertical="center"/>
    </xf>
    <xf numFmtId="0" fontId="10" fillId="0" borderId="0" xfId="1" applyFont="1" applyFill="1" applyBorder="1" applyAlignment="1">
      <alignment horizontal="center" vertical="center"/>
    </xf>
    <xf numFmtId="0" fontId="17" fillId="0" borderId="0" xfId="1" applyFont="1" applyFill="1" applyAlignment="1">
      <alignment vertical="center"/>
    </xf>
    <xf numFmtId="0" fontId="5" fillId="2" borderId="0" xfId="1" applyNumberFormat="1" applyFont="1" applyFill="1" applyAlignment="1">
      <alignment vertical="center"/>
    </xf>
    <xf numFmtId="0" fontId="14" fillId="0" borderId="0" xfId="0" applyFont="1" applyFill="1" applyAlignment="1"/>
    <xf numFmtId="0" fontId="18" fillId="2" borderId="0" xfId="1" applyNumberFormat="1" applyFont="1" applyFill="1" applyAlignment="1">
      <alignment vertical="center"/>
    </xf>
    <xf numFmtId="0" fontId="19" fillId="2" borderId="0" xfId="1" applyNumberFormat="1" applyFont="1" applyFill="1" applyAlignment="1">
      <alignment horizontal="left" vertical="center"/>
    </xf>
    <xf numFmtId="0" fontId="18" fillId="2" borderId="0" xfId="1" applyNumberFormat="1" applyFont="1" applyFill="1" applyBorder="1" applyAlignment="1">
      <alignment horizontal="center" vertical="center"/>
    </xf>
    <xf numFmtId="2" fontId="19" fillId="2" borderId="0" xfId="1" applyNumberFormat="1" applyFont="1" applyFill="1" applyAlignment="1">
      <alignment horizontal="right" vertical="center"/>
    </xf>
    <xf numFmtId="0" fontId="19" fillId="2" borderId="0" xfId="1" applyNumberFormat="1" applyFont="1" applyFill="1" applyAlignment="1">
      <alignment horizontal="center" vertical="center"/>
    </xf>
    <xf numFmtId="2" fontId="19" fillId="2" borderId="0" xfId="1" applyNumberFormat="1" applyFont="1" applyFill="1" applyAlignment="1">
      <alignment horizontal="center" vertical="center"/>
    </xf>
    <xf numFmtId="0" fontId="19" fillId="2" borderId="0" xfId="1" applyNumberFormat="1" applyFont="1" applyFill="1" applyAlignment="1">
      <alignment vertical="center"/>
    </xf>
    <xf numFmtId="0" fontId="20" fillId="0" borderId="0" xfId="1" applyNumberFormat="1" applyFont="1" applyFill="1" applyAlignment="1">
      <alignment vertical="center"/>
    </xf>
    <xf numFmtId="0" fontId="5" fillId="0" borderId="0" xfId="1" quotePrefix="1" applyNumberFormat="1" applyFont="1" applyFill="1" applyAlignment="1">
      <alignment vertical="center"/>
    </xf>
    <xf numFmtId="0" fontId="5" fillId="0" borderId="0" xfId="1" applyNumberFormat="1" applyFont="1" applyFill="1" applyAlignment="1">
      <alignment vertical="center"/>
    </xf>
    <xf numFmtId="0" fontId="5" fillId="2" borderId="0" xfId="1" applyFont="1" applyFill="1" applyAlignment="1">
      <alignment vertical="center"/>
    </xf>
    <xf numFmtId="0" fontId="5" fillId="0" borderId="0" xfId="1" applyFont="1" applyFill="1" applyAlignment="1">
      <alignment vertical="center"/>
    </xf>
    <xf numFmtId="0" fontId="5" fillId="0" borderId="0" xfId="1" quotePrefix="1" applyFont="1" applyFill="1" applyAlignment="1">
      <alignment vertical="center"/>
    </xf>
    <xf numFmtId="0" fontId="18" fillId="2" borderId="0" xfId="1" applyFont="1" applyFill="1" applyAlignment="1">
      <alignment vertical="center"/>
    </xf>
    <xf numFmtId="0" fontId="18" fillId="2" borderId="0" xfId="1" applyFont="1" applyFill="1" applyAlignment="1">
      <alignment horizontal="left" vertical="center"/>
    </xf>
    <xf numFmtId="0" fontId="18" fillId="2" borderId="0" xfId="1" applyFont="1" applyFill="1" applyBorder="1" applyAlignment="1">
      <alignment horizontal="center" vertical="center"/>
    </xf>
    <xf numFmtId="2" fontId="18" fillId="2" borderId="0" xfId="1" applyNumberFormat="1" applyFont="1" applyFill="1" applyAlignment="1">
      <alignment horizontal="right" vertical="center"/>
    </xf>
    <xf numFmtId="0" fontId="18" fillId="2" borderId="0" xfId="1" applyNumberFormat="1" applyFont="1" applyFill="1" applyAlignment="1">
      <alignment horizontal="center" vertical="center"/>
    </xf>
    <xf numFmtId="2" fontId="18" fillId="2" borderId="0" xfId="1" applyNumberFormat="1" applyFont="1" applyFill="1" applyAlignment="1">
      <alignment horizontal="center" vertical="center"/>
    </xf>
    <xf numFmtId="2" fontId="18" fillId="2" borderId="0" xfId="1" applyNumberFormat="1" applyFont="1" applyFill="1" applyAlignment="1">
      <alignment vertical="center"/>
    </xf>
    <xf numFmtId="0" fontId="18" fillId="2" borderId="4" xfId="1" applyFont="1" applyFill="1" applyBorder="1" applyAlignment="1">
      <alignment vertical="center"/>
    </xf>
    <xf numFmtId="0" fontId="19" fillId="2" borderId="5" xfId="1" applyFont="1" applyFill="1" applyBorder="1" applyAlignment="1">
      <alignment horizontal="left" vertical="center"/>
    </xf>
    <xf numFmtId="0" fontId="18" fillId="2" borderId="5" xfId="1" applyFont="1" applyFill="1" applyBorder="1" applyAlignment="1">
      <alignment horizontal="center" vertical="center"/>
    </xf>
    <xf numFmtId="2" fontId="19" fillId="2" borderId="5" xfId="1" applyNumberFormat="1" applyFont="1" applyFill="1" applyBorder="1" applyAlignment="1">
      <alignment horizontal="right" vertical="center"/>
    </xf>
    <xf numFmtId="0" fontId="19" fillId="2" borderId="5" xfId="1" applyNumberFormat="1" applyFont="1" applyFill="1" applyBorder="1" applyAlignment="1">
      <alignment horizontal="center" vertical="center"/>
    </xf>
    <xf numFmtId="2" fontId="19" fillId="2" borderId="5" xfId="1" applyNumberFormat="1" applyFont="1" applyFill="1" applyBorder="1" applyAlignment="1">
      <alignment horizontal="center" vertical="center"/>
    </xf>
    <xf numFmtId="0" fontId="19" fillId="2" borderId="5" xfId="1" applyNumberFormat="1" applyFont="1" applyFill="1" applyBorder="1" applyAlignment="1">
      <alignment vertical="center"/>
    </xf>
    <xf numFmtId="2" fontId="18" fillId="2" borderId="6" xfId="1" applyNumberFormat="1" applyFont="1" applyFill="1" applyBorder="1" applyAlignment="1">
      <alignment vertical="center"/>
    </xf>
    <xf numFmtId="0" fontId="18" fillId="2" borderId="7" xfId="1" applyFont="1" applyFill="1" applyBorder="1" applyAlignment="1">
      <alignment horizontal="left" vertical="top"/>
    </xf>
    <xf numFmtId="0" fontId="18" fillId="2" borderId="0" xfId="1" applyFont="1" applyFill="1" applyBorder="1" applyAlignment="1">
      <alignment horizontal="left" vertical="center"/>
    </xf>
    <xf numFmtId="2" fontId="19" fillId="2" borderId="0" xfId="1" applyNumberFormat="1" applyFont="1" applyFill="1" applyBorder="1" applyAlignment="1">
      <alignment horizontal="right" vertical="center"/>
    </xf>
    <xf numFmtId="2" fontId="18" fillId="2" borderId="0" xfId="1" applyNumberFormat="1" applyFont="1" applyFill="1" applyBorder="1" applyAlignment="1">
      <alignment horizontal="right" vertical="center"/>
    </xf>
    <xf numFmtId="2" fontId="18" fillId="2" borderId="0" xfId="1" applyNumberFormat="1" applyFont="1" applyFill="1" applyBorder="1" applyAlignment="1">
      <alignment horizontal="center" vertical="center"/>
    </xf>
    <xf numFmtId="2" fontId="18" fillId="2" borderId="0" xfId="1" applyNumberFormat="1" applyFont="1" applyFill="1" applyBorder="1" applyAlignment="1">
      <alignment horizontal="left" vertical="center"/>
    </xf>
    <xf numFmtId="0" fontId="18" fillId="2" borderId="0" xfId="1" applyNumberFormat="1" applyFont="1" applyFill="1" applyBorder="1" applyAlignment="1">
      <alignment horizontal="left" vertical="center"/>
    </xf>
    <xf numFmtId="2" fontId="18" fillId="2" borderId="8" xfId="1" applyNumberFormat="1" applyFont="1" applyFill="1" applyBorder="1" applyAlignment="1">
      <alignment vertical="center"/>
    </xf>
    <xf numFmtId="165" fontId="18" fillId="2" borderId="0" xfId="1" quotePrefix="1" applyNumberFormat="1" applyFont="1" applyFill="1" applyBorder="1" applyAlignment="1">
      <alignment horizontal="left" vertical="center"/>
    </xf>
    <xf numFmtId="0" fontId="19" fillId="2" borderId="0" xfId="1" applyFont="1" applyFill="1" applyBorder="1" applyAlignment="1">
      <alignment vertical="center"/>
    </xf>
    <xf numFmtId="2" fontId="18" fillId="2" borderId="0" xfId="1" applyNumberFormat="1" applyFont="1" applyFill="1" applyBorder="1" applyAlignment="1">
      <alignment vertical="center"/>
    </xf>
    <xf numFmtId="0" fontId="18" fillId="2" borderId="0" xfId="1" applyNumberFormat="1" applyFont="1" applyFill="1" applyBorder="1" applyAlignment="1">
      <alignment vertical="center"/>
    </xf>
    <xf numFmtId="2" fontId="19" fillId="2" borderId="0" xfId="1" applyNumberFormat="1" applyFont="1" applyFill="1" applyBorder="1" applyAlignment="1">
      <alignment vertical="center"/>
    </xf>
    <xf numFmtId="0" fontId="19" fillId="2" borderId="0" xfId="1" applyNumberFormat="1" applyFont="1" applyFill="1" applyBorder="1" applyAlignment="1">
      <alignment vertical="center"/>
    </xf>
    <xf numFmtId="0" fontId="18" fillId="2" borderId="9" xfId="1" applyFont="1" applyFill="1" applyBorder="1" applyAlignment="1">
      <alignment vertical="center"/>
    </xf>
    <xf numFmtId="0" fontId="18" fillId="2" borderId="10" xfId="1" applyFont="1" applyFill="1" applyBorder="1" applyAlignment="1">
      <alignment horizontal="left" vertical="center"/>
    </xf>
    <xf numFmtId="0" fontId="18" fillId="2" borderId="10" xfId="1" applyFont="1" applyFill="1" applyBorder="1" applyAlignment="1">
      <alignment horizontal="center" vertical="center"/>
    </xf>
    <xf numFmtId="2" fontId="18" fillId="2" borderId="10" xfId="1" applyNumberFormat="1" applyFont="1" applyFill="1" applyBorder="1" applyAlignment="1">
      <alignment horizontal="left" vertical="center"/>
    </xf>
    <xf numFmtId="2" fontId="19" fillId="2" borderId="10" xfId="1" applyNumberFormat="1" applyFont="1" applyFill="1" applyBorder="1" applyAlignment="1">
      <alignment vertical="center"/>
    </xf>
    <xf numFmtId="2" fontId="18" fillId="2" borderId="10" xfId="1" applyNumberFormat="1" applyFont="1" applyFill="1" applyBorder="1" applyAlignment="1">
      <alignment vertical="center"/>
    </xf>
    <xf numFmtId="0" fontId="19" fillId="2" borderId="10" xfId="1" applyNumberFormat="1" applyFont="1" applyFill="1" applyBorder="1" applyAlignment="1">
      <alignment horizontal="center" vertical="center"/>
    </xf>
    <xf numFmtId="2" fontId="19" fillId="2" borderId="10" xfId="1" applyNumberFormat="1" applyFont="1" applyFill="1" applyBorder="1" applyAlignment="1">
      <alignment horizontal="center" vertical="center"/>
    </xf>
    <xf numFmtId="0" fontId="19" fillId="2" borderId="10" xfId="1" applyNumberFormat="1" applyFont="1" applyFill="1" applyBorder="1" applyAlignment="1">
      <alignment vertical="center"/>
    </xf>
    <xf numFmtId="2" fontId="18" fillId="2" borderId="11" xfId="1" applyNumberFormat="1" applyFont="1" applyFill="1" applyBorder="1" applyAlignment="1">
      <alignment vertical="center"/>
    </xf>
    <xf numFmtId="0" fontId="18" fillId="2" borderId="0" xfId="1" applyFont="1" applyFill="1" applyBorder="1" applyAlignment="1">
      <alignment vertical="center"/>
    </xf>
    <xf numFmtId="0" fontId="19" fillId="2" borderId="0" xfId="1" applyNumberFormat="1" applyFont="1" applyFill="1" applyBorder="1" applyAlignment="1">
      <alignment horizontal="left" vertical="center"/>
    </xf>
    <xf numFmtId="2" fontId="19" fillId="2" borderId="0" xfId="1" applyNumberFormat="1" applyFont="1" applyFill="1" applyBorder="1" applyAlignment="1">
      <alignment horizontal="left" vertical="center"/>
    </xf>
    <xf numFmtId="0" fontId="22" fillId="0" borderId="23" xfId="1" applyFont="1" applyFill="1" applyBorder="1" applyAlignment="1">
      <alignment vertical="center"/>
    </xf>
    <xf numFmtId="2" fontId="18" fillId="3" borderId="16" xfId="1" applyNumberFormat="1" applyFont="1" applyFill="1" applyBorder="1" applyAlignment="1">
      <alignment horizontal="center" vertical="center"/>
    </xf>
    <xf numFmtId="0" fontId="18" fillId="3" borderId="20" xfId="1" applyNumberFormat="1" applyFont="1" applyFill="1" applyBorder="1" applyAlignment="1">
      <alignment horizontal="center" vertical="center"/>
    </xf>
    <xf numFmtId="0" fontId="18" fillId="0" borderId="0" xfId="1" applyFont="1" applyFill="1" applyBorder="1" applyAlignment="1">
      <alignment vertical="center"/>
    </xf>
    <xf numFmtId="0" fontId="18" fillId="0" borderId="0" xfId="1" applyFont="1" applyFill="1" applyBorder="1" applyAlignment="1">
      <alignment horizontal="center" vertical="center"/>
    </xf>
    <xf numFmtId="0" fontId="23" fillId="0" borderId="0" xfId="1" applyFont="1" applyFill="1" applyBorder="1" applyAlignment="1" applyProtection="1">
      <alignment vertical="center"/>
      <protection locked="0"/>
    </xf>
    <xf numFmtId="0" fontId="23" fillId="0" borderId="0" xfId="1" applyFont="1" applyFill="1" applyBorder="1" applyAlignment="1" applyProtection="1">
      <alignment horizontal="left" vertical="top"/>
      <protection locked="0"/>
    </xf>
    <xf numFmtId="0" fontId="15" fillId="0" borderId="18" xfId="0" applyFont="1" applyBorder="1" applyAlignment="1">
      <alignment horizontal="center" vertical="top"/>
    </xf>
    <xf numFmtId="1" fontId="23" fillId="0" borderId="18" xfId="1" applyNumberFormat="1" applyFont="1" applyFill="1" applyBorder="1" applyAlignment="1" applyProtection="1">
      <alignment horizontal="right" vertical="top"/>
      <protection locked="0"/>
    </xf>
    <xf numFmtId="2" fontId="23" fillId="0" borderId="18" xfId="1" applyNumberFormat="1" applyFont="1" applyFill="1" applyBorder="1" applyAlignment="1" applyProtection="1">
      <alignment horizontal="right" vertical="top"/>
      <protection locked="0"/>
    </xf>
    <xf numFmtId="1" fontId="23" fillId="0" borderId="18" xfId="1" applyNumberFormat="1" applyFont="1" applyFill="1" applyBorder="1" applyAlignment="1">
      <alignment horizontal="right" vertical="top"/>
    </xf>
    <xf numFmtId="2" fontId="23" fillId="0" borderId="18" xfId="1" applyNumberFormat="1" applyFont="1" applyFill="1" applyBorder="1" applyAlignment="1">
      <alignment horizontal="right" vertical="top"/>
    </xf>
    <xf numFmtId="0" fontId="23" fillId="0" borderId="0" xfId="1" applyFont="1" applyFill="1" applyBorder="1" applyAlignment="1">
      <alignment vertical="center"/>
    </xf>
    <xf numFmtId="2" fontId="22" fillId="0" borderId="18" xfId="1" applyNumberFormat="1" applyFont="1" applyFill="1" applyBorder="1" applyAlignment="1" applyProtection="1">
      <alignment horizontal="right" vertical="top"/>
    </xf>
    <xf numFmtId="0" fontId="22" fillId="0" borderId="0" xfId="1" applyFont="1" applyFill="1" applyBorder="1" applyAlignment="1">
      <alignment vertical="center"/>
    </xf>
    <xf numFmtId="0" fontId="25" fillId="0" borderId="18" xfId="0" applyFont="1" applyFill="1" applyBorder="1" applyAlignment="1">
      <alignment vertical="top"/>
    </xf>
    <xf numFmtId="0" fontId="25" fillId="0" borderId="18" xfId="0" applyFont="1" applyFill="1" applyBorder="1" applyAlignment="1">
      <alignment horizontal="center" vertical="top"/>
    </xf>
    <xf numFmtId="2" fontId="25" fillId="0" borderId="18" xfId="2" applyNumberFormat="1" applyFont="1" applyFill="1" applyBorder="1" applyAlignment="1">
      <alignment horizontal="right" vertical="top"/>
    </xf>
    <xf numFmtId="0" fontId="25" fillId="0" borderId="0" xfId="1" applyFont="1" applyFill="1" applyBorder="1" applyAlignment="1">
      <alignment vertical="center"/>
    </xf>
    <xf numFmtId="0" fontId="27" fillId="0" borderId="0" xfId="1" applyFont="1" applyFill="1" applyBorder="1" applyAlignment="1"/>
    <xf numFmtId="0" fontId="27" fillId="0" borderId="0" xfId="2" applyFont="1" applyFill="1" applyBorder="1" applyAlignment="1">
      <alignment horizontal="left" vertical="top"/>
    </xf>
    <xf numFmtId="1" fontId="27" fillId="0" borderId="18" xfId="1" applyNumberFormat="1" applyFont="1" applyFill="1" applyBorder="1" applyAlignment="1" applyProtection="1">
      <alignment horizontal="right" vertical="top"/>
    </xf>
    <xf numFmtId="2" fontId="27" fillId="0" borderId="18" xfId="1" applyNumberFormat="1" applyFont="1" applyFill="1" applyBorder="1" applyAlignment="1" applyProtection="1">
      <alignment horizontal="right" vertical="top"/>
    </xf>
    <xf numFmtId="2" fontId="27" fillId="0" borderId="18" xfId="2" applyNumberFormat="1" applyFont="1" applyFill="1" applyBorder="1" applyAlignment="1">
      <alignment horizontal="right" vertical="top"/>
    </xf>
    <xf numFmtId="0" fontId="27" fillId="0" borderId="0" xfId="1" applyFont="1" applyFill="1" applyBorder="1" applyAlignment="1">
      <alignment vertical="center"/>
    </xf>
    <xf numFmtId="0" fontId="22" fillId="0" borderId="0" xfId="1" applyFont="1" applyFill="1" applyBorder="1" applyAlignment="1"/>
    <xf numFmtId="0" fontId="22" fillId="0" borderId="0" xfId="2" applyFont="1" applyFill="1" applyBorder="1" applyAlignment="1">
      <alignment horizontal="left" vertical="top"/>
    </xf>
    <xf numFmtId="0" fontId="22" fillId="0" borderId="18" xfId="0" applyFont="1" applyFill="1" applyBorder="1" applyAlignment="1">
      <alignment vertical="top"/>
    </xf>
    <xf numFmtId="0" fontId="22" fillId="0" borderId="18" xfId="0" applyFont="1" applyFill="1" applyBorder="1" applyAlignment="1">
      <alignment horizontal="center" vertical="top"/>
    </xf>
    <xf numFmtId="1" fontId="22" fillId="0" borderId="18" xfId="1" applyNumberFormat="1" applyFont="1" applyFill="1" applyBorder="1" applyAlignment="1" applyProtection="1">
      <alignment horizontal="right" vertical="top"/>
    </xf>
    <xf numFmtId="2" fontId="22" fillId="0" borderId="18" xfId="2" applyNumberFormat="1" applyFont="1" applyFill="1" applyBorder="1" applyAlignment="1">
      <alignment horizontal="right" vertical="top"/>
    </xf>
    <xf numFmtId="0" fontId="22" fillId="0" borderId="18" xfId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top"/>
    </xf>
    <xf numFmtId="2" fontId="25" fillId="0" borderId="18" xfId="1" applyNumberFormat="1" applyFont="1" applyFill="1" applyBorder="1" applyAlignment="1" applyProtection="1">
      <alignment horizontal="right" vertical="top"/>
    </xf>
    <xf numFmtId="0" fontId="25" fillId="0" borderId="0" xfId="1" applyFont="1" applyFill="1" applyBorder="1" applyAlignment="1"/>
    <xf numFmtId="0" fontId="25" fillId="0" borderId="0" xfId="2" applyFont="1" applyFill="1" applyBorder="1" applyAlignment="1">
      <alignment horizontal="left" vertical="top"/>
    </xf>
    <xf numFmtId="1" fontId="25" fillId="0" borderId="18" xfId="1" applyNumberFormat="1" applyFont="1" applyFill="1" applyBorder="1" applyAlignment="1" applyProtection="1">
      <alignment horizontal="right" vertical="top"/>
    </xf>
    <xf numFmtId="0" fontId="25" fillId="0" borderId="18" xfId="1" applyFont="1" applyFill="1" applyBorder="1" applyAlignment="1">
      <alignment vertical="center"/>
    </xf>
    <xf numFmtId="1" fontId="29" fillId="0" borderId="18" xfId="1" applyNumberFormat="1" applyFont="1" applyFill="1" applyBorder="1" applyAlignment="1" applyProtection="1">
      <alignment horizontal="right" vertical="top"/>
    </xf>
    <xf numFmtId="2" fontId="29" fillId="0" borderId="18" xfId="1" applyNumberFormat="1" applyFont="1" applyFill="1" applyBorder="1" applyAlignment="1" applyProtection="1">
      <alignment horizontal="right" vertical="top"/>
    </xf>
    <xf numFmtId="2" fontId="29" fillId="0" borderId="18" xfId="2" applyNumberFormat="1" applyFont="1" applyFill="1" applyBorder="1" applyAlignment="1">
      <alignment horizontal="right" vertical="top"/>
    </xf>
    <xf numFmtId="0" fontId="30" fillId="0" borderId="18" xfId="0" applyFont="1" applyFill="1" applyBorder="1" applyAlignment="1">
      <alignment horizontal="center" vertical="top"/>
    </xf>
    <xf numFmtId="2" fontId="24" fillId="0" borderId="18" xfId="1" applyNumberFormat="1" applyFont="1" applyFill="1" applyBorder="1" applyAlignment="1" applyProtection="1">
      <alignment horizontal="right" vertical="top"/>
    </xf>
    <xf numFmtId="1" fontId="5" fillId="0" borderId="0" xfId="1" applyNumberFormat="1" applyFont="1" applyFill="1" applyAlignment="1">
      <alignment vertical="center"/>
    </xf>
    <xf numFmtId="0" fontId="18" fillId="0" borderId="0" xfId="1" applyFont="1" applyFill="1" applyAlignment="1">
      <alignment vertical="center"/>
    </xf>
    <xf numFmtId="0" fontId="19" fillId="0" borderId="0" xfId="1" applyFont="1" applyFill="1" applyAlignment="1">
      <alignment horizontal="left" vertical="center"/>
    </xf>
    <xf numFmtId="2" fontId="19" fillId="0" borderId="0" xfId="1" applyNumberFormat="1" applyFont="1" applyFill="1" applyAlignment="1">
      <alignment horizontal="right" vertical="center"/>
    </xf>
    <xf numFmtId="0" fontId="19" fillId="0" borderId="0" xfId="1" applyNumberFormat="1" applyFont="1" applyFill="1" applyAlignment="1">
      <alignment horizontal="center" vertical="center"/>
    </xf>
    <xf numFmtId="2" fontId="19" fillId="0" borderId="0" xfId="1" applyNumberFormat="1" applyFont="1" applyFill="1" applyAlignment="1">
      <alignment horizontal="center" vertical="center"/>
    </xf>
    <xf numFmtId="0" fontId="19" fillId="0" borderId="0" xfId="1" applyNumberFormat="1" applyFont="1" applyFill="1" applyAlignment="1">
      <alignment vertical="center"/>
    </xf>
    <xf numFmtId="2" fontId="18" fillId="0" borderId="0" xfId="1" applyNumberFormat="1" applyFont="1" applyFill="1" applyAlignment="1">
      <alignment vertical="center"/>
    </xf>
    <xf numFmtId="2" fontId="5" fillId="0" borderId="18" xfId="1" applyNumberFormat="1" applyFont="1" applyFill="1" applyBorder="1" applyAlignment="1" applyProtection="1">
      <alignment horizontal="right" vertical="top"/>
    </xf>
    <xf numFmtId="0" fontId="18" fillId="2" borderId="5" xfId="1" applyNumberFormat="1" applyFont="1" applyFill="1" applyBorder="1" applyAlignment="1">
      <alignment vertical="center"/>
    </xf>
    <xf numFmtId="0" fontId="18" fillId="2" borderId="10" xfId="1" applyNumberFormat="1" applyFont="1" applyFill="1" applyBorder="1" applyAlignment="1">
      <alignment vertical="center"/>
    </xf>
    <xf numFmtId="0" fontId="18" fillId="0" borderId="0" xfId="1" applyNumberFormat="1" applyFont="1" applyFill="1" applyAlignment="1">
      <alignment vertical="center"/>
    </xf>
    <xf numFmtId="0" fontId="15" fillId="0" borderId="18" xfId="0" applyFont="1" applyFill="1" applyBorder="1" applyAlignment="1">
      <alignment horizontal="center" vertical="top"/>
    </xf>
    <xf numFmtId="0" fontId="25" fillId="0" borderId="18" xfId="0" applyFont="1" applyBorder="1" applyAlignment="1">
      <alignment vertical="top"/>
    </xf>
    <xf numFmtId="0" fontId="25" fillId="0" borderId="18" xfId="0" applyFont="1" applyBorder="1" applyAlignment="1">
      <alignment horizontal="center" vertical="top"/>
    </xf>
    <xf numFmtId="0" fontId="30" fillId="0" borderId="18" xfId="0" applyFont="1" applyBorder="1" applyAlignment="1">
      <alignment horizontal="center" vertical="top"/>
    </xf>
    <xf numFmtId="0" fontId="34" fillId="0" borderId="0" xfId="0" applyFont="1"/>
    <xf numFmtId="0" fontId="34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6" fillId="0" borderId="0" xfId="0" applyFont="1"/>
    <xf numFmtId="0" fontId="37" fillId="0" borderId="37" xfId="4" applyFont="1" applyFill="1" applyBorder="1" applyAlignment="1">
      <alignment horizontal="center" vertical="top" wrapText="1"/>
    </xf>
    <xf numFmtId="0" fontId="34" fillId="0" borderId="0" xfId="0" applyFont="1" applyBorder="1" applyAlignment="1">
      <alignment horizontal="center"/>
    </xf>
    <xf numFmtId="0" fontId="34" fillId="0" borderId="38" xfId="0" applyFont="1" applyBorder="1" applyAlignment="1">
      <alignment horizontal="center"/>
    </xf>
    <xf numFmtId="0" fontId="37" fillId="0" borderId="39" xfId="4" applyFont="1" applyFill="1" applyBorder="1" applyAlignment="1">
      <alignment horizontal="center" vertical="top" wrapText="1"/>
    </xf>
    <xf numFmtId="0" fontId="35" fillId="5" borderId="0" xfId="0" applyFont="1" applyFill="1"/>
    <xf numFmtId="0" fontId="34" fillId="5" borderId="0" xfId="0" applyFont="1" applyFill="1"/>
    <xf numFmtId="0" fontId="34" fillId="5" borderId="0" xfId="0" applyFont="1" applyFill="1" applyAlignment="1">
      <alignment horizontal="right"/>
    </xf>
    <xf numFmtId="0" fontId="35" fillId="5" borderId="24" xfId="0" applyFont="1" applyFill="1" applyBorder="1" applyAlignment="1">
      <alignment horizontal="center" vertical="center"/>
    </xf>
    <xf numFmtId="0" fontId="35" fillId="5" borderId="0" xfId="0" applyFont="1" applyFill="1" applyBorder="1" applyAlignment="1">
      <alignment horizontal="center" vertical="center"/>
    </xf>
    <xf numFmtId="0" fontId="35" fillId="5" borderId="28" xfId="0" applyFont="1" applyFill="1" applyBorder="1" applyAlignment="1">
      <alignment horizontal="center" vertical="center" wrapText="1"/>
    </xf>
    <xf numFmtId="0" fontId="35" fillId="5" borderId="29" xfId="0" applyFont="1" applyFill="1" applyBorder="1" applyAlignment="1">
      <alignment horizontal="center" vertical="center"/>
    </xf>
    <xf numFmtId="0" fontId="37" fillId="0" borderId="40" xfId="4" applyFont="1" applyFill="1" applyBorder="1" applyAlignment="1">
      <alignment horizontal="center" vertical="top" wrapText="1"/>
    </xf>
    <xf numFmtId="0" fontId="34" fillId="0" borderId="35" xfId="0" applyFont="1" applyBorder="1" applyAlignment="1">
      <alignment horizontal="center"/>
    </xf>
    <xf numFmtId="0" fontId="34" fillId="0" borderId="36" xfId="0" applyFont="1" applyBorder="1" applyAlignment="1">
      <alignment horizontal="center"/>
    </xf>
    <xf numFmtId="0" fontId="34" fillId="5" borderId="33" xfId="0" applyFont="1" applyFill="1" applyBorder="1" applyAlignment="1">
      <alignment horizontal="center" vertical="center"/>
    </xf>
    <xf numFmtId="2" fontId="34" fillId="5" borderId="0" xfId="0" applyNumberFormat="1" applyFont="1" applyFill="1" applyBorder="1" applyAlignment="1">
      <alignment horizontal="center" vertical="center"/>
    </xf>
    <xf numFmtId="2" fontId="34" fillId="5" borderId="34" xfId="0" applyNumberFormat="1" applyFont="1" applyFill="1" applyBorder="1" applyAlignment="1">
      <alignment horizontal="center" vertical="center"/>
    </xf>
    <xf numFmtId="166" fontId="34" fillId="5" borderId="35" xfId="0" applyNumberFormat="1" applyFont="1" applyFill="1" applyBorder="1" applyAlignment="1">
      <alignment horizontal="right" vertical="center"/>
    </xf>
    <xf numFmtId="0" fontId="34" fillId="5" borderId="36" xfId="0" applyFont="1" applyFill="1" applyBorder="1"/>
    <xf numFmtId="0" fontId="34" fillId="5" borderId="0" xfId="0" applyFont="1" applyFill="1" applyAlignment="1">
      <alignment vertical="center"/>
    </xf>
    <xf numFmtId="2" fontId="34" fillId="5" borderId="0" xfId="0" applyNumberFormat="1" applyFont="1" applyFill="1" applyAlignment="1">
      <alignment horizontal="center" vertical="center" wrapText="1"/>
    </xf>
    <xf numFmtId="0" fontId="34" fillId="5" borderId="0" xfId="0" applyFont="1" applyFill="1" applyBorder="1" applyAlignment="1">
      <alignment horizontal="center" vertical="center"/>
    </xf>
    <xf numFmtId="2" fontId="34" fillId="5" borderId="0" xfId="0" applyNumberFormat="1" applyFont="1" applyFill="1" applyBorder="1" applyAlignment="1">
      <alignment horizontal="right" vertical="center"/>
    </xf>
    <xf numFmtId="0" fontId="38" fillId="5" borderId="0" xfId="4" applyFont="1" applyFill="1" applyBorder="1" applyAlignment="1">
      <alignment vertical="top" wrapText="1"/>
    </xf>
    <xf numFmtId="0" fontId="38" fillId="5" borderId="0" xfId="4" applyFont="1" applyFill="1" applyBorder="1" applyAlignment="1">
      <alignment horizontal="left" vertical="top" wrapText="1"/>
    </xf>
    <xf numFmtId="0" fontId="38" fillId="5" borderId="0" xfId="4" applyFont="1" applyFill="1" applyBorder="1" applyAlignment="1">
      <alignment horizontal="right" vertical="top" wrapText="1"/>
    </xf>
    <xf numFmtId="0" fontId="34" fillId="0" borderId="23" xfId="0" applyFont="1" applyBorder="1" applyAlignment="1">
      <alignment horizontal="center"/>
    </xf>
    <xf numFmtId="0" fontId="35" fillId="0" borderId="0" xfId="0" applyFont="1"/>
    <xf numFmtId="0" fontId="34" fillId="0" borderId="0" xfId="0" applyFont="1" applyAlignment="1">
      <alignment horizontal="right"/>
    </xf>
    <xf numFmtId="0" fontId="35" fillId="0" borderId="28" xfId="0" applyFont="1" applyBorder="1" applyAlignment="1">
      <alignment horizontal="center"/>
    </xf>
    <xf numFmtId="0" fontId="35" fillId="0" borderId="41" xfId="0" applyFont="1" applyBorder="1" applyAlignment="1">
      <alignment horizontal="center"/>
    </xf>
    <xf numFmtId="0" fontId="35" fillId="0" borderId="41" xfId="0" applyFont="1" applyBorder="1" applyAlignment="1">
      <alignment horizontal="center" vertical="center"/>
    </xf>
    <xf numFmtId="0" fontId="35" fillId="0" borderId="29" xfId="0" applyFont="1" applyBorder="1" applyAlignment="1">
      <alignment horizontal="center"/>
    </xf>
    <xf numFmtId="0" fontId="35" fillId="0" borderId="62" xfId="0" applyFont="1" applyBorder="1" applyAlignment="1">
      <alignment horizontal="left"/>
    </xf>
    <xf numFmtId="0" fontId="35" fillId="0" borderId="55" xfId="0" applyFont="1" applyBorder="1" applyAlignment="1">
      <alignment horizontal="center"/>
    </xf>
    <xf numFmtId="0" fontId="35" fillId="0" borderId="55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/>
    </xf>
    <xf numFmtId="0" fontId="39" fillId="0" borderId="63" xfId="0" applyFont="1" applyBorder="1" applyAlignment="1">
      <alignment vertical="top"/>
    </xf>
    <xf numFmtId="0" fontId="34" fillId="0" borderId="18" xfId="0" applyFont="1" applyBorder="1" applyAlignment="1">
      <alignment horizontal="center"/>
    </xf>
    <xf numFmtId="2" fontId="34" fillId="0" borderId="18" xfId="0" applyNumberFormat="1" applyFont="1" applyBorder="1" applyAlignment="1">
      <alignment horizontal="center"/>
    </xf>
    <xf numFmtId="0" fontId="34" fillId="0" borderId="18" xfId="0" applyFont="1" applyBorder="1" applyAlignment="1">
      <alignment horizontal="right"/>
    </xf>
    <xf numFmtId="0" fontId="34" fillId="0" borderId="18" xfId="0" applyFont="1" applyBorder="1"/>
    <xf numFmtId="167" fontId="35" fillId="0" borderId="18" xfId="5" applyFont="1" applyBorder="1" applyAlignment="1">
      <alignment horizontal="right"/>
    </xf>
    <xf numFmtId="167" fontId="35" fillId="0" borderId="64" xfId="5" applyFont="1" applyBorder="1" applyAlignment="1">
      <alignment horizontal="right"/>
    </xf>
    <xf numFmtId="0" fontId="34" fillId="0" borderId="0" xfId="0" applyFont="1" applyBorder="1"/>
    <xf numFmtId="0" fontId="34" fillId="0" borderId="18" xfId="0" applyFont="1" applyFill="1" applyBorder="1" applyAlignment="1">
      <alignment horizontal="right"/>
    </xf>
    <xf numFmtId="0" fontId="34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34" fillId="0" borderId="3" xfId="0" applyFont="1" applyBorder="1" applyAlignment="1">
      <alignment horizontal="center"/>
    </xf>
    <xf numFmtId="0" fontId="37" fillId="0" borderId="42" xfId="4" applyFont="1" applyFill="1" applyBorder="1" applyAlignment="1">
      <alignment vertical="top" wrapText="1"/>
    </xf>
    <xf numFmtId="0" fontId="39" fillId="0" borderId="62" xfId="0" applyFont="1" applyBorder="1" applyAlignment="1">
      <alignment vertical="top"/>
    </xf>
    <xf numFmtId="167" fontId="34" fillId="0" borderId="46" xfId="5" applyFont="1" applyFill="1" applyBorder="1" applyAlignment="1">
      <alignment horizontal="center"/>
    </xf>
    <xf numFmtId="167" fontId="34" fillId="0" borderId="46" xfId="5" applyFont="1" applyBorder="1" applyAlignment="1">
      <alignment horizontal="center"/>
    </xf>
    <xf numFmtId="164" fontId="34" fillId="0" borderId="46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67" fontId="34" fillId="0" borderId="0" xfId="5" applyFont="1" applyFill="1" applyBorder="1" applyAlignment="1">
      <alignment horizontal="center"/>
    </xf>
    <xf numFmtId="164" fontId="34" fillId="0" borderId="0" xfId="0" applyNumberFormat="1" applyFont="1" applyBorder="1"/>
    <xf numFmtId="166" fontId="35" fillId="0" borderId="0" xfId="0" applyNumberFormat="1" applyFont="1" applyFill="1" applyBorder="1" applyAlignment="1">
      <alignment horizontal="right"/>
    </xf>
    <xf numFmtId="166" fontId="35" fillId="0" borderId="38" xfId="0" applyNumberFormat="1" applyFont="1" applyFill="1" applyBorder="1" applyAlignment="1">
      <alignment horizontal="right"/>
    </xf>
    <xf numFmtId="0" fontId="35" fillId="5" borderId="28" xfId="0" applyFont="1" applyFill="1" applyBorder="1" applyAlignment="1">
      <alignment horizontal="center" vertical="center"/>
    </xf>
    <xf numFmtId="0" fontId="35" fillId="5" borderId="41" xfId="0" applyFont="1" applyFill="1" applyBorder="1" applyAlignment="1">
      <alignment horizontal="center" vertical="center" wrapText="1"/>
    </xf>
    <xf numFmtId="0" fontId="35" fillId="5" borderId="41" xfId="0" applyFont="1" applyFill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35" fillId="0" borderId="41" xfId="0" applyFont="1" applyBorder="1" applyAlignment="1">
      <alignment horizontal="center" vertical="center" wrapText="1"/>
    </xf>
    <xf numFmtId="0" fontId="35" fillId="0" borderId="29" xfId="0" applyFont="1" applyBorder="1" applyAlignment="1">
      <alignment horizontal="center" vertical="center"/>
    </xf>
    <xf numFmtId="0" fontId="34" fillId="5" borderId="42" xfId="0" applyFont="1" applyFill="1" applyBorder="1"/>
    <xf numFmtId="0" fontId="34" fillId="5" borderId="43" xfId="0" applyFont="1" applyFill="1" applyBorder="1" applyAlignment="1">
      <alignment horizontal="center"/>
    </xf>
    <xf numFmtId="2" fontId="34" fillId="5" borderId="43" xfId="0" applyNumberFormat="1" applyFont="1" applyFill="1" applyBorder="1"/>
    <xf numFmtId="166" fontId="34" fillId="5" borderId="44" xfId="0" applyNumberFormat="1" applyFont="1" applyFill="1" applyBorder="1" applyAlignment="1">
      <alignment horizontal="right"/>
    </xf>
    <xf numFmtId="166" fontId="34" fillId="5" borderId="0" xfId="0" applyNumberFormat="1" applyFont="1" applyFill="1" applyBorder="1"/>
    <xf numFmtId="0" fontId="34" fillId="0" borderId="39" xfId="0" applyFont="1" applyBorder="1" applyAlignment="1">
      <alignment horizontal="center"/>
    </xf>
    <xf numFmtId="0" fontId="34" fillId="0" borderId="43" xfId="0" applyFont="1" applyBorder="1" applyAlignment="1">
      <alignment horizontal="center"/>
    </xf>
    <xf numFmtId="0" fontId="34" fillId="0" borderId="43" xfId="0" applyFont="1" applyBorder="1"/>
    <xf numFmtId="166" fontId="34" fillId="0" borderId="44" xfId="0" applyNumberFormat="1" applyFont="1" applyBorder="1"/>
    <xf numFmtId="0" fontId="34" fillId="5" borderId="34" xfId="0" applyFont="1" applyFill="1" applyBorder="1"/>
    <xf numFmtId="0" fontId="34" fillId="5" borderId="48" xfId="0" applyFont="1" applyFill="1" applyBorder="1" applyAlignment="1">
      <alignment horizontal="center"/>
    </xf>
    <xf numFmtId="2" fontId="34" fillId="5" borderId="48" xfId="0" applyNumberFormat="1" applyFont="1" applyFill="1" applyBorder="1"/>
    <xf numFmtId="166" fontId="34" fillId="5" borderId="49" xfId="0" applyNumberFormat="1" applyFont="1" applyFill="1" applyBorder="1" applyAlignment="1">
      <alignment horizontal="right"/>
    </xf>
    <xf numFmtId="0" fontId="35" fillId="5" borderId="0" xfId="0" applyFont="1" applyFill="1" applyAlignment="1">
      <alignment horizontal="center"/>
    </xf>
    <xf numFmtId="166" fontId="34" fillId="0" borderId="34" xfId="0" applyNumberFormat="1" applyFont="1" applyBorder="1"/>
    <xf numFmtId="9" fontId="34" fillId="0" borderId="49" xfId="3" applyFont="1" applyBorder="1" applyAlignment="1">
      <alignment horizontal="center"/>
    </xf>
    <xf numFmtId="0" fontId="35" fillId="0" borderId="39" xfId="0" applyFont="1" applyBorder="1" applyAlignment="1">
      <alignment horizontal="center"/>
    </xf>
    <xf numFmtId="0" fontId="34" fillId="0" borderId="46" xfId="0" applyFont="1" applyBorder="1" applyAlignment="1">
      <alignment horizontal="center"/>
    </xf>
    <xf numFmtId="0" fontId="35" fillId="5" borderId="0" xfId="0" applyFont="1" applyFill="1" applyBorder="1"/>
    <xf numFmtId="0" fontId="34" fillId="5" borderId="0" xfId="0" applyFont="1" applyFill="1" applyBorder="1" applyAlignment="1">
      <alignment horizontal="center"/>
    </xf>
    <xf numFmtId="0" fontId="34" fillId="5" borderId="0" xfId="0" applyFont="1" applyFill="1" applyBorder="1"/>
    <xf numFmtId="168" fontId="34" fillId="5" borderId="0" xfId="0" applyNumberFormat="1" applyFont="1" applyFill="1" applyBorder="1" applyAlignment="1">
      <alignment horizontal="right"/>
    </xf>
    <xf numFmtId="166" fontId="34" fillId="5" borderId="34" xfId="0" applyNumberFormat="1" applyFont="1" applyFill="1" applyBorder="1"/>
    <xf numFmtId="9" fontId="34" fillId="5" borderId="49" xfId="3" applyFont="1" applyFill="1" applyBorder="1" applyAlignment="1">
      <alignment horizontal="center"/>
    </xf>
    <xf numFmtId="0" fontId="35" fillId="0" borderId="40" xfId="0" applyFont="1" applyBorder="1" applyAlignment="1">
      <alignment horizontal="center"/>
    </xf>
    <xf numFmtId="0" fontId="34" fillId="0" borderId="48" xfId="0" applyFont="1" applyBorder="1" applyAlignment="1">
      <alignment horizontal="center"/>
    </xf>
    <xf numFmtId="0" fontId="34" fillId="0" borderId="50" xfId="0" applyFont="1" applyBorder="1"/>
    <xf numFmtId="166" fontId="34" fillId="0" borderId="51" xfId="0" applyNumberFormat="1" applyFont="1" applyBorder="1"/>
    <xf numFmtId="166" fontId="34" fillId="5" borderId="0" xfId="0" applyNumberFormat="1" applyFont="1" applyFill="1"/>
    <xf numFmtId="0" fontId="35" fillId="0" borderId="52" xfId="0" applyFont="1" applyBorder="1" applyAlignment="1">
      <alignment horizontal="center" vertical="center"/>
    </xf>
    <xf numFmtId="0" fontId="35" fillId="0" borderId="53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right" vertical="center"/>
    </xf>
    <xf numFmtId="0" fontId="35" fillId="0" borderId="53" xfId="0" applyFont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25" xfId="0" applyFont="1" applyBorder="1"/>
    <xf numFmtId="0" fontId="34" fillId="0" borderId="53" xfId="0" applyFont="1" applyBorder="1"/>
    <xf numFmtId="166" fontId="35" fillId="0" borderId="53" xfId="0" applyNumberFormat="1" applyFont="1" applyBorder="1"/>
    <xf numFmtId="166" fontId="35" fillId="0" borderId="27" xfId="0" applyNumberFormat="1" applyFont="1" applyBorder="1"/>
    <xf numFmtId="169" fontId="34" fillId="0" borderId="50" xfId="0" applyNumberFormat="1" applyFont="1" applyBorder="1"/>
    <xf numFmtId="0" fontId="34" fillId="0" borderId="72" xfId="0" applyFont="1" applyBorder="1" applyAlignment="1">
      <alignment horizontal="center"/>
    </xf>
    <xf numFmtId="2" fontId="34" fillId="0" borderId="72" xfId="0" applyNumberFormat="1" applyFont="1" applyBorder="1" applyAlignment="1">
      <alignment horizontal="right" vertical="center"/>
    </xf>
    <xf numFmtId="2" fontId="34" fillId="0" borderId="72" xfId="0" applyNumberFormat="1" applyFont="1" applyBorder="1" applyAlignment="1">
      <alignment horizontal="center" vertical="center"/>
    </xf>
    <xf numFmtId="167" fontId="34" fillId="0" borderId="72" xfId="5" applyFont="1" applyBorder="1" applyAlignment="1">
      <alignment horizontal="center" vertical="center"/>
    </xf>
    <xf numFmtId="166" fontId="35" fillId="0" borderId="73" xfId="0" applyNumberFormat="1" applyFont="1" applyBorder="1"/>
    <xf numFmtId="166" fontId="35" fillId="0" borderId="47" xfId="0" applyNumberFormat="1" applyFont="1" applyBorder="1"/>
    <xf numFmtId="166" fontId="35" fillId="0" borderId="61" xfId="0" applyNumberFormat="1" applyFont="1" applyBorder="1"/>
    <xf numFmtId="2" fontId="34" fillId="0" borderId="0" xfId="0" applyNumberFormat="1" applyFont="1" applyBorder="1" applyAlignment="1">
      <alignment horizontal="right" vertical="center"/>
    </xf>
    <xf numFmtId="2" fontId="34" fillId="0" borderId="0" xfId="0" applyNumberFormat="1" applyFont="1" applyBorder="1" applyAlignment="1">
      <alignment horizontal="center" vertical="center"/>
    </xf>
    <xf numFmtId="0" fontId="35" fillId="0" borderId="45" xfId="0" applyFont="1" applyBorder="1"/>
    <xf numFmtId="0" fontId="34" fillId="0" borderId="46" xfId="0" applyFont="1" applyBorder="1"/>
    <xf numFmtId="166" fontId="35" fillId="0" borderId="46" xfId="0" applyNumberFormat="1" applyFont="1" applyBorder="1"/>
    <xf numFmtId="2" fontId="34" fillId="0" borderId="46" xfId="0" applyNumberFormat="1" applyFont="1" applyBorder="1" applyAlignment="1">
      <alignment horizontal="right" vertical="center"/>
    </xf>
    <xf numFmtId="2" fontId="34" fillId="0" borderId="46" xfId="0" applyNumberFormat="1" applyFont="1" applyBorder="1" applyAlignment="1">
      <alignment horizontal="center" vertical="center"/>
    </xf>
    <xf numFmtId="166" fontId="34" fillId="0" borderId="46" xfId="0" applyNumberFormat="1" applyFont="1" applyBorder="1" applyAlignment="1">
      <alignment horizontal="center"/>
    </xf>
    <xf numFmtId="0" fontId="34" fillId="0" borderId="34" xfId="0" applyFont="1" applyBorder="1"/>
    <xf numFmtId="0" fontId="34" fillId="0" borderId="48" xfId="0" applyFont="1" applyBorder="1"/>
    <xf numFmtId="0" fontId="34" fillId="0" borderId="48" xfId="0" applyFont="1" applyBorder="1" applyAlignment="1">
      <alignment horizontal="right"/>
    </xf>
    <xf numFmtId="0" fontId="34" fillId="0" borderId="49" xfId="0" applyFont="1" applyBorder="1"/>
    <xf numFmtId="0" fontId="35" fillId="0" borderId="27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vertical="center"/>
    </xf>
    <xf numFmtId="0" fontId="34" fillId="0" borderId="0" xfId="0" applyFont="1" applyFill="1"/>
    <xf numFmtId="0" fontId="34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/>
    </xf>
    <xf numFmtId="0" fontId="36" fillId="0" borderId="0" xfId="0" applyFont="1" applyFill="1"/>
    <xf numFmtId="0" fontId="35" fillId="0" borderId="49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right" vertical="center"/>
    </xf>
    <xf numFmtId="0" fontId="35" fillId="0" borderId="42" xfId="0" applyFont="1" applyFill="1" applyBorder="1" applyAlignment="1">
      <alignment horizontal="left"/>
    </xf>
    <xf numFmtId="0" fontId="35" fillId="0" borderId="43" xfId="0" applyFont="1" applyFill="1" applyBorder="1" applyAlignment="1">
      <alignment horizontal="center"/>
    </xf>
    <xf numFmtId="0" fontId="35" fillId="0" borderId="44" xfId="0" applyFont="1" applyFill="1" applyBorder="1"/>
    <xf numFmtId="0" fontId="35" fillId="0" borderId="0" xfId="0" applyFont="1" applyFill="1" applyBorder="1" applyAlignment="1">
      <alignment horizontal="right"/>
    </xf>
    <xf numFmtId="0" fontId="35" fillId="0" borderId="0" xfId="0" applyFont="1" applyFill="1"/>
    <xf numFmtId="0" fontId="35" fillId="0" borderId="0" xfId="0" applyFont="1" applyFill="1" applyAlignment="1">
      <alignment horizontal="center"/>
    </xf>
    <xf numFmtId="0" fontId="40" fillId="0" borderId="0" xfId="0" applyFont="1" applyFill="1" applyAlignment="1">
      <alignment horizontal="center"/>
    </xf>
    <xf numFmtId="0" fontId="40" fillId="0" borderId="0" xfId="0" applyFont="1" applyFill="1"/>
    <xf numFmtId="0" fontId="34" fillId="0" borderId="45" xfId="0" applyFont="1" applyFill="1" applyBorder="1"/>
    <xf numFmtId="0" fontId="34" fillId="0" borderId="46" xfId="0" applyFont="1" applyFill="1" applyBorder="1" applyAlignment="1">
      <alignment horizontal="center"/>
    </xf>
    <xf numFmtId="166" fontId="34" fillId="0" borderId="47" xfId="0" applyNumberFormat="1" applyFont="1" applyFill="1" applyBorder="1"/>
    <xf numFmtId="166" fontId="34" fillId="0" borderId="0" xfId="0" applyNumberFormat="1" applyFont="1" applyFill="1" applyBorder="1" applyAlignment="1">
      <alignment horizontal="right"/>
    </xf>
    <xf numFmtId="0" fontId="34" fillId="0" borderId="37" xfId="0" applyFont="1" applyFill="1" applyBorder="1"/>
    <xf numFmtId="0" fontId="34" fillId="0" borderId="57" xfId="0" applyFont="1" applyFill="1" applyBorder="1" applyAlignment="1">
      <alignment horizontal="center"/>
    </xf>
    <xf numFmtId="166" fontId="34" fillId="0" borderId="58" xfId="0" applyNumberFormat="1" applyFont="1" applyFill="1" applyBorder="1"/>
    <xf numFmtId="166" fontId="34" fillId="0" borderId="49" xfId="0" applyNumberFormat="1" applyFont="1" applyBorder="1"/>
    <xf numFmtId="166" fontId="34" fillId="0" borderId="0" xfId="0" applyNumberFormat="1" applyFont="1" applyBorder="1" applyAlignment="1">
      <alignment horizontal="right"/>
    </xf>
    <xf numFmtId="166" fontId="35" fillId="0" borderId="43" xfId="0" applyNumberFormat="1" applyFont="1" applyBorder="1"/>
    <xf numFmtId="166" fontId="35" fillId="0" borderId="44" xfId="0" applyNumberFormat="1" applyFont="1" applyBorder="1"/>
    <xf numFmtId="2" fontId="18" fillId="3" borderId="16" xfId="1" applyNumberFormat="1" applyFont="1" applyFill="1" applyBorder="1" applyAlignment="1">
      <alignment horizontal="center" vertical="center" wrapText="1"/>
    </xf>
    <xf numFmtId="164" fontId="34" fillId="0" borderId="0" xfId="0" applyNumberFormat="1" applyFont="1" applyFill="1" applyBorder="1"/>
    <xf numFmtId="0" fontId="35" fillId="0" borderId="42" xfId="0" applyFont="1" applyBorder="1"/>
    <xf numFmtId="166" fontId="34" fillId="0" borderId="43" xfId="0" applyNumberFormat="1" applyFont="1" applyBorder="1" applyAlignment="1">
      <alignment horizontal="center"/>
    </xf>
    <xf numFmtId="1" fontId="27" fillId="0" borderId="18" xfId="1" applyNumberFormat="1" applyFont="1" applyBorder="1" applyAlignment="1">
      <alignment horizontal="right" vertical="top"/>
    </xf>
    <xf numFmtId="2" fontId="27" fillId="0" borderId="18" xfId="1" applyNumberFormat="1" applyFont="1" applyBorder="1" applyAlignment="1">
      <alignment horizontal="right" vertical="top"/>
    </xf>
    <xf numFmtId="2" fontId="27" fillId="0" borderId="18" xfId="2" applyNumberFormat="1" applyFont="1" applyBorder="1" applyAlignment="1">
      <alignment horizontal="right" vertical="top"/>
    </xf>
    <xf numFmtId="2" fontId="25" fillId="0" borderId="18" xfId="1" applyNumberFormat="1" applyFont="1" applyBorder="1" applyAlignment="1">
      <alignment horizontal="right" vertical="top"/>
    </xf>
    <xf numFmtId="1" fontId="25" fillId="0" borderId="18" xfId="1" applyNumberFormat="1" applyFont="1" applyBorder="1" applyAlignment="1">
      <alignment horizontal="right" vertical="top"/>
    </xf>
    <xf numFmtId="2" fontId="25" fillId="0" borderId="18" xfId="2" applyNumberFormat="1" applyFont="1" applyBorder="1" applyAlignment="1">
      <alignment horizontal="right" vertical="top"/>
    </xf>
    <xf numFmtId="1" fontId="25" fillId="0" borderId="18" xfId="1" applyNumberFormat="1" applyFont="1" applyBorder="1" applyAlignment="1" applyProtection="1">
      <alignment horizontal="right" vertical="top"/>
      <protection locked="0"/>
    </xf>
    <xf numFmtId="2" fontId="27" fillId="0" borderId="18" xfId="1" applyNumberFormat="1" applyFont="1" applyBorder="1" applyAlignment="1" applyProtection="1">
      <alignment horizontal="right" vertical="top"/>
      <protection locked="0"/>
    </xf>
    <xf numFmtId="0" fontId="29" fillId="0" borderId="18" xfId="0" applyFont="1" applyBorder="1" applyAlignment="1">
      <alignment horizontal="center" vertical="top"/>
    </xf>
    <xf numFmtId="0" fontId="25" fillId="0" borderId="18" xfId="0" applyFont="1" applyBorder="1" applyAlignment="1">
      <alignment vertical="top" wrapText="1"/>
    </xf>
    <xf numFmtId="0" fontId="34" fillId="0" borderId="0" xfId="0" applyFont="1" applyAlignment="1">
      <alignment horizontal="center"/>
    </xf>
    <xf numFmtId="2" fontId="16" fillId="0" borderId="18" xfId="1" applyNumberFormat="1" applyFont="1" applyFill="1" applyBorder="1" applyAlignment="1">
      <alignment vertical="center"/>
    </xf>
    <xf numFmtId="0" fontId="34" fillId="0" borderId="0" xfId="0" applyFont="1" applyAlignment="1">
      <alignment horizontal="center"/>
    </xf>
    <xf numFmtId="0" fontId="39" fillId="0" borderId="62" xfId="4" applyFont="1" applyFill="1" applyBorder="1" applyAlignment="1">
      <alignment vertical="top" wrapText="1"/>
    </xf>
    <xf numFmtId="0" fontId="34" fillId="0" borderId="0" xfId="0" applyFont="1" applyBorder="1" applyAlignment="1">
      <alignment horizontal="center"/>
    </xf>
    <xf numFmtId="167" fontId="34" fillId="0" borderId="0" xfId="5" applyFont="1" applyBorder="1" applyAlignment="1">
      <alignment horizontal="center" vertical="center"/>
    </xf>
    <xf numFmtId="0" fontId="34" fillId="0" borderId="0" xfId="0" applyFont="1" applyFill="1" applyBorder="1"/>
    <xf numFmtId="0" fontId="24" fillId="0" borderId="0" xfId="0" applyFont="1" applyFill="1" applyBorder="1" applyAlignment="1">
      <alignment vertical="top"/>
    </xf>
    <xf numFmtId="2" fontId="29" fillId="0" borderId="0" xfId="1" applyNumberFormat="1" applyFont="1" applyFill="1" applyBorder="1" applyAlignment="1" applyProtection="1">
      <alignment horizontal="right" vertical="top"/>
    </xf>
    <xf numFmtId="0" fontId="22" fillId="0" borderId="0" xfId="0" applyFont="1" applyFill="1" applyBorder="1" applyAlignment="1">
      <alignment vertical="top"/>
    </xf>
    <xf numFmtId="0" fontId="22" fillId="0" borderId="0" xfId="0" applyFont="1" applyFill="1" applyBorder="1" applyAlignment="1">
      <alignment horizontal="center" vertical="top"/>
    </xf>
    <xf numFmtId="2" fontId="22" fillId="0" borderId="0" xfId="1" applyNumberFormat="1" applyFont="1" applyFill="1" applyBorder="1" applyAlignment="1" applyProtection="1">
      <alignment horizontal="right" vertical="top"/>
    </xf>
    <xf numFmtId="0" fontId="25" fillId="0" borderId="0" xfId="0" applyFont="1" applyFill="1" applyBorder="1" applyAlignment="1">
      <alignment vertical="top"/>
    </xf>
    <xf numFmtId="0" fontId="25" fillId="0" borderId="0" xfId="0" applyFont="1" applyFill="1" applyBorder="1" applyAlignment="1">
      <alignment horizontal="center" vertical="top"/>
    </xf>
    <xf numFmtId="2" fontId="25" fillId="0" borderId="0" xfId="1" applyNumberFormat="1" applyFont="1" applyFill="1" applyBorder="1" applyAlignment="1" applyProtection="1">
      <alignment horizontal="right" vertical="top"/>
    </xf>
    <xf numFmtId="0" fontId="30" fillId="0" borderId="0" xfId="0" applyFont="1" applyFill="1" applyBorder="1" applyAlignment="1">
      <alignment horizontal="center" vertical="top"/>
    </xf>
    <xf numFmtId="0" fontId="25" fillId="0" borderId="0" xfId="0" applyFont="1" applyFill="1" applyBorder="1" applyAlignment="1">
      <alignment vertical="top" wrapText="1"/>
    </xf>
    <xf numFmtId="2" fontId="25" fillId="0" borderId="0" xfId="1" applyNumberFormat="1" applyFont="1" applyFill="1" applyBorder="1" applyAlignment="1" applyProtection="1">
      <alignment horizontal="right" vertical="top"/>
      <protection locked="0"/>
    </xf>
    <xf numFmtId="0" fontId="29" fillId="0" borderId="0" xfId="0" applyFont="1" applyFill="1" applyBorder="1" applyAlignment="1">
      <alignment horizontal="center" vertical="top"/>
    </xf>
    <xf numFmtId="2" fontId="24" fillId="0" borderId="0" xfId="1" applyNumberFormat="1" applyFont="1" applyFill="1" applyBorder="1" applyAlignment="1" applyProtection="1">
      <alignment horizontal="right" vertical="top"/>
      <protection locked="0"/>
    </xf>
    <xf numFmtId="0" fontId="32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top"/>
    </xf>
    <xf numFmtId="0" fontId="12" fillId="0" borderId="0" xfId="1" quotePrefix="1" applyFont="1" applyFill="1" applyBorder="1" applyAlignment="1">
      <alignment horizontal="left" vertical="center"/>
    </xf>
    <xf numFmtId="2" fontId="12" fillId="0" borderId="0" xfId="1" applyNumberFormat="1" applyFont="1" applyFill="1" applyBorder="1" applyAlignment="1">
      <alignment vertical="center"/>
    </xf>
    <xf numFmtId="0" fontId="41" fillId="0" borderId="0" xfId="0" applyFont="1" applyFill="1" applyBorder="1" applyAlignment="1">
      <alignment vertical="top"/>
    </xf>
    <xf numFmtId="2" fontId="41" fillId="0" borderId="0" xfId="2" applyNumberFormat="1" applyFont="1" applyFill="1" applyBorder="1" applyAlignment="1">
      <alignment horizontal="right" vertical="top"/>
    </xf>
    <xf numFmtId="2" fontId="42" fillId="0" borderId="0" xfId="1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vertical="top"/>
    </xf>
    <xf numFmtId="0" fontId="12" fillId="0" borderId="0" xfId="0" applyFont="1" applyFill="1" applyBorder="1" applyAlignment="1">
      <alignment horizontal="left" vertical="top"/>
    </xf>
    <xf numFmtId="2" fontId="12" fillId="0" borderId="0" xfId="2" applyNumberFormat="1" applyFont="1" applyFill="1" applyBorder="1" applyAlignment="1">
      <alignment horizontal="right" vertical="top"/>
    </xf>
    <xf numFmtId="0" fontId="41" fillId="0" borderId="0" xfId="0" applyFont="1" applyFill="1" applyBorder="1" applyAlignment="1">
      <alignment vertical="top" wrapText="1"/>
    </xf>
    <xf numFmtId="0" fontId="42" fillId="0" borderId="0" xfId="1" applyFont="1" applyFill="1" applyBorder="1" applyAlignment="1">
      <alignment vertical="center"/>
    </xf>
    <xf numFmtId="0" fontId="8" fillId="0" borderId="0" xfId="0" applyFont="1" applyFill="1" applyBorder="1" applyAlignment="1">
      <alignment vertical="top"/>
    </xf>
    <xf numFmtId="2" fontId="8" fillId="0" borderId="0" xfId="0" applyNumberFormat="1" applyFont="1" applyFill="1" applyBorder="1" applyAlignment="1">
      <alignment vertical="top"/>
    </xf>
    <xf numFmtId="0" fontId="3" fillId="2" borderId="4" xfId="1" applyFont="1" applyFill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0" fontId="3" fillId="2" borderId="9" xfId="1" applyFont="1" applyFill="1" applyBorder="1" applyAlignment="1">
      <alignment vertical="center"/>
    </xf>
    <xf numFmtId="0" fontId="12" fillId="0" borderId="0" xfId="1" quotePrefix="1" applyFont="1" applyFill="1" applyBorder="1" applyAlignment="1">
      <alignment vertical="center"/>
    </xf>
    <xf numFmtId="0" fontId="43" fillId="0" borderId="18" xfId="1" quotePrefix="1" applyFont="1" applyFill="1" applyBorder="1" applyAlignment="1">
      <alignment horizontal="left" vertical="center"/>
    </xf>
    <xf numFmtId="0" fontId="44" fillId="0" borderId="18" xfId="0" applyFont="1" applyFill="1" applyBorder="1" applyAlignment="1">
      <alignment vertical="top"/>
    </xf>
    <xf numFmtId="0" fontId="45" fillId="0" borderId="18" xfId="0" applyFont="1" applyFill="1" applyBorder="1" applyAlignment="1">
      <alignment vertical="top"/>
    </xf>
    <xf numFmtId="0" fontId="34" fillId="0" borderId="0" xfId="0" applyFont="1" applyBorder="1" applyAlignment="1">
      <alignment horizontal="center"/>
    </xf>
    <xf numFmtId="1" fontId="22" fillId="0" borderId="18" xfId="1" applyNumberFormat="1" applyFont="1" applyBorder="1" applyAlignment="1" applyProtection="1">
      <alignment horizontal="right" vertical="top"/>
      <protection locked="0"/>
    </xf>
    <xf numFmtId="2" fontId="22" fillId="0" borderId="18" xfId="1" applyNumberFormat="1" applyFont="1" applyBorder="1" applyAlignment="1" applyProtection="1">
      <alignment horizontal="right" vertical="top"/>
      <protection locked="0"/>
    </xf>
    <xf numFmtId="1" fontId="22" fillId="0" borderId="18" xfId="1" applyNumberFormat="1" applyFont="1" applyBorder="1" applyAlignment="1">
      <alignment horizontal="right" vertical="top"/>
    </xf>
    <xf numFmtId="2" fontId="22" fillId="0" borderId="18" xfId="1" applyNumberFormat="1" applyFont="1" applyBorder="1" applyAlignment="1">
      <alignment horizontal="right" vertical="top"/>
    </xf>
    <xf numFmtId="0" fontId="27" fillId="0" borderId="18" xfId="0" applyFont="1" applyBorder="1" applyAlignment="1">
      <alignment horizontal="center" vertical="top"/>
    </xf>
    <xf numFmtId="0" fontId="34" fillId="0" borderId="0" xfId="0" applyFont="1" applyBorder="1" applyAlignment="1">
      <alignment horizontal="center"/>
    </xf>
    <xf numFmtId="166" fontId="34" fillId="0" borderId="0" xfId="0" applyNumberFormat="1" applyFont="1" applyBorder="1"/>
    <xf numFmtId="0" fontId="28" fillId="0" borderId="18" xfId="0" applyFont="1" applyFill="1" applyBorder="1" applyAlignment="1">
      <alignment horizontal="center" vertical="top"/>
    </xf>
    <xf numFmtId="0" fontId="34" fillId="0" borderId="0" xfId="0" applyFont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35" fillId="0" borderId="38" xfId="0" applyFont="1" applyBorder="1" applyAlignment="1">
      <alignment horizontal="center"/>
    </xf>
    <xf numFmtId="0" fontId="39" fillId="0" borderId="62" xfId="0" applyFont="1" applyFill="1" applyBorder="1" applyAlignment="1">
      <alignment vertical="top"/>
    </xf>
    <xf numFmtId="1" fontId="25" fillId="0" borderId="18" xfId="0" applyNumberFormat="1" applyFont="1" applyFill="1" applyBorder="1" applyAlignment="1">
      <alignment horizontal="center" vertical="top"/>
    </xf>
    <xf numFmtId="0" fontId="34" fillId="0" borderId="0" xfId="0" applyFont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44" fillId="0" borderId="18" xfId="0" applyFont="1" applyFill="1" applyBorder="1" applyAlignment="1">
      <alignment horizontal="left" vertical="top" indent="1"/>
    </xf>
    <xf numFmtId="0" fontId="25" fillId="0" borderId="18" xfId="0" applyFont="1" applyBorder="1" applyAlignment="1">
      <alignment horizontal="left" vertical="top" indent="2"/>
    </xf>
    <xf numFmtId="0" fontId="27" fillId="0" borderId="18" xfId="0" applyFont="1" applyFill="1" applyBorder="1" applyAlignment="1">
      <alignment horizontal="left" vertical="top" wrapText="1" indent="3"/>
    </xf>
    <xf numFmtId="0" fontId="22" fillId="0" borderId="18" xfId="0" applyFont="1" applyFill="1" applyBorder="1" applyAlignment="1">
      <alignment horizontal="left" vertical="top" wrapText="1" indent="2"/>
    </xf>
    <xf numFmtId="0" fontId="27" fillId="0" borderId="18" xfId="0" applyFont="1" applyFill="1" applyBorder="1" applyAlignment="1">
      <alignment horizontal="left" vertical="top" indent="3"/>
    </xf>
    <xf numFmtId="0" fontId="28" fillId="0" borderId="18" xfId="0" applyFont="1" applyFill="1" applyBorder="1" applyAlignment="1">
      <alignment horizontal="left" vertical="top" indent="3"/>
    </xf>
    <xf numFmtId="0" fontId="28" fillId="0" borderId="18" xfId="0" applyFont="1" applyFill="1" applyBorder="1" applyAlignment="1">
      <alignment horizontal="left" vertical="center" indent="3"/>
    </xf>
    <xf numFmtId="0" fontId="25" fillId="0" borderId="18" xfId="0" applyFont="1" applyFill="1" applyBorder="1" applyAlignment="1">
      <alignment horizontal="left" vertical="top" indent="2"/>
    </xf>
    <xf numFmtId="0" fontId="25" fillId="0" borderId="18" xfId="0" applyFont="1" applyFill="1" applyBorder="1" applyAlignment="1">
      <alignment horizontal="left" vertical="top" wrapText="1" indent="2"/>
    </xf>
    <xf numFmtId="0" fontId="27" fillId="0" borderId="18" xfId="0" applyFont="1" applyBorder="1" applyAlignment="1">
      <alignment horizontal="left" vertical="top" indent="3"/>
    </xf>
    <xf numFmtId="164" fontId="45" fillId="0" borderId="18" xfId="0" quotePrefix="1" applyNumberFormat="1" applyFont="1" applyFill="1" applyBorder="1" applyAlignment="1">
      <alignment horizontal="right" vertical="center"/>
    </xf>
    <xf numFmtId="164" fontId="44" fillId="0" borderId="18" xfId="0" quotePrefix="1" applyNumberFormat="1" applyFont="1" applyFill="1" applyBorder="1" applyAlignment="1">
      <alignment horizontal="right" vertical="center"/>
    </xf>
    <xf numFmtId="164" fontId="26" fillId="0" borderId="18" xfId="0" quotePrefix="1" applyNumberFormat="1" applyFont="1" applyFill="1" applyBorder="1" applyAlignment="1">
      <alignment horizontal="right" vertical="center"/>
    </xf>
    <xf numFmtId="0" fontId="25" fillId="0" borderId="18" xfId="1" quotePrefix="1" applyFont="1" applyFill="1" applyBorder="1" applyAlignment="1">
      <alignment horizontal="right" vertical="top"/>
    </xf>
    <xf numFmtId="0" fontId="25" fillId="0" borderId="18" xfId="1" quotePrefix="1" applyFont="1" applyFill="1" applyBorder="1" applyAlignment="1">
      <alignment horizontal="right" vertical="center"/>
    </xf>
    <xf numFmtId="0" fontId="22" fillId="0" borderId="18" xfId="0" quotePrefix="1" applyFont="1" applyBorder="1" applyAlignment="1">
      <alignment horizontal="right" vertical="top"/>
    </xf>
    <xf numFmtId="164" fontId="26" fillId="0" borderId="18" xfId="0" quotePrefix="1" applyNumberFormat="1" applyFont="1" applyBorder="1" applyAlignment="1">
      <alignment horizontal="right" vertical="center"/>
    </xf>
    <xf numFmtId="0" fontId="18" fillId="0" borderId="0" xfId="1" applyFont="1" applyFill="1" applyAlignment="1">
      <alignment horizontal="right" vertical="center"/>
    </xf>
    <xf numFmtId="0" fontId="27" fillId="0" borderId="18" xfId="0" applyFont="1" applyFill="1" applyBorder="1" applyAlignment="1">
      <alignment horizontal="left" vertical="top" indent="4"/>
    </xf>
    <xf numFmtId="0" fontId="27" fillId="0" borderId="18" xfId="0" applyFont="1" applyBorder="1" applyAlignment="1">
      <alignment horizontal="center" vertical="center"/>
    </xf>
    <xf numFmtId="1" fontId="27" fillId="0" borderId="18" xfId="1" applyNumberFormat="1" applyFont="1" applyFill="1" applyBorder="1" applyAlignment="1" applyProtection="1">
      <alignment horizontal="right" vertical="center"/>
    </xf>
    <xf numFmtId="2" fontId="27" fillId="0" borderId="18" xfId="1" applyNumberFormat="1" applyFont="1" applyFill="1" applyBorder="1" applyAlignment="1" applyProtection="1">
      <alignment horizontal="right" vertical="center"/>
    </xf>
    <xf numFmtId="2" fontId="27" fillId="0" borderId="18" xfId="2" applyNumberFormat="1" applyFont="1" applyFill="1" applyBorder="1" applyAlignment="1">
      <alignment horizontal="right" vertical="center"/>
    </xf>
    <xf numFmtId="2" fontId="25" fillId="0" borderId="18" xfId="1" applyNumberFormat="1" applyFont="1" applyFill="1" applyBorder="1" applyAlignment="1" applyProtection="1">
      <alignment horizontal="right" vertical="center"/>
    </xf>
    <xf numFmtId="0" fontId="27" fillId="0" borderId="18" xfId="0" applyFont="1" applyFill="1" applyBorder="1" applyAlignment="1">
      <alignment horizontal="left" vertical="center" wrapText="1" indent="3"/>
    </xf>
    <xf numFmtId="0" fontId="27" fillId="0" borderId="0" xfId="2" applyFont="1" applyFill="1" applyBorder="1" applyAlignment="1">
      <alignment horizontal="left" vertical="center"/>
    </xf>
    <xf numFmtId="2" fontId="34" fillId="0" borderId="0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0" fontId="43" fillId="0" borderId="18" xfId="1" quotePrefix="1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top"/>
    </xf>
    <xf numFmtId="0" fontId="22" fillId="0" borderId="18" xfId="0" applyFont="1" applyBorder="1" applyAlignment="1">
      <alignment horizontal="center" vertical="top"/>
    </xf>
    <xf numFmtId="164" fontId="44" fillId="0" borderId="18" xfId="0" quotePrefix="1" applyNumberFormat="1" applyFont="1" applyFill="1" applyBorder="1" applyAlignment="1">
      <alignment horizontal="center" vertical="center"/>
    </xf>
    <xf numFmtId="164" fontId="26" fillId="0" borderId="18" xfId="0" quotePrefix="1" applyNumberFormat="1" applyFont="1" applyBorder="1" applyAlignment="1">
      <alignment horizontal="center" vertical="center"/>
    </xf>
    <xf numFmtId="0" fontId="4" fillId="2" borderId="10" xfId="1" applyFont="1" applyFill="1" applyBorder="1" applyAlignment="1">
      <alignment vertical="center"/>
    </xf>
    <xf numFmtId="0" fontId="18" fillId="0" borderId="76" xfId="1" applyFont="1" applyFill="1" applyBorder="1" applyAlignment="1">
      <alignment horizontal="center" vertical="center" textRotation="90"/>
    </xf>
    <xf numFmtId="0" fontId="18" fillId="0" borderId="76" xfId="1" applyNumberFormat="1" applyFont="1" applyFill="1" applyBorder="1" applyAlignment="1">
      <alignment horizontal="center" vertical="center" textRotation="90" wrapText="1"/>
    </xf>
    <xf numFmtId="2" fontId="18" fillId="0" borderId="76" xfId="1" applyNumberFormat="1" applyFont="1" applyFill="1" applyBorder="1" applyAlignment="1">
      <alignment horizontal="center" vertical="center"/>
    </xf>
    <xf numFmtId="2" fontId="18" fillId="0" borderId="76" xfId="1" applyNumberFormat="1" applyFont="1" applyFill="1" applyBorder="1" applyAlignment="1">
      <alignment horizontal="center" vertical="center" wrapText="1"/>
    </xf>
    <xf numFmtId="0" fontId="18" fillId="0" borderId="77" xfId="1" applyNumberFormat="1" applyFont="1" applyFill="1" applyBorder="1" applyAlignment="1">
      <alignment horizontal="center" vertical="center"/>
    </xf>
    <xf numFmtId="0" fontId="18" fillId="0" borderId="78" xfId="1" applyFont="1" applyFill="1" applyBorder="1" applyAlignment="1">
      <alignment horizontal="center" vertical="center"/>
    </xf>
    <xf numFmtId="0" fontId="18" fillId="0" borderId="77" xfId="1" applyFont="1" applyFill="1" applyBorder="1" applyAlignment="1">
      <alignment horizontal="center" vertical="center"/>
    </xf>
    <xf numFmtId="164" fontId="48" fillId="0" borderId="18" xfId="0" quotePrefix="1" applyNumberFormat="1" applyFont="1" applyFill="1" applyBorder="1" applyAlignment="1">
      <alignment horizontal="right" vertical="center"/>
    </xf>
    <xf numFmtId="0" fontId="48" fillId="0" borderId="76" xfId="1" applyFont="1" applyFill="1" applyBorder="1" applyAlignment="1">
      <alignment horizontal="left" vertical="center"/>
    </xf>
    <xf numFmtId="0" fontId="49" fillId="0" borderId="0" xfId="1" applyFont="1" applyFill="1" applyBorder="1" applyAlignment="1">
      <alignment horizontal="center" vertical="center"/>
    </xf>
    <xf numFmtId="0" fontId="49" fillId="0" borderId="0" xfId="1" applyFont="1" applyFill="1" applyBorder="1" applyAlignment="1">
      <alignment vertical="center"/>
    </xf>
    <xf numFmtId="0" fontId="34" fillId="0" borderId="0" xfId="0" applyFont="1" applyBorder="1" applyAlignment="1">
      <alignment horizontal="center"/>
    </xf>
    <xf numFmtId="0" fontId="25" fillId="7" borderId="18" xfId="0" applyFont="1" applyFill="1" applyBorder="1" applyAlignment="1">
      <alignment horizontal="left" vertical="top" indent="2"/>
    </xf>
    <xf numFmtId="0" fontId="25" fillId="7" borderId="18" xfId="0" applyFont="1" applyFill="1" applyBorder="1" applyAlignment="1">
      <alignment horizontal="center" vertical="top"/>
    </xf>
    <xf numFmtId="1" fontId="25" fillId="7" borderId="18" xfId="1" applyNumberFormat="1" applyFont="1" applyFill="1" applyBorder="1" applyAlignment="1" applyProtection="1">
      <alignment horizontal="right" vertical="top"/>
    </xf>
    <xf numFmtId="2" fontId="25" fillId="7" borderId="18" xfId="1" applyNumberFormat="1" applyFont="1" applyFill="1" applyBorder="1" applyAlignment="1" applyProtection="1">
      <alignment horizontal="right" vertical="top"/>
    </xf>
    <xf numFmtId="2" fontId="25" fillId="7" borderId="18" xfId="2" applyNumberFormat="1" applyFont="1" applyFill="1" applyBorder="1" applyAlignment="1">
      <alignment horizontal="right" vertical="top"/>
    </xf>
    <xf numFmtId="0" fontId="27" fillId="7" borderId="18" xfId="0" applyFont="1" applyFill="1" applyBorder="1" applyAlignment="1">
      <alignment horizontal="left" vertical="top" indent="3"/>
    </xf>
    <xf numFmtId="2" fontId="27" fillId="7" borderId="18" xfId="1" applyNumberFormat="1" applyFont="1" applyFill="1" applyBorder="1" applyAlignment="1" applyProtection="1">
      <alignment horizontal="right" vertical="top"/>
    </xf>
    <xf numFmtId="2" fontId="27" fillId="7" borderId="18" xfId="2" applyNumberFormat="1" applyFont="1" applyFill="1" applyBorder="1" applyAlignment="1">
      <alignment horizontal="right" vertical="top"/>
    </xf>
    <xf numFmtId="164" fontId="26" fillId="7" borderId="18" xfId="0" quotePrefix="1" applyNumberFormat="1" applyFont="1" applyFill="1" applyBorder="1" applyAlignment="1">
      <alignment horizontal="right" vertical="center"/>
    </xf>
    <xf numFmtId="0" fontId="25" fillId="7" borderId="18" xfId="1" applyFont="1" applyFill="1" applyBorder="1" applyAlignment="1">
      <alignment vertical="center"/>
    </xf>
    <xf numFmtId="0" fontId="28" fillId="7" borderId="18" xfId="0" applyFont="1" applyFill="1" applyBorder="1" applyAlignment="1">
      <alignment horizontal="center" vertical="top"/>
    </xf>
    <xf numFmtId="0" fontId="27" fillId="7" borderId="0" xfId="1" applyFont="1" applyFill="1" applyBorder="1" applyAlignment="1"/>
    <xf numFmtId="0" fontId="27" fillId="7" borderId="0" xfId="2" applyFont="1" applyFill="1" applyBorder="1" applyAlignment="1">
      <alignment horizontal="left" vertical="top"/>
    </xf>
    <xf numFmtId="0" fontId="27" fillId="7" borderId="0" xfId="1" applyFont="1" applyFill="1" applyBorder="1" applyAlignment="1">
      <alignment vertical="center"/>
    </xf>
    <xf numFmtId="2" fontId="5" fillId="7" borderId="18" xfId="1" applyNumberFormat="1" applyFont="1" applyFill="1" applyBorder="1" applyAlignment="1" applyProtection="1">
      <alignment horizontal="right" vertical="top"/>
    </xf>
    <xf numFmtId="1" fontId="22" fillId="7" borderId="18" xfId="1" applyNumberFormat="1" applyFont="1" applyFill="1" applyBorder="1" applyAlignment="1" applyProtection="1">
      <alignment horizontal="right" vertical="top"/>
    </xf>
    <xf numFmtId="2" fontId="22" fillId="7" borderId="18" xfId="1" applyNumberFormat="1" applyFont="1" applyFill="1" applyBorder="1" applyAlignment="1" applyProtection="1">
      <alignment horizontal="right" vertical="top"/>
    </xf>
    <xf numFmtId="2" fontId="22" fillId="7" borderId="18" xfId="2" applyNumberFormat="1" applyFont="1" applyFill="1" applyBorder="1" applyAlignment="1">
      <alignment horizontal="right" vertical="top"/>
    </xf>
    <xf numFmtId="0" fontId="22" fillId="7" borderId="18" xfId="1" applyFont="1" applyFill="1" applyBorder="1" applyAlignment="1">
      <alignment vertical="center"/>
    </xf>
    <xf numFmtId="0" fontId="25" fillId="7" borderId="18" xfId="0" applyFont="1" applyFill="1" applyBorder="1" applyAlignment="1">
      <alignment horizontal="left" vertical="center" wrapText="1" indent="2"/>
    </xf>
    <xf numFmtId="0" fontId="25" fillId="7" borderId="18" xfId="0" applyFont="1" applyFill="1" applyBorder="1" applyAlignment="1">
      <alignment horizontal="center" vertical="center"/>
    </xf>
    <xf numFmtId="1" fontId="25" fillId="7" borderId="18" xfId="1" applyNumberFormat="1" applyFont="1" applyFill="1" applyBorder="1" applyAlignment="1" applyProtection="1">
      <alignment horizontal="right" vertical="center"/>
      <protection locked="0"/>
    </xf>
    <xf numFmtId="2" fontId="27" fillId="7" borderId="18" xfId="1" applyNumberFormat="1" applyFont="1" applyFill="1" applyBorder="1" applyAlignment="1" applyProtection="1">
      <alignment horizontal="right" vertical="center"/>
      <protection locked="0"/>
    </xf>
    <xf numFmtId="1" fontId="27" fillId="7" borderId="18" xfId="1" applyNumberFormat="1" applyFont="1" applyFill="1" applyBorder="1" applyAlignment="1">
      <alignment horizontal="right" vertical="center"/>
    </xf>
    <xf numFmtId="2" fontId="27" fillId="7" borderId="18" xfId="1" applyNumberFormat="1" applyFont="1" applyFill="1" applyBorder="1" applyAlignment="1">
      <alignment horizontal="right" vertical="center"/>
    </xf>
    <xf numFmtId="2" fontId="27" fillId="7" borderId="18" xfId="2" applyNumberFormat="1" applyFont="1" applyFill="1" applyBorder="1" applyAlignment="1">
      <alignment horizontal="right" vertical="center"/>
    </xf>
    <xf numFmtId="2" fontId="25" fillId="7" borderId="18" xfId="1" applyNumberFormat="1" applyFont="1" applyFill="1" applyBorder="1" applyAlignment="1">
      <alignment horizontal="right" vertical="center"/>
    </xf>
    <xf numFmtId="2" fontId="25" fillId="7" borderId="18" xfId="2" applyNumberFormat="1" applyFont="1" applyFill="1" applyBorder="1" applyAlignment="1">
      <alignment horizontal="right" vertical="center"/>
    </xf>
    <xf numFmtId="0" fontId="35" fillId="0" borderId="79" xfId="0" applyFont="1" applyBorder="1" applyAlignment="1">
      <alignment horizontal="center"/>
    </xf>
    <xf numFmtId="0" fontId="35" fillId="0" borderId="80" xfId="0" applyFont="1" applyBorder="1" applyAlignment="1">
      <alignment horizontal="center"/>
    </xf>
    <xf numFmtId="0" fontId="27" fillId="7" borderId="18" xfId="1" applyFont="1" applyFill="1" applyBorder="1" applyAlignment="1">
      <alignment vertical="center"/>
    </xf>
    <xf numFmtId="0" fontId="2" fillId="7" borderId="0" xfId="1" applyFont="1" applyFill="1" applyBorder="1" applyAlignment="1">
      <alignment vertical="center"/>
    </xf>
    <xf numFmtId="0" fontId="2" fillId="7" borderId="0" xfId="1" quotePrefix="1" applyFont="1" applyFill="1" applyBorder="1" applyAlignment="1">
      <alignment vertical="center"/>
    </xf>
    <xf numFmtId="0" fontId="25" fillId="7" borderId="18" xfId="0" applyFont="1" applyFill="1" applyBorder="1" applyAlignment="1">
      <alignment vertical="top"/>
    </xf>
    <xf numFmtId="0" fontId="2" fillId="7" borderId="0" xfId="1" applyFont="1" applyFill="1" applyBorder="1" applyAlignment="1">
      <alignment horizontal="center" vertical="center"/>
    </xf>
    <xf numFmtId="2" fontId="22" fillId="0" borderId="18" xfId="0" applyNumberFormat="1" applyFont="1" applyFill="1" applyBorder="1" applyAlignment="1">
      <alignment horizontal="center" vertical="top"/>
    </xf>
    <xf numFmtId="17" fontId="4" fillId="2" borderId="0" xfId="1" applyNumberFormat="1" applyFont="1" applyFill="1" applyBorder="1" applyAlignment="1">
      <alignment horizontal="left" vertical="center"/>
    </xf>
    <xf numFmtId="0" fontId="34" fillId="0" borderId="0" xfId="0" applyFont="1" applyBorder="1" applyAlignment="1">
      <alignment horizontal="center"/>
    </xf>
    <xf numFmtId="0" fontId="25" fillId="0" borderId="18" xfId="1" quotePrefix="1" applyFont="1" applyBorder="1" applyAlignment="1">
      <alignment horizontal="left" vertical="top"/>
    </xf>
    <xf numFmtId="0" fontId="28" fillId="0" borderId="18" xfId="0" applyFont="1" applyBorder="1" applyAlignment="1">
      <alignment horizontal="left" vertical="center" indent="3"/>
    </xf>
    <xf numFmtId="0" fontId="25" fillId="7" borderId="18" xfId="0" applyFont="1" applyFill="1" applyBorder="1" applyAlignment="1">
      <alignment horizontal="left" vertical="top" wrapText="1" indent="2"/>
    </xf>
    <xf numFmtId="164" fontId="44" fillId="0" borderId="18" xfId="0" quotePrefix="1" applyNumberFormat="1" applyFont="1" applyFill="1" applyBorder="1" applyAlignment="1">
      <alignment horizontal="left" vertical="center"/>
    </xf>
    <xf numFmtId="0" fontId="22" fillId="0" borderId="0" xfId="1" applyFont="1" applyFill="1" applyAlignment="1">
      <alignment vertical="center"/>
    </xf>
    <xf numFmtId="167" fontId="34" fillId="0" borderId="0" xfId="5" applyFont="1" applyBorder="1" applyAlignment="1">
      <alignment horizontal="center"/>
    </xf>
    <xf numFmtId="0" fontId="34" fillId="0" borderId="59" xfId="0" applyFont="1" applyBorder="1" applyAlignment="1">
      <alignment horizontal="center"/>
    </xf>
    <xf numFmtId="0" fontId="34" fillId="0" borderId="60" xfId="0" applyFont="1" applyBorder="1" applyAlignment="1">
      <alignment horizontal="center"/>
    </xf>
    <xf numFmtId="2" fontId="34" fillId="0" borderId="60" xfId="0" applyNumberFormat="1" applyFont="1" applyBorder="1" applyAlignment="1">
      <alignment horizontal="center" vertical="center"/>
    </xf>
    <xf numFmtId="2" fontId="51" fillId="0" borderId="18" xfId="1" applyNumberFormat="1" applyFont="1" applyFill="1" applyBorder="1" applyAlignment="1" applyProtection="1">
      <alignment horizontal="right" vertical="top"/>
    </xf>
    <xf numFmtId="2" fontId="51" fillId="0" borderId="18" xfId="2" applyNumberFormat="1" applyFont="1" applyFill="1" applyBorder="1" applyAlignment="1">
      <alignment horizontal="right" vertical="top"/>
    </xf>
    <xf numFmtId="2" fontId="51" fillId="0" borderId="18" xfId="1" applyNumberFormat="1" applyFont="1" applyBorder="1" applyAlignment="1">
      <alignment horizontal="right" vertical="top"/>
    </xf>
    <xf numFmtId="2" fontId="22" fillId="0" borderId="18" xfId="1" applyNumberFormat="1" applyFont="1" applyFill="1" applyBorder="1" applyAlignment="1" applyProtection="1">
      <alignment horizontal="center" vertical="top"/>
    </xf>
    <xf numFmtId="2" fontId="25" fillId="0" borderId="18" xfId="1" applyNumberFormat="1" applyFont="1" applyFill="1" applyBorder="1" applyAlignment="1" applyProtection="1">
      <alignment horizontal="center" vertical="top"/>
    </xf>
    <xf numFmtId="2" fontId="29" fillId="0" borderId="18" xfId="1" applyNumberFormat="1" applyFont="1" applyFill="1" applyBorder="1" applyAlignment="1" applyProtection="1">
      <alignment horizontal="center" vertical="top"/>
    </xf>
    <xf numFmtId="0" fontId="2" fillId="0" borderId="0" xfId="1" applyFont="1" applyFill="1" applyAlignment="1">
      <alignment horizontal="center" vertical="center"/>
    </xf>
    <xf numFmtId="0" fontId="22" fillId="0" borderId="0" xfId="1" applyFont="1" applyFill="1" applyAlignment="1">
      <alignment horizontal="center" vertical="center"/>
    </xf>
    <xf numFmtId="2" fontId="22" fillId="0" borderId="0" xfId="1" applyNumberFormat="1" applyFont="1" applyFill="1" applyAlignment="1">
      <alignment horizontal="center" vertical="center"/>
    </xf>
    <xf numFmtId="2" fontId="25" fillId="0" borderId="18" xfId="0" applyNumberFormat="1" applyFont="1" applyFill="1" applyBorder="1" applyAlignment="1">
      <alignment horizontal="center" vertical="top"/>
    </xf>
    <xf numFmtId="2" fontId="25" fillId="7" borderId="18" xfId="0" applyNumberFormat="1" applyFont="1" applyFill="1" applyBorder="1" applyAlignment="1">
      <alignment horizontal="center" vertical="top"/>
    </xf>
    <xf numFmtId="2" fontId="2" fillId="0" borderId="0" xfId="1" applyNumberFormat="1" applyFont="1" applyFill="1" applyAlignment="1">
      <alignment horizontal="center" vertical="center"/>
    </xf>
    <xf numFmtId="0" fontId="40" fillId="6" borderId="23" xfId="0" applyFont="1" applyFill="1" applyBorder="1" applyAlignment="1">
      <alignment horizontal="center"/>
    </xf>
    <xf numFmtId="0" fontId="36" fillId="0" borderId="23" xfId="0" applyFont="1" applyBorder="1" applyAlignment="1">
      <alignment horizontal="center" vertical="center"/>
    </xf>
    <xf numFmtId="0" fontId="36" fillId="0" borderId="23" xfId="0" applyFont="1" applyBorder="1" applyAlignment="1">
      <alignment horizontal="left"/>
    </xf>
    <xf numFmtId="0" fontId="36" fillId="0" borderId="23" xfId="0" applyFont="1" applyBorder="1"/>
    <xf numFmtId="0" fontId="52" fillId="0" borderId="23" xfId="0" applyFont="1" applyFill="1" applyBorder="1" applyAlignment="1">
      <alignment horizontal="left" vertical="top"/>
    </xf>
    <xf numFmtId="0" fontId="52" fillId="0" borderId="23" xfId="0" applyFont="1" applyBorder="1" applyAlignment="1">
      <alignment horizontal="left" vertical="top"/>
    </xf>
    <xf numFmtId="0" fontId="54" fillId="0" borderId="23" xfId="0" applyFont="1" applyFill="1" applyBorder="1" applyAlignment="1">
      <alignment horizontal="left" vertical="top"/>
    </xf>
    <xf numFmtId="2" fontId="36" fillId="0" borderId="23" xfId="0" applyNumberFormat="1" applyFont="1" applyBorder="1" applyAlignment="1">
      <alignment horizontal="center"/>
    </xf>
    <xf numFmtId="0" fontId="36" fillId="0" borderId="23" xfId="0" applyFont="1" applyBorder="1" applyAlignment="1">
      <alignment horizontal="center"/>
    </xf>
    <xf numFmtId="2" fontId="52" fillId="7" borderId="23" xfId="0" applyNumberFormat="1" applyFont="1" applyFill="1" applyBorder="1" applyAlignment="1">
      <alignment horizontal="center" vertical="center" wrapText="1"/>
    </xf>
    <xf numFmtId="1" fontId="40" fillId="0" borderId="23" xfId="0" applyNumberFormat="1" applyFont="1" applyBorder="1" applyAlignment="1">
      <alignment horizontal="center"/>
    </xf>
    <xf numFmtId="0" fontId="40" fillId="0" borderId="23" xfId="0" applyFont="1" applyBorder="1"/>
    <xf numFmtId="0" fontId="40" fillId="0" borderId="23" xfId="0" applyFont="1" applyBorder="1" applyAlignment="1">
      <alignment horizontal="center"/>
    </xf>
    <xf numFmtId="1" fontId="25" fillId="0" borderId="18" xfId="1" applyNumberFormat="1" applyFont="1" applyFill="1" applyBorder="1" applyAlignment="1" applyProtection="1">
      <alignment vertical="top"/>
    </xf>
    <xf numFmtId="1" fontId="25" fillId="7" borderId="18" xfId="1" applyNumberFormat="1" applyFont="1" applyFill="1" applyBorder="1" applyAlignment="1" applyProtection="1">
      <alignment vertical="top"/>
    </xf>
    <xf numFmtId="0" fontId="52" fillId="7" borderId="23" xfId="0" applyFont="1" applyFill="1" applyBorder="1" applyAlignment="1">
      <alignment horizontal="left" vertical="top"/>
    </xf>
    <xf numFmtId="0" fontId="52" fillId="0" borderId="23" xfId="0" applyFont="1" applyFill="1" applyBorder="1" applyAlignment="1">
      <alignment horizontal="left" vertical="center" wrapText="1"/>
    </xf>
    <xf numFmtId="0" fontId="54" fillId="0" borderId="23" xfId="0" applyFont="1" applyFill="1" applyBorder="1" applyAlignment="1">
      <alignment horizontal="left" vertical="center"/>
    </xf>
    <xf numFmtId="0" fontId="54" fillId="0" borderId="23" xfId="0" applyFont="1" applyBorder="1" applyAlignment="1">
      <alignment horizontal="left" vertical="center"/>
    </xf>
    <xf numFmtId="0" fontId="34" fillId="0" borderId="0" xfId="0" applyFont="1" applyBorder="1" applyAlignment="1">
      <alignment horizontal="center"/>
    </xf>
    <xf numFmtId="0" fontId="35" fillId="0" borderId="62" xfId="0" applyFont="1" applyBorder="1" applyAlignment="1">
      <alignment horizontal="center"/>
    </xf>
    <xf numFmtId="0" fontId="27" fillId="0" borderId="18" xfId="0" applyFont="1" applyBorder="1" applyAlignment="1">
      <alignment horizontal="left" vertical="center" wrapText="1" indent="3"/>
    </xf>
    <xf numFmtId="0" fontId="52" fillId="0" borderId="23" xfId="0" applyFont="1" applyBorder="1" applyAlignment="1">
      <alignment horizontal="left" vertical="center" wrapText="1"/>
    </xf>
    <xf numFmtId="0" fontId="36" fillId="0" borderId="0" xfId="0" applyFont="1" applyAlignment="1">
      <alignment vertical="center"/>
    </xf>
    <xf numFmtId="0" fontId="36" fillId="0" borderId="23" xfId="0" applyFont="1" applyBorder="1" applyAlignment="1">
      <alignment vertical="center"/>
    </xf>
    <xf numFmtId="2" fontId="36" fillId="0" borderId="23" xfId="0" applyNumberFormat="1" applyFont="1" applyBorder="1" applyAlignment="1">
      <alignment horizontal="center" vertical="center"/>
    </xf>
    <xf numFmtId="1" fontId="40" fillId="0" borderId="23" xfId="0" applyNumberFormat="1" applyFont="1" applyBorder="1" applyAlignment="1">
      <alignment horizontal="center" vertical="center"/>
    </xf>
    <xf numFmtId="0" fontId="40" fillId="0" borderId="23" xfId="0" applyFont="1" applyBorder="1" applyAlignment="1">
      <alignment vertical="center"/>
    </xf>
    <xf numFmtId="0" fontId="54" fillId="0" borderId="23" xfId="0" applyFont="1" applyFill="1" applyBorder="1" applyAlignment="1">
      <alignment horizontal="left" vertical="center" wrapText="1"/>
    </xf>
    <xf numFmtId="1" fontId="36" fillId="0" borderId="23" xfId="0" applyNumberFormat="1" applyFont="1" applyBorder="1" applyAlignment="1">
      <alignment horizontal="center"/>
    </xf>
    <xf numFmtId="1" fontId="27" fillId="0" borderId="18" xfId="1" applyNumberFormat="1" applyFont="1" applyBorder="1" applyAlignment="1">
      <alignment horizontal="right" vertical="center"/>
    </xf>
    <xf numFmtId="2" fontId="27" fillId="0" borderId="18" xfId="1" applyNumberFormat="1" applyFont="1" applyBorder="1" applyAlignment="1">
      <alignment horizontal="right" vertical="center"/>
    </xf>
    <xf numFmtId="2" fontId="27" fillId="0" borderId="18" xfId="2" applyNumberFormat="1" applyFont="1" applyBorder="1" applyAlignment="1">
      <alignment horizontal="right" vertical="center"/>
    </xf>
    <xf numFmtId="2" fontId="25" fillId="0" borderId="18" xfId="1" applyNumberFormat="1" applyFont="1" applyBorder="1" applyAlignment="1">
      <alignment horizontal="right" vertical="center"/>
    </xf>
    <xf numFmtId="2" fontId="51" fillId="0" borderId="18" xfId="1" applyNumberFormat="1" applyFont="1" applyBorder="1" applyAlignment="1">
      <alignment horizontal="right" vertical="center"/>
    </xf>
    <xf numFmtId="2" fontId="51" fillId="0" borderId="18" xfId="2" applyNumberFormat="1" applyFont="1" applyBorder="1" applyAlignment="1">
      <alignment horizontal="right" vertical="center"/>
    </xf>
    <xf numFmtId="0" fontId="25" fillId="0" borderId="18" xfId="1" applyFont="1" applyBorder="1" applyAlignment="1">
      <alignment vertical="center"/>
    </xf>
    <xf numFmtId="2" fontId="25" fillId="0" borderId="18" xfId="2" applyNumberFormat="1" applyFont="1" applyBorder="1" applyAlignment="1">
      <alignment horizontal="right" vertical="center"/>
    </xf>
    <xf numFmtId="0" fontId="27" fillId="0" borderId="18" xfId="0" applyFont="1" applyBorder="1" applyAlignment="1">
      <alignment horizontal="left" vertical="top" indent="4"/>
    </xf>
    <xf numFmtId="2" fontId="34" fillId="0" borderId="75" xfId="0" applyNumberFormat="1" applyFont="1" applyBorder="1" applyAlignment="1">
      <alignment horizontal="right" vertical="center"/>
    </xf>
    <xf numFmtId="2" fontId="34" fillId="0" borderId="75" xfId="0" applyNumberFormat="1" applyFont="1" applyBorder="1" applyAlignment="1">
      <alignment horizontal="center" vertical="center"/>
    </xf>
    <xf numFmtId="1" fontId="27" fillId="7" borderId="18" xfId="1" applyNumberFormat="1" applyFont="1" applyFill="1" applyBorder="1" applyAlignment="1">
      <alignment horizontal="right" vertical="top"/>
    </xf>
    <xf numFmtId="2" fontId="27" fillId="7" borderId="18" xfId="1" applyNumberFormat="1" applyFont="1" applyFill="1" applyBorder="1" applyAlignment="1">
      <alignment horizontal="right" vertical="top"/>
    </xf>
    <xf numFmtId="2" fontId="25" fillId="7" borderId="18" xfId="1" applyNumberFormat="1" applyFont="1" applyFill="1" applyBorder="1" applyAlignment="1">
      <alignment horizontal="right" vertical="top"/>
    </xf>
    <xf numFmtId="168" fontId="25" fillId="7" borderId="18" xfId="1" applyNumberFormat="1" applyFont="1" applyFill="1" applyBorder="1" applyAlignment="1">
      <alignment horizontal="right" vertical="top"/>
    </xf>
    <xf numFmtId="1" fontId="25" fillId="7" borderId="18" xfId="1" applyNumberFormat="1" applyFont="1" applyFill="1" applyBorder="1" applyAlignment="1">
      <alignment horizontal="right" vertical="top"/>
    </xf>
    <xf numFmtId="0" fontId="35" fillId="5" borderId="0" xfId="0" applyFont="1" applyFill="1" applyAlignment="1">
      <alignment horizontal="center" vertical="center"/>
    </xf>
    <xf numFmtId="2" fontId="34" fillId="5" borderId="0" xfId="0" applyNumberFormat="1" applyFont="1" applyFill="1" applyAlignment="1">
      <alignment horizontal="center" vertical="center"/>
    </xf>
    <xf numFmtId="0" fontId="34" fillId="5" borderId="0" xfId="0" applyFont="1" applyFill="1" applyAlignment="1">
      <alignment horizontal="center" vertical="center"/>
    </xf>
    <xf numFmtId="2" fontId="34" fillId="5" borderId="0" xfId="0" applyNumberFormat="1" applyFont="1" applyFill="1" applyAlignment="1">
      <alignment horizontal="right" vertical="center"/>
    </xf>
    <xf numFmtId="0" fontId="38" fillId="5" borderId="0" xfId="4" applyFont="1" applyFill="1" applyAlignment="1">
      <alignment vertical="top" wrapText="1"/>
    </xf>
    <xf numFmtId="0" fontId="38" fillId="5" borderId="0" xfId="4" applyFont="1" applyFill="1" applyAlignment="1">
      <alignment horizontal="left" vertical="top" wrapText="1"/>
    </xf>
    <xf numFmtId="0" fontId="38" fillId="5" borderId="0" xfId="4" applyFont="1" applyFill="1" applyAlignment="1">
      <alignment horizontal="right" vertical="top" wrapText="1"/>
    </xf>
    <xf numFmtId="0" fontId="37" fillId="0" borderId="42" xfId="4" applyFont="1" applyBorder="1" applyAlignment="1">
      <alignment vertical="top" wrapText="1"/>
    </xf>
    <xf numFmtId="1" fontId="34" fillId="0" borderId="0" xfId="0" applyNumberFormat="1" applyFont="1" applyAlignment="1">
      <alignment horizontal="center"/>
    </xf>
    <xf numFmtId="164" fontId="34" fillId="0" borderId="0" xfId="0" applyNumberFormat="1" applyFont="1"/>
    <xf numFmtId="166" fontId="35" fillId="0" borderId="0" xfId="0" applyNumberFormat="1" applyFont="1" applyAlignment="1">
      <alignment horizontal="right"/>
    </xf>
    <xf numFmtId="166" fontId="35" fillId="0" borderId="38" xfId="0" applyNumberFormat="1" applyFont="1" applyBorder="1" applyAlignment="1">
      <alignment horizontal="right"/>
    </xf>
    <xf numFmtId="0" fontId="39" fillId="0" borderId="62" xfId="4" applyFont="1" applyBorder="1" applyAlignment="1">
      <alignment vertical="top" wrapText="1"/>
    </xf>
    <xf numFmtId="0" fontId="34" fillId="5" borderId="0" xfId="0" applyFont="1" applyFill="1" applyAlignment="1">
      <alignment horizontal="center"/>
    </xf>
    <xf numFmtId="168" fontId="34" fillId="5" borderId="0" xfId="0" applyNumberFormat="1" applyFont="1" applyFill="1" applyAlignment="1">
      <alignment horizontal="right"/>
    </xf>
    <xf numFmtId="0" fontId="35" fillId="0" borderId="27" xfId="0" applyFont="1" applyBorder="1" applyAlignment="1">
      <alignment horizontal="center" vertical="center"/>
    </xf>
    <xf numFmtId="0" fontId="35" fillId="0" borderId="0" xfId="0" applyFont="1" applyAlignment="1">
      <alignment vertical="center"/>
    </xf>
    <xf numFmtId="0" fontId="35" fillId="0" borderId="49" xfId="0" applyFont="1" applyBorder="1" applyAlignment="1">
      <alignment horizontal="center" vertical="center"/>
    </xf>
    <xf numFmtId="0" fontId="35" fillId="0" borderId="0" xfId="0" applyFont="1" applyAlignment="1">
      <alignment horizontal="right" vertical="center"/>
    </xf>
    <xf numFmtId="0" fontId="35" fillId="0" borderId="42" xfId="0" applyFont="1" applyBorder="1" applyAlignment="1">
      <alignment horizontal="left"/>
    </xf>
    <xf numFmtId="0" fontId="35" fillId="0" borderId="43" xfId="0" applyFont="1" applyBorder="1" applyAlignment="1">
      <alignment horizontal="center"/>
    </xf>
    <xf numFmtId="0" fontId="35" fillId="0" borderId="44" xfId="0" applyFont="1" applyBorder="1"/>
    <xf numFmtId="0" fontId="35" fillId="0" borderId="0" xfId="0" applyFont="1" applyAlignment="1">
      <alignment horizontal="right"/>
    </xf>
    <xf numFmtId="0" fontId="34" fillId="0" borderId="45" xfId="0" applyFont="1" applyBorder="1"/>
    <xf numFmtId="166" fontId="34" fillId="0" borderId="47" xfId="0" applyNumberFormat="1" applyFont="1" applyBorder="1"/>
    <xf numFmtId="166" fontId="34" fillId="0" borderId="0" xfId="0" applyNumberFormat="1" applyFont="1" applyAlignment="1">
      <alignment horizontal="right"/>
    </xf>
    <xf numFmtId="0" fontId="34" fillId="0" borderId="37" xfId="0" applyFont="1" applyBorder="1"/>
    <xf numFmtId="0" fontId="34" fillId="0" borderId="57" xfId="0" applyFont="1" applyBorder="1" applyAlignment="1">
      <alignment horizontal="center"/>
    </xf>
    <xf numFmtId="166" fontId="34" fillId="0" borderId="58" xfId="0" applyNumberFormat="1" applyFont="1" applyBorder="1"/>
    <xf numFmtId="0" fontId="25" fillId="0" borderId="18" xfId="0" applyFont="1" applyBorder="1" applyAlignment="1">
      <alignment horizontal="left" vertical="top" wrapText="1" indent="2"/>
    </xf>
    <xf numFmtId="2" fontId="40" fillId="0" borderId="23" xfId="0" applyNumberFormat="1" applyFont="1" applyBorder="1" applyAlignment="1">
      <alignment horizontal="center"/>
    </xf>
    <xf numFmtId="0" fontId="54" fillId="0" borderId="23" xfId="0" applyFont="1" applyBorder="1" applyAlignment="1">
      <alignment horizontal="left" vertical="center" wrapText="1"/>
    </xf>
    <xf numFmtId="1" fontId="36" fillId="0" borderId="23" xfId="0" applyNumberFormat="1" applyFont="1" applyBorder="1" applyAlignment="1">
      <alignment horizontal="center" vertical="center"/>
    </xf>
    <xf numFmtId="1" fontId="25" fillId="0" borderId="18" xfId="1" applyNumberFormat="1" applyFont="1" applyFill="1" applyBorder="1" applyAlignment="1" applyProtection="1">
      <alignment horizontal="right" vertical="top"/>
      <protection locked="0"/>
    </xf>
    <xf numFmtId="2" fontId="27" fillId="0" borderId="18" xfId="1" applyNumberFormat="1" applyFont="1" applyFill="1" applyBorder="1" applyAlignment="1" applyProtection="1">
      <alignment horizontal="right" vertical="top"/>
      <protection locked="0"/>
    </xf>
    <xf numFmtId="1" fontId="25" fillId="0" borderId="18" xfId="1" applyNumberFormat="1" applyFont="1" applyFill="1" applyBorder="1" applyAlignment="1">
      <alignment horizontal="right" vertical="top"/>
    </xf>
    <xf numFmtId="2" fontId="25" fillId="0" borderId="18" xfId="1" applyNumberFormat="1" applyFont="1" applyFill="1" applyBorder="1" applyAlignment="1">
      <alignment horizontal="right" vertical="top"/>
    </xf>
    <xf numFmtId="1" fontId="27" fillId="0" borderId="18" xfId="1" applyNumberFormat="1" applyFont="1" applyFill="1" applyBorder="1" applyAlignment="1" applyProtection="1">
      <alignment horizontal="right" vertical="top"/>
      <protection locked="0"/>
    </xf>
    <xf numFmtId="1" fontId="27" fillId="0" borderId="18" xfId="1" applyNumberFormat="1" applyFont="1" applyFill="1" applyBorder="1" applyAlignment="1">
      <alignment horizontal="right" vertical="top"/>
    </xf>
    <xf numFmtId="0" fontId="34" fillId="0" borderId="74" xfId="0" applyFont="1" applyBorder="1" applyAlignment="1">
      <alignment horizontal="right"/>
    </xf>
    <xf numFmtId="0" fontId="34" fillId="0" borderId="75" xfId="0" applyFont="1" applyBorder="1" applyAlignment="1">
      <alignment horizontal="right"/>
    </xf>
    <xf numFmtId="0" fontId="34" fillId="0" borderId="73" xfId="0" applyFont="1" applyBorder="1" applyAlignment="1">
      <alignment horizontal="right"/>
    </xf>
    <xf numFmtId="0" fontId="35" fillId="6" borderId="66" xfId="0" applyFont="1" applyFill="1" applyBorder="1" applyAlignment="1">
      <alignment horizontal="center"/>
    </xf>
    <xf numFmtId="0" fontId="35" fillId="6" borderId="67" xfId="0" applyFont="1" applyFill="1" applyBorder="1" applyAlignment="1">
      <alignment horizontal="center"/>
    </xf>
    <xf numFmtId="0" fontId="35" fillId="6" borderId="68" xfId="0" applyFont="1" applyFill="1" applyBorder="1" applyAlignment="1">
      <alignment horizontal="center"/>
    </xf>
    <xf numFmtId="0" fontId="35" fillId="0" borderId="25" xfId="0" applyFont="1" applyFill="1" applyBorder="1" applyAlignment="1">
      <alignment horizontal="center" vertical="center"/>
    </xf>
    <xf numFmtId="0" fontId="35" fillId="0" borderId="34" xfId="0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horizontal="center" vertical="center"/>
    </xf>
    <xf numFmtId="0" fontId="35" fillId="0" borderId="48" xfId="0" applyFont="1" applyFill="1" applyBorder="1" applyAlignment="1">
      <alignment horizontal="center" vertical="center"/>
    </xf>
    <xf numFmtId="0" fontId="35" fillId="4" borderId="69" xfId="0" applyFont="1" applyFill="1" applyBorder="1" applyAlignment="1">
      <alignment horizontal="center"/>
    </xf>
    <xf numFmtId="0" fontId="35" fillId="4" borderId="70" xfId="0" applyFont="1" applyFill="1" applyBorder="1" applyAlignment="1">
      <alignment horizontal="center"/>
    </xf>
    <xf numFmtId="0" fontId="35" fillId="4" borderId="71" xfId="0" applyFont="1" applyFill="1" applyBorder="1" applyAlignment="1">
      <alignment horizontal="center"/>
    </xf>
    <xf numFmtId="0" fontId="35" fillId="4" borderId="65" xfId="0" applyFont="1" applyFill="1" applyBorder="1" applyAlignment="1">
      <alignment horizontal="center"/>
    </xf>
    <xf numFmtId="0" fontId="35" fillId="4" borderId="35" xfId="0" applyFont="1" applyFill="1" applyBorder="1" applyAlignment="1">
      <alignment horizontal="center"/>
    </xf>
    <xf numFmtId="0" fontId="35" fillId="4" borderId="36" xfId="0" applyFont="1" applyFill="1" applyBorder="1" applyAlignment="1">
      <alignment horizontal="center"/>
    </xf>
    <xf numFmtId="0" fontId="35" fillId="5" borderId="25" xfId="0" applyFont="1" applyFill="1" applyBorder="1" applyAlignment="1">
      <alignment horizontal="center" vertical="center"/>
    </xf>
    <xf numFmtId="0" fontId="35" fillId="5" borderId="26" xfId="0" applyFont="1" applyFill="1" applyBorder="1" applyAlignment="1">
      <alignment horizontal="center" vertical="center"/>
    </xf>
    <xf numFmtId="0" fontId="35" fillId="5" borderId="27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/>
    </xf>
    <xf numFmtId="0" fontId="35" fillId="5" borderId="25" xfId="0" applyFont="1" applyFill="1" applyBorder="1" applyAlignment="1">
      <alignment horizontal="center"/>
    </xf>
    <xf numFmtId="0" fontId="35" fillId="5" borderId="27" xfId="0" applyFont="1" applyFill="1" applyBorder="1" applyAlignment="1">
      <alignment horizontal="center"/>
    </xf>
    <xf numFmtId="0" fontId="34" fillId="0" borderId="59" xfId="0" applyFont="1" applyBorder="1" applyAlignment="1">
      <alignment horizontal="right"/>
    </xf>
    <xf numFmtId="0" fontId="34" fillId="0" borderId="60" xfId="0" applyFont="1" applyBorder="1" applyAlignment="1">
      <alignment horizontal="right"/>
    </xf>
    <xf numFmtId="0" fontId="34" fillId="0" borderId="61" xfId="0" applyFont="1" applyBorder="1" applyAlignment="1">
      <alignment horizontal="right"/>
    </xf>
    <xf numFmtId="0" fontId="35" fillId="0" borderId="30" xfId="0" applyFont="1" applyBorder="1" applyAlignment="1">
      <alignment horizontal="center" vertical="center"/>
    </xf>
    <xf numFmtId="0" fontId="35" fillId="0" borderId="31" xfId="0" applyFont="1" applyBorder="1" applyAlignment="1">
      <alignment horizontal="center" vertical="center"/>
    </xf>
    <xf numFmtId="0" fontId="35" fillId="0" borderId="32" xfId="0" applyFont="1" applyBorder="1" applyAlignment="1">
      <alignment horizontal="center" vertical="center"/>
    </xf>
    <xf numFmtId="0" fontId="35" fillId="0" borderId="30" xfId="0" applyFont="1" applyBorder="1" applyAlignment="1">
      <alignment horizontal="center"/>
    </xf>
    <xf numFmtId="0" fontId="35" fillId="0" borderId="32" xfId="0" applyFont="1" applyBorder="1" applyAlignment="1">
      <alignment horizontal="center"/>
    </xf>
    <xf numFmtId="0" fontId="33" fillId="0" borderId="6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34" fillId="0" borderId="0" xfId="0" applyFont="1" applyAlignment="1">
      <alignment horizontal="center"/>
    </xf>
    <xf numFmtId="0" fontId="35" fillId="0" borderId="25" xfId="0" applyFont="1" applyBorder="1" applyAlignment="1">
      <alignment horizontal="center" vertical="center"/>
    </xf>
    <xf numFmtId="0" fontId="35" fillId="0" borderId="34" xfId="0" applyFont="1" applyBorder="1" applyAlignment="1">
      <alignment horizontal="center" vertical="center"/>
    </xf>
    <xf numFmtId="0" fontId="35" fillId="0" borderId="26" xfId="0" applyFont="1" applyBorder="1" applyAlignment="1">
      <alignment horizontal="center" vertical="center"/>
    </xf>
    <xf numFmtId="0" fontId="35" fillId="0" borderId="48" xfId="0" applyFont="1" applyBorder="1" applyAlignment="1">
      <alignment horizontal="center" vertical="center"/>
    </xf>
    <xf numFmtId="0" fontId="21" fillId="2" borderId="1" xfId="1" applyFont="1" applyFill="1" applyBorder="1" applyAlignment="1">
      <alignment horizontal="center" vertical="center"/>
    </xf>
    <xf numFmtId="0" fontId="21" fillId="2" borderId="2" xfId="1" applyFont="1" applyFill="1" applyBorder="1" applyAlignment="1">
      <alignment horizontal="center" vertical="center"/>
    </xf>
    <xf numFmtId="0" fontId="21" fillId="2" borderId="3" xfId="1" applyFont="1" applyFill="1" applyBorder="1" applyAlignment="1">
      <alignment horizontal="center" vertical="center"/>
    </xf>
    <xf numFmtId="0" fontId="18" fillId="2" borderId="0" xfId="1" applyFont="1" applyFill="1" applyBorder="1" applyAlignment="1">
      <alignment horizontal="left" vertical="top" wrapText="1"/>
    </xf>
    <xf numFmtId="0" fontId="18" fillId="2" borderId="8" xfId="1" applyFont="1" applyFill="1" applyBorder="1" applyAlignment="1">
      <alignment horizontal="left" vertical="top" wrapText="1"/>
    </xf>
    <xf numFmtId="0" fontId="18" fillId="3" borderId="12" xfId="1" applyFont="1" applyFill="1" applyBorder="1" applyAlignment="1">
      <alignment horizontal="center" vertical="center"/>
    </xf>
    <xf numFmtId="0" fontId="18" fillId="3" borderId="15" xfId="1" applyFont="1" applyFill="1" applyBorder="1" applyAlignment="1">
      <alignment horizontal="center" vertical="center"/>
    </xf>
    <xf numFmtId="0" fontId="18" fillId="3" borderId="13" xfId="1" applyFont="1" applyFill="1" applyBorder="1" applyAlignment="1">
      <alignment horizontal="center" vertical="center"/>
    </xf>
    <xf numFmtId="0" fontId="18" fillId="3" borderId="16" xfId="1" applyFont="1" applyFill="1" applyBorder="1" applyAlignment="1">
      <alignment horizontal="center" vertical="center"/>
    </xf>
    <xf numFmtId="0" fontId="18" fillId="3" borderId="13" xfId="1" applyFont="1" applyFill="1" applyBorder="1" applyAlignment="1">
      <alignment horizontal="center" vertical="center" textRotation="90"/>
    </xf>
    <xf numFmtId="0" fontId="18" fillId="3" borderId="16" xfId="1" applyFont="1" applyFill="1" applyBorder="1" applyAlignment="1">
      <alignment horizontal="center" vertical="center" textRotation="90"/>
    </xf>
    <xf numFmtId="0" fontId="18" fillId="3" borderId="13" xfId="1" applyNumberFormat="1" applyFont="1" applyFill="1" applyBorder="1" applyAlignment="1">
      <alignment horizontal="center" vertical="center" textRotation="90" wrapText="1"/>
    </xf>
    <xf numFmtId="0" fontId="18" fillId="3" borderId="16" xfId="1" applyNumberFormat="1" applyFont="1" applyFill="1" applyBorder="1" applyAlignment="1">
      <alignment horizontal="center" vertical="center" textRotation="90" wrapText="1"/>
    </xf>
    <xf numFmtId="2" fontId="18" fillId="3" borderId="13" xfId="1" applyNumberFormat="1" applyFont="1" applyFill="1" applyBorder="1" applyAlignment="1">
      <alignment horizontal="center" vertical="center"/>
    </xf>
    <xf numFmtId="0" fontId="18" fillId="3" borderId="19" xfId="1" applyFont="1" applyFill="1" applyBorder="1" applyAlignment="1">
      <alignment horizontal="center" vertical="center"/>
    </xf>
    <xf numFmtId="0" fontId="18" fillId="3" borderId="14" xfId="1" applyFont="1" applyFill="1" applyBorder="1" applyAlignment="1">
      <alignment horizontal="center" vertical="center"/>
    </xf>
    <xf numFmtId="0" fontId="18" fillId="3" borderId="17" xfId="1" applyFont="1" applyFill="1" applyBorder="1" applyAlignment="1">
      <alignment horizontal="center" vertical="center"/>
    </xf>
    <xf numFmtId="0" fontId="18" fillId="3" borderId="21" xfId="1" applyFont="1" applyFill="1" applyBorder="1" applyAlignment="1">
      <alignment horizontal="center" vertical="center"/>
    </xf>
    <xf numFmtId="0" fontId="18" fillId="3" borderId="22" xfId="1" applyFont="1" applyFill="1" applyBorder="1" applyAlignment="1">
      <alignment horizontal="center" vertical="center"/>
    </xf>
    <xf numFmtId="0" fontId="40" fillId="6" borderId="23" xfId="0" applyFont="1" applyFill="1" applyBorder="1" applyAlignment="1">
      <alignment horizontal="center" vertical="center"/>
    </xf>
    <xf numFmtId="0" fontId="40" fillId="6" borderId="23" xfId="0" applyFont="1" applyFill="1" applyBorder="1" applyAlignment="1">
      <alignment horizontal="center"/>
    </xf>
    <xf numFmtId="0" fontId="40" fillId="6" borderId="23" xfId="0" applyFont="1" applyFill="1" applyBorder="1" applyAlignment="1">
      <alignment horizontal="center" wrapText="1"/>
    </xf>
    <xf numFmtId="0" fontId="53" fillId="8" borderId="23" xfId="0" applyFont="1" applyFill="1" applyBorder="1" applyAlignment="1">
      <alignment horizontal="center"/>
    </xf>
    <xf numFmtId="0" fontId="40" fillId="6" borderId="23" xfId="0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left" vertical="center" wrapText="1"/>
    </xf>
    <xf numFmtId="0" fontId="4" fillId="2" borderId="8" xfId="1" applyFont="1" applyFill="1" applyBorder="1" applyAlignment="1">
      <alignment horizontal="left" vertical="center" wrapText="1"/>
    </xf>
    <xf numFmtId="0" fontId="4" fillId="3" borderId="12" xfId="1" applyFont="1" applyFill="1" applyBorder="1" applyAlignment="1">
      <alignment vertical="center"/>
    </xf>
    <xf numFmtId="0" fontId="4" fillId="3" borderId="15" xfId="1" applyFont="1" applyFill="1" applyBorder="1" applyAlignment="1">
      <alignment vertical="center"/>
    </xf>
    <xf numFmtId="0" fontId="4" fillId="3" borderId="13" xfId="1" applyFont="1" applyFill="1" applyBorder="1" applyAlignment="1">
      <alignment horizontal="center" vertical="center"/>
    </xf>
    <xf numFmtId="0" fontId="4" fillId="3" borderId="16" xfId="1" applyFont="1" applyFill="1" applyBorder="1" applyAlignment="1">
      <alignment horizontal="center" vertical="center"/>
    </xf>
    <xf numFmtId="2" fontId="4" fillId="3" borderId="13" xfId="1" applyNumberFormat="1" applyFont="1" applyFill="1" applyBorder="1" applyAlignment="1">
      <alignment horizontal="center" vertical="center"/>
    </xf>
    <xf numFmtId="2" fontId="4" fillId="3" borderId="16" xfId="1" applyNumberFormat="1" applyFont="1" applyFill="1" applyBorder="1" applyAlignment="1">
      <alignment horizontal="center" vertical="center"/>
    </xf>
    <xf numFmtId="2" fontId="4" fillId="3" borderId="13" xfId="1" applyNumberFormat="1" applyFont="1" applyFill="1" applyBorder="1" applyAlignment="1">
      <alignment vertical="center"/>
    </xf>
    <xf numFmtId="2" fontId="4" fillId="3" borderId="16" xfId="1" applyNumberFormat="1" applyFont="1" applyFill="1" applyBorder="1" applyAlignment="1">
      <alignment vertical="center"/>
    </xf>
    <xf numFmtId="2" fontId="4" fillId="3" borderId="14" xfId="1" applyNumberFormat="1" applyFont="1" applyFill="1" applyBorder="1" applyAlignment="1">
      <alignment vertical="center"/>
    </xf>
    <xf numFmtId="2" fontId="4" fillId="3" borderId="17" xfId="1" applyNumberFormat="1" applyFont="1" applyFill="1" applyBorder="1" applyAlignment="1">
      <alignment vertical="center"/>
    </xf>
    <xf numFmtId="0" fontId="23" fillId="0" borderId="81" xfId="1" applyFont="1" applyFill="1" applyBorder="1" applyAlignment="1">
      <alignment vertical="center"/>
    </xf>
    <xf numFmtId="0" fontId="23" fillId="0" borderId="82" xfId="1" applyFont="1" applyFill="1" applyBorder="1" applyAlignment="1">
      <alignment vertical="center"/>
    </xf>
    <xf numFmtId="43" fontId="50" fillId="0" borderId="18" xfId="0" applyNumberFormat="1" applyFont="1" applyFill="1" applyBorder="1" applyAlignment="1">
      <alignment vertical="center"/>
    </xf>
    <xf numFmtId="0" fontId="27" fillId="0" borderId="18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 vertical="center"/>
    </xf>
    <xf numFmtId="2" fontId="19" fillId="0" borderId="18" xfId="1" applyNumberFormat="1" applyFont="1" applyFill="1" applyBorder="1" applyAlignment="1">
      <alignment horizontal="right" vertical="center"/>
    </xf>
    <xf numFmtId="0" fontId="19" fillId="0" borderId="18" xfId="1" applyNumberFormat="1" applyFont="1" applyFill="1" applyBorder="1" applyAlignment="1">
      <alignment horizontal="center" vertical="center"/>
    </xf>
    <xf numFmtId="2" fontId="19" fillId="0" borderId="18" xfId="1" applyNumberFormat="1" applyFont="1" applyFill="1" applyBorder="1" applyAlignment="1">
      <alignment horizontal="center" vertical="center"/>
    </xf>
    <xf numFmtId="1" fontId="19" fillId="0" borderId="18" xfId="1" applyNumberFormat="1" applyFont="1" applyFill="1" applyBorder="1" applyAlignment="1">
      <alignment horizontal="right" vertical="center"/>
    </xf>
    <xf numFmtId="0" fontId="19" fillId="0" borderId="18" xfId="1" applyNumberFormat="1" applyFont="1" applyFill="1" applyBorder="1" applyAlignment="1">
      <alignment vertical="center"/>
    </xf>
    <xf numFmtId="0" fontId="18" fillId="0" borderId="18" xfId="1" applyFont="1" applyBorder="1" applyAlignment="1">
      <alignment horizontal="center" vertical="center"/>
    </xf>
    <xf numFmtId="2" fontId="19" fillId="0" borderId="18" xfId="1" applyNumberFormat="1" applyFont="1" applyBorder="1" applyAlignment="1">
      <alignment horizontal="right" vertical="center"/>
    </xf>
    <xf numFmtId="0" fontId="19" fillId="0" borderId="18" xfId="1" applyFont="1" applyBorder="1" applyAlignment="1">
      <alignment horizontal="center" vertical="center"/>
    </xf>
    <xf numFmtId="2" fontId="19" fillId="0" borderId="18" xfId="1" applyNumberFormat="1" applyFont="1" applyBorder="1" applyAlignment="1">
      <alignment horizontal="center" vertical="center"/>
    </xf>
    <xf numFmtId="1" fontId="19" fillId="0" borderId="18" xfId="1" applyNumberFormat="1" applyFont="1" applyBorder="1" applyAlignment="1">
      <alignment horizontal="right" vertical="center"/>
    </xf>
    <xf numFmtId="0" fontId="19" fillId="0" borderId="18" xfId="1" applyFont="1" applyBorder="1" applyAlignment="1">
      <alignment vertical="center"/>
    </xf>
    <xf numFmtId="2" fontId="25" fillId="0" borderId="18" xfId="1" applyNumberFormat="1" applyFont="1" applyFill="1" applyBorder="1" applyAlignment="1">
      <alignment vertical="center"/>
    </xf>
    <xf numFmtId="1" fontId="24" fillId="0" borderId="18" xfId="1" applyNumberFormat="1" applyFont="1" applyBorder="1" applyAlignment="1" applyProtection="1">
      <alignment horizontal="right" vertical="top"/>
      <protection locked="0"/>
    </xf>
    <xf numFmtId="2" fontId="29" fillId="0" borderId="18" xfId="1" applyNumberFormat="1" applyFont="1" applyBorder="1" applyAlignment="1" applyProtection="1">
      <alignment horizontal="right" vertical="top"/>
      <protection locked="0"/>
    </xf>
    <xf numFmtId="1" fontId="24" fillId="0" borderId="18" xfId="1" applyNumberFormat="1" applyFont="1" applyBorder="1" applyAlignment="1">
      <alignment horizontal="right" vertical="top"/>
    </xf>
    <xf numFmtId="2" fontId="24" fillId="0" borderId="18" xfId="1" applyNumberFormat="1" applyFont="1" applyBorder="1" applyAlignment="1">
      <alignment horizontal="right" vertical="top"/>
    </xf>
    <xf numFmtId="2" fontId="24" fillId="0" borderId="18" xfId="2" applyNumberFormat="1" applyFont="1" applyBorder="1" applyAlignment="1">
      <alignment horizontal="right" vertical="top"/>
    </xf>
    <xf numFmtId="1" fontId="25" fillId="0" borderId="18" xfId="0" applyNumberFormat="1" applyFont="1" applyBorder="1" applyAlignment="1">
      <alignment horizontal="center" vertical="top"/>
    </xf>
    <xf numFmtId="164" fontId="44" fillId="7" borderId="18" xfId="0" quotePrefix="1" applyNumberFormat="1" applyFont="1" applyFill="1" applyBorder="1" applyAlignment="1">
      <alignment horizontal="right" vertical="center"/>
    </xf>
    <xf numFmtId="0" fontId="44" fillId="7" borderId="18" xfId="0" applyFont="1" applyFill="1" applyBorder="1" applyAlignment="1">
      <alignment horizontal="left" vertical="top" indent="1"/>
    </xf>
    <xf numFmtId="0" fontId="30" fillId="7" borderId="18" xfId="0" applyFont="1" applyFill="1" applyBorder="1" applyAlignment="1">
      <alignment horizontal="center" vertical="top"/>
    </xf>
    <xf numFmtId="1" fontId="29" fillId="7" borderId="18" xfId="1" applyNumberFormat="1" applyFont="1" applyFill="1" applyBorder="1" applyAlignment="1">
      <alignment horizontal="right" vertical="top"/>
    </xf>
    <xf numFmtId="2" fontId="29" fillId="7" borderId="18" xfId="1" applyNumberFormat="1" applyFont="1" applyFill="1" applyBorder="1" applyAlignment="1">
      <alignment horizontal="right" vertical="top"/>
    </xf>
    <xf numFmtId="2" fontId="29" fillId="7" borderId="18" xfId="2" applyNumberFormat="1" applyFont="1" applyFill="1" applyBorder="1" applyAlignment="1">
      <alignment horizontal="right" vertical="top"/>
    </xf>
    <xf numFmtId="2" fontId="24" fillId="7" borderId="18" xfId="1" applyNumberFormat="1" applyFont="1" applyFill="1" applyBorder="1" applyAlignment="1">
      <alignment horizontal="right" vertical="top"/>
    </xf>
    <xf numFmtId="0" fontId="5" fillId="0" borderId="18" xfId="1" applyFont="1" applyFill="1" applyBorder="1" applyAlignment="1">
      <alignment vertical="center"/>
    </xf>
    <xf numFmtId="0" fontId="5" fillId="0" borderId="18" xfId="1" applyFont="1" applyBorder="1" applyAlignment="1">
      <alignment horizontal="left" vertical="center" wrapText="1" indent="3"/>
    </xf>
    <xf numFmtId="0" fontId="5" fillId="0" borderId="18" xfId="1" applyFont="1" applyFill="1" applyBorder="1" applyAlignment="1">
      <alignment horizontal="left" vertical="center" indent="1"/>
    </xf>
    <xf numFmtId="2" fontId="5" fillId="0" borderId="18" xfId="1" applyNumberFormat="1" applyFont="1" applyFill="1" applyBorder="1" applyAlignment="1">
      <alignment vertical="center"/>
    </xf>
    <xf numFmtId="1" fontId="51" fillId="0" borderId="18" xfId="2" applyNumberFormat="1" applyFont="1" applyFill="1" applyBorder="1" applyAlignment="1">
      <alignment horizontal="right" vertical="top"/>
    </xf>
    <xf numFmtId="0" fontId="5" fillId="0" borderId="18" xfId="1" applyFont="1" applyFill="1" applyBorder="1" applyAlignment="1">
      <alignment horizontal="left" vertical="center" indent="3"/>
    </xf>
    <xf numFmtId="0" fontId="19" fillId="0" borderId="18" xfId="1" applyFont="1" applyFill="1" applyBorder="1" applyAlignment="1">
      <alignment horizontal="right" vertical="center"/>
    </xf>
    <xf numFmtId="0" fontId="19" fillId="0" borderId="18" xfId="1" applyFont="1" applyFill="1" applyBorder="1" applyAlignment="1">
      <alignment horizontal="left" vertical="center" indent="3"/>
    </xf>
    <xf numFmtId="0" fontId="19" fillId="0" borderId="18" xfId="1" applyFont="1" applyFill="1" applyBorder="1" applyAlignment="1">
      <alignment horizontal="center" vertical="center"/>
    </xf>
    <xf numFmtId="168" fontId="19" fillId="0" borderId="18" xfId="1" applyNumberFormat="1" applyFont="1" applyFill="1" applyBorder="1" applyAlignment="1">
      <alignment horizontal="right"/>
    </xf>
    <xf numFmtId="168" fontId="19" fillId="0" borderId="18" xfId="1" applyNumberFormat="1" applyFont="1" applyFill="1" applyBorder="1" applyAlignment="1">
      <alignment vertical="center"/>
    </xf>
  </cellXfs>
  <cellStyles count="6">
    <cellStyle name="Millares 2" xfId="5" xr:uid="{00000000-0005-0000-0000-000000000000}"/>
    <cellStyle name="Normal" xfId="0" builtinId="0"/>
    <cellStyle name="Normal 2" xfId="1" xr:uid="{00000000-0005-0000-0000-000002000000}"/>
    <cellStyle name="Normal 2 2" xfId="2" xr:uid="{00000000-0005-0000-0000-000003000000}"/>
    <cellStyle name="Normal 2 3" xfId="4" xr:uid="{00000000-0005-0000-0000-000004000000}"/>
    <cellStyle name="Porcentaje" xfId="3" builtinId="5"/>
  </cellStyles>
  <dxfs count="0"/>
  <tableStyles count="0" defaultTableStyle="TableStyleMedium2" defaultPivotStyle="PivotStyleLight16"/>
  <colors>
    <mruColors>
      <color rgb="FF005A9E"/>
      <color rgb="FF0000FF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ko%20antonio/Documents/TRABAJOS%20ARCHIVOS/RONALD%2002-22/METRADO%20CUBIERTA%20MET%20SANTA%20ROSSA%20-%20PRIMA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exo"/>
      <sheetName val="Metrado"/>
      <sheetName val="RESUMEN MATERIALES"/>
      <sheetName val="RESUMEN"/>
    </sheetNames>
    <sheetDataSet>
      <sheetData sheetId="0">
        <row r="215">
          <cell r="D215">
            <v>14.732142857142859</v>
          </cell>
        </row>
        <row r="256">
          <cell r="D256">
            <v>0.98214285714285732</v>
          </cell>
        </row>
        <row r="298">
          <cell r="D298">
            <v>1.481063924514211E-2</v>
          </cell>
        </row>
      </sheetData>
      <sheetData sheetId="1">
        <row r="100">
          <cell r="D100" t="str">
            <v>Arandela  Ø=3/4"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347"/>
  <sheetViews>
    <sheetView view="pageBreakPreview" topLeftCell="B338" zoomScale="130" zoomScaleNormal="70" zoomScaleSheetLayoutView="130" workbookViewId="0">
      <selection activeCell="G353" sqref="G353"/>
    </sheetView>
  </sheetViews>
  <sheetFormatPr baseColWidth="10" defaultColWidth="11.5703125" defaultRowHeight="15" x14ac:dyDescent="0.25"/>
  <cols>
    <col min="1" max="1" width="7" style="161" hidden="1" customWidth="1"/>
    <col min="2" max="2" width="41.28515625" style="158" customWidth="1"/>
    <col min="3" max="3" width="8.5703125" style="158" customWidth="1"/>
    <col min="4" max="4" width="11.28515625" style="158" customWidth="1"/>
    <col min="5" max="5" width="11.28515625" style="190" customWidth="1"/>
    <col min="6" max="6" width="11.5703125" style="158" customWidth="1"/>
    <col min="7" max="7" width="11.28515625" style="158" customWidth="1"/>
    <col min="8" max="9" width="10.7109375" style="158" customWidth="1"/>
    <col min="10" max="10" width="7.5703125" style="158" customWidth="1"/>
    <col min="11" max="11" width="16.85546875" style="159" customWidth="1"/>
    <col min="12" max="12" width="13.140625" style="159" customWidth="1"/>
    <col min="13" max="13" width="15" style="159" customWidth="1"/>
    <col min="14" max="14" width="18.85546875" style="159" customWidth="1"/>
    <col min="15" max="15" width="8.7109375" style="160" customWidth="1"/>
    <col min="16" max="17" width="8.7109375" style="161" customWidth="1"/>
    <col min="18" max="16384" width="11.5703125" style="161"/>
  </cols>
  <sheetData>
    <row r="1" spans="2:15" ht="15.75" thickBot="1" x14ac:dyDescent="0.3">
      <c r="K1" s="326"/>
      <c r="L1" s="326"/>
      <c r="M1" s="326"/>
      <c r="N1" s="326"/>
    </row>
    <row r="2" spans="2:15" ht="23.25" customHeight="1" thickBot="1" x14ac:dyDescent="0.35">
      <c r="B2" s="603" t="s">
        <v>98</v>
      </c>
      <c r="C2" s="604"/>
      <c r="D2" s="604"/>
      <c r="E2" s="604"/>
      <c r="F2" s="604"/>
      <c r="G2" s="604"/>
      <c r="H2" s="604"/>
      <c r="I2" s="605"/>
      <c r="K2" s="598" t="s">
        <v>43</v>
      </c>
      <c r="L2" s="599"/>
      <c r="M2" s="600"/>
    </row>
    <row r="3" spans="2:15" s="158" customFormat="1" ht="12.75" x14ac:dyDescent="0.2">
      <c r="B3" s="583" t="s">
        <v>42</v>
      </c>
      <c r="C3" s="584"/>
      <c r="D3" s="584"/>
      <c r="E3" s="584"/>
      <c r="F3" s="584"/>
      <c r="G3" s="584"/>
      <c r="H3" s="584"/>
      <c r="I3" s="585"/>
      <c r="K3" s="162" t="s">
        <v>45</v>
      </c>
      <c r="L3" s="163">
        <f>+M15</f>
        <v>0.22321428571428573</v>
      </c>
      <c r="M3" s="164" t="s">
        <v>20</v>
      </c>
      <c r="N3" s="159"/>
      <c r="O3" s="159"/>
    </row>
    <row r="4" spans="2:15" s="158" customFormat="1" ht="13.5" thickBot="1" x14ac:dyDescent="0.25">
      <c r="B4" s="586" t="str">
        <f>Metrado!D44</f>
        <v>COLUMNA METÁLICA CIRCULAR TIPO 1 - L=8.37 m</v>
      </c>
      <c r="C4" s="587"/>
      <c r="D4" s="587"/>
      <c r="E4" s="587"/>
      <c r="F4" s="587"/>
      <c r="G4" s="587"/>
      <c r="H4" s="587"/>
      <c r="I4" s="588"/>
      <c r="K4" s="165" t="s">
        <v>46</v>
      </c>
      <c r="L4" s="163">
        <v>0.1191</v>
      </c>
      <c r="M4" s="164" t="s">
        <v>20</v>
      </c>
      <c r="N4" s="159"/>
      <c r="O4" s="159"/>
    </row>
    <row r="5" spans="2:15" s="158" customFormat="1" ht="15" customHeight="1" thickBot="1" x14ac:dyDescent="0.25">
      <c r="B5" s="166"/>
      <c r="C5" s="167"/>
      <c r="D5" s="167"/>
      <c r="E5" s="168"/>
      <c r="F5" s="167"/>
      <c r="G5" s="167"/>
      <c r="H5" s="167"/>
      <c r="I5" s="167"/>
      <c r="K5" s="165" t="s">
        <v>47</v>
      </c>
      <c r="L5" s="163">
        <v>0.1588</v>
      </c>
      <c r="M5" s="164" t="s">
        <v>20</v>
      </c>
      <c r="N5" s="159"/>
      <c r="O5" s="159"/>
    </row>
    <row r="6" spans="2:15" s="158" customFormat="1" ht="15" customHeight="1" thickBot="1" x14ac:dyDescent="0.25">
      <c r="B6" s="169" t="s">
        <v>59</v>
      </c>
      <c r="C6" s="170"/>
      <c r="D6" s="589" t="s">
        <v>43</v>
      </c>
      <c r="E6" s="590"/>
      <c r="F6" s="591"/>
      <c r="G6" s="167"/>
      <c r="H6" s="171" t="s">
        <v>44</v>
      </c>
      <c r="I6" s="172">
        <v>1.05</v>
      </c>
      <c r="K6" s="173" t="s">
        <v>48</v>
      </c>
      <c r="L6" s="174">
        <v>0.2382</v>
      </c>
      <c r="M6" s="175" t="s">
        <v>20</v>
      </c>
      <c r="N6" s="159"/>
      <c r="O6" s="159"/>
    </row>
    <row r="7" spans="2:15" s="158" customFormat="1" ht="15" customHeight="1" thickBot="1" x14ac:dyDescent="0.25">
      <c r="B7" s="176" t="s">
        <v>91</v>
      </c>
      <c r="C7" s="177"/>
      <c r="D7" s="178" t="s">
        <v>45</v>
      </c>
      <c r="E7" s="179">
        <f>IF(D$7=K$3,L$3,(IF(D$7=K$4,L$4,(IF(D$7=K$5,L$5,(IF(D$7=K$6,L$6,"")))))))</f>
        <v>0.22321428571428573</v>
      </c>
      <c r="F7" s="180" t="s">
        <v>20</v>
      </c>
      <c r="G7" s="167"/>
      <c r="H7" s="181"/>
      <c r="I7" s="182"/>
      <c r="L7" s="159"/>
      <c r="M7" s="159"/>
      <c r="N7" s="159"/>
      <c r="O7" s="159"/>
    </row>
    <row r="8" spans="2:15" s="158" customFormat="1" ht="15" customHeight="1" x14ac:dyDescent="0.2">
      <c r="B8" s="183"/>
      <c r="C8" s="177"/>
      <c r="D8" s="177"/>
      <c r="E8" s="184"/>
      <c r="F8" s="167"/>
      <c r="G8" s="185"/>
      <c r="H8" s="185"/>
      <c r="I8" s="186"/>
      <c r="L8" s="159"/>
      <c r="M8" s="159"/>
      <c r="N8" s="159"/>
      <c r="O8" s="159"/>
    </row>
    <row r="9" spans="2:15" s="158" customFormat="1" ht="15" customHeight="1" thickBot="1" x14ac:dyDescent="0.25">
      <c r="B9" s="183"/>
      <c r="C9" s="177"/>
      <c r="D9" s="177"/>
      <c r="E9" s="184"/>
      <c r="F9" s="167"/>
      <c r="G9" s="187"/>
      <c r="H9" s="187"/>
      <c r="I9" s="186"/>
      <c r="L9" s="159"/>
      <c r="M9" s="159"/>
      <c r="N9" s="159"/>
      <c r="O9" s="159"/>
    </row>
    <row r="10" spans="2:15" s="158" customFormat="1" ht="15" customHeight="1" thickBot="1" x14ac:dyDescent="0.25">
      <c r="B10" s="576" t="s">
        <v>90</v>
      </c>
      <c r="C10" s="577"/>
      <c r="D10" s="577"/>
      <c r="E10" s="577"/>
      <c r="F10" s="577"/>
      <c r="G10" s="577"/>
      <c r="H10" s="577"/>
      <c r="I10" s="578"/>
      <c r="L10" s="188">
        <v>1</v>
      </c>
      <c r="M10" s="188" t="s">
        <v>78</v>
      </c>
      <c r="N10" s="188">
        <v>14</v>
      </c>
      <c r="O10" s="188" t="s">
        <v>77</v>
      </c>
    </row>
    <row r="11" spans="2:15" s="158" customFormat="1" ht="15" customHeight="1" thickBot="1" x14ac:dyDescent="0.25">
      <c r="B11" s="189"/>
      <c r="E11" s="190"/>
      <c r="H11" s="592"/>
      <c r="I11" s="592"/>
      <c r="K11" s="159"/>
      <c r="L11" s="188">
        <f>+N11/N10</f>
        <v>7.1428571428571432</v>
      </c>
      <c r="M11" s="188" t="s">
        <v>78</v>
      </c>
      <c r="N11" s="188">
        <v>100</v>
      </c>
      <c r="O11" s="188" t="s">
        <v>77</v>
      </c>
    </row>
    <row r="12" spans="2:15" s="158" customFormat="1" ht="13.5" thickBot="1" x14ac:dyDescent="0.25">
      <c r="B12" s="191" t="s">
        <v>49</v>
      </c>
      <c r="C12" s="192" t="s">
        <v>50</v>
      </c>
      <c r="D12" s="192" t="s">
        <v>51</v>
      </c>
      <c r="E12" s="193" t="s">
        <v>52</v>
      </c>
      <c r="F12" s="193" t="s">
        <v>53</v>
      </c>
      <c r="G12" s="192" t="s">
        <v>54</v>
      </c>
      <c r="H12" s="192" t="s">
        <v>21</v>
      </c>
      <c r="I12" s="194" t="s">
        <v>22</v>
      </c>
      <c r="K12" s="159"/>
      <c r="L12" s="188"/>
      <c r="M12" s="188"/>
      <c r="N12" s="188"/>
      <c r="O12" s="188"/>
    </row>
    <row r="13" spans="2:15" s="158" customFormat="1" ht="12.75" x14ac:dyDescent="0.2">
      <c r="B13" s="195" t="s">
        <v>106</v>
      </c>
      <c r="C13" s="196"/>
      <c r="D13" s="196"/>
      <c r="E13" s="197"/>
      <c r="F13" s="197"/>
      <c r="G13" s="196"/>
      <c r="H13" s="196"/>
      <c r="I13" s="198"/>
      <c r="K13" s="159"/>
      <c r="L13" s="188">
        <v>1</v>
      </c>
      <c r="M13" s="188" t="s">
        <v>81</v>
      </c>
      <c r="N13" s="188">
        <v>32</v>
      </c>
      <c r="O13" s="188" t="s">
        <v>79</v>
      </c>
    </row>
    <row r="14" spans="2:15" s="158" customFormat="1" ht="13.5" thickBot="1" x14ac:dyDescent="0.25">
      <c r="B14" s="199" t="str">
        <f>+Metrado!D45</f>
        <v>Tubo circular schedule 40, Ø=8"</v>
      </c>
      <c r="C14" s="200">
        <v>6</v>
      </c>
      <c r="D14" s="201"/>
      <c r="E14" s="202"/>
      <c r="F14" s="201">
        <f>+Metrado!P45</f>
        <v>8.7884999999999991</v>
      </c>
      <c r="G14" s="203"/>
      <c r="H14" s="204">
        <f>SUM(F14)*I$6</f>
        <v>9.227924999999999</v>
      </c>
      <c r="I14" s="205">
        <f>H14/C14</f>
        <v>1.5379874999999998</v>
      </c>
      <c r="J14" s="206"/>
      <c r="K14" s="159"/>
      <c r="L14" s="188">
        <f>+N14/N13</f>
        <v>3.125E-2</v>
      </c>
      <c r="M14" s="188" t="s">
        <v>82</v>
      </c>
      <c r="N14" s="188">
        <v>1</v>
      </c>
      <c r="O14" s="188" t="s">
        <v>80</v>
      </c>
    </row>
    <row r="15" spans="2:15" s="158" customFormat="1" ht="13.5" thickBot="1" x14ac:dyDescent="0.25">
      <c r="B15" s="199"/>
      <c r="C15" s="200"/>
      <c r="D15" s="201"/>
      <c r="E15" s="202"/>
      <c r="F15" s="201"/>
      <c r="G15" s="203"/>
      <c r="H15" s="204"/>
      <c r="I15" s="205"/>
      <c r="K15" s="159"/>
      <c r="L15" s="208" t="s">
        <v>83</v>
      </c>
      <c r="M15" s="209">
        <f>+L11*L14</f>
        <v>0.22321428571428573</v>
      </c>
      <c r="N15" s="210" t="s">
        <v>84</v>
      </c>
      <c r="O15" s="159"/>
    </row>
    <row r="16" spans="2:15" s="158" customFormat="1" ht="13.5" thickBot="1" x14ac:dyDescent="0.25">
      <c r="B16" s="191" t="s">
        <v>49</v>
      </c>
      <c r="C16" s="192" t="s">
        <v>55</v>
      </c>
      <c r="D16" s="192" t="s">
        <v>50</v>
      </c>
      <c r="E16" s="192" t="s">
        <v>56</v>
      </c>
      <c r="F16" s="192" t="s">
        <v>57</v>
      </c>
      <c r="G16" s="192" t="s">
        <v>54</v>
      </c>
      <c r="H16" s="192" t="s">
        <v>19</v>
      </c>
      <c r="I16" s="194"/>
      <c r="K16" s="159"/>
      <c r="L16" s="159"/>
      <c r="M16" s="159"/>
      <c r="N16" s="159"/>
      <c r="O16" s="159"/>
    </row>
    <row r="17" spans="2:17" s="158" customFormat="1" ht="12.75" x14ac:dyDescent="0.2">
      <c r="B17" s="211" t="s">
        <v>104</v>
      </c>
      <c r="C17" s="377"/>
      <c r="D17" s="377"/>
      <c r="E17" s="377"/>
      <c r="F17" s="377"/>
      <c r="G17" s="377"/>
      <c r="H17" s="219">
        <f>+SUM(G18:G21)*$E$7*$I$6</f>
        <v>2.8932150000000001</v>
      </c>
      <c r="I17" s="378"/>
      <c r="K17" s="328"/>
      <c r="L17" s="328"/>
      <c r="M17" s="328"/>
      <c r="N17" s="328"/>
      <c r="O17" s="328"/>
    </row>
    <row r="18" spans="2:17" s="158" customFormat="1" ht="12.75" x14ac:dyDescent="0.2">
      <c r="B18" s="212" t="str">
        <f>+Metrado!D45</f>
        <v>Tubo circular schedule 40, Ø=8"</v>
      </c>
      <c r="C18" s="216">
        <v>8</v>
      </c>
      <c r="D18" s="217">
        <f>8*25.4/1000</f>
        <v>0.20319999999999999</v>
      </c>
      <c r="E18" s="217">
        <v>3.14</v>
      </c>
      <c r="F18" s="214">
        <f>+PRODUCT(D18:E18)</f>
        <v>0.63804799999999995</v>
      </c>
      <c r="G18" s="218">
        <f>+C18*F18</f>
        <v>5.1043839999999996</v>
      </c>
      <c r="H18" s="377"/>
      <c r="I18" s="378"/>
      <c r="K18" s="328"/>
      <c r="L18" s="328"/>
      <c r="M18" s="328"/>
      <c r="N18" s="328"/>
      <c r="O18" s="328"/>
    </row>
    <row r="19" spans="2:17" s="158" customFormat="1" ht="13.5" thickBot="1" x14ac:dyDescent="0.25">
      <c r="B19" s="212" t="str">
        <f>Metrado!D48</f>
        <v>Rigidizador de anclaje</v>
      </c>
      <c r="C19" s="382">
        <v>6</v>
      </c>
      <c r="D19" s="217">
        <v>0.15</v>
      </c>
      <c r="E19" s="217">
        <v>0.09</v>
      </c>
      <c r="F19" s="217">
        <f>+(E19+D19)*2</f>
        <v>0.48</v>
      </c>
      <c r="G19" s="218">
        <f>+C19*F19</f>
        <v>2.88</v>
      </c>
      <c r="H19" s="377"/>
      <c r="I19" s="378"/>
      <c r="K19" s="159"/>
      <c r="L19" s="159"/>
      <c r="M19" s="159"/>
      <c r="N19" s="159"/>
      <c r="O19" s="159"/>
    </row>
    <row r="20" spans="2:17" s="158" customFormat="1" ht="13.5" thickBot="1" x14ac:dyDescent="0.25">
      <c r="B20" s="212" t="str">
        <f>Metrado!D49</f>
        <v>Rigidizador tipo 2</v>
      </c>
      <c r="C20" s="382">
        <v>4</v>
      </c>
      <c r="D20" s="217">
        <v>0.2</v>
      </c>
      <c r="E20" s="217">
        <v>0.2</v>
      </c>
      <c r="F20" s="217">
        <f t="shared" ref="F20" si="0">+(E20+D20)*2</f>
        <v>0.8</v>
      </c>
      <c r="G20" s="218">
        <f t="shared" ref="G20" si="1">+C20*F20</f>
        <v>3.2</v>
      </c>
      <c r="H20" s="377"/>
      <c r="I20" s="378"/>
      <c r="K20" s="601" t="s">
        <v>63</v>
      </c>
      <c r="L20" s="602"/>
      <c r="M20" s="159"/>
      <c r="N20" s="224" t="s">
        <v>59</v>
      </c>
      <c r="O20" s="225" t="s">
        <v>60</v>
      </c>
      <c r="P20" s="193" t="s">
        <v>61</v>
      </c>
      <c r="Q20" s="226" t="s">
        <v>62</v>
      </c>
    </row>
    <row r="21" spans="2:17" s="158" customFormat="1" ht="12.75" x14ac:dyDescent="0.2">
      <c r="B21" s="212" t="str">
        <f>Metrado!D50</f>
        <v>Rigidizador tipo 3</v>
      </c>
      <c r="C21" s="428">
        <v>2</v>
      </c>
      <c r="D21" s="217">
        <v>0.2</v>
      </c>
      <c r="E21" s="217">
        <v>0.09</v>
      </c>
      <c r="F21" s="217">
        <f t="shared" ref="F21" si="2">+(E21+D21)*2</f>
        <v>0.58000000000000007</v>
      </c>
      <c r="G21" s="218">
        <f t="shared" ref="G21" si="3">+C21*F21</f>
        <v>1.1600000000000001</v>
      </c>
      <c r="H21" s="377"/>
      <c r="I21" s="378"/>
      <c r="K21" s="457"/>
      <c r="L21" s="458"/>
      <c r="M21" s="328"/>
      <c r="N21" s="232" t="s">
        <v>64</v>
      </c>
      <c r="O21" s="233">
        <v>1</v>
      </c>
      <c r="P21" s="234">
        <v>45</v>
      </c>
      <c r="Q21" s="235">
        <f>1/P21</f>
        <v>2.2222222222222223E-2</v>
      </c>
    </row>
    <row r="22" spans="2:17" s="158" customFormat="1" ht="12.75" x14ac:dyDescent="0.2">
      <c r="B22" s="211" t="s">
        <v>123</v>
      </c>
      <c r="C22" s="377"/>
      <c r="D22" s="377"/>
      <c r="E22" s="377"/>
      <c r="F22" s="377"/>
      <c r="G22" s="377"/>
      <c r="H22" s="219">
        <f>+SUM(G23)*$E$7*$I$6</f>
        <v>0.44862750000000001</v>
      </c>
      <c r="I22" s="378"/>
      <c r="K22" s="508"/>
      <c r="L22" s="378"/>
      <c r="M22" s="328"/>
      <c r="N22" s="232"/>
      <c r="O22" s="233"/>
      <c r="P22" s="234"/>
      <c r="Q22" s="235"/>
    </row>
    <row r="23" spans="2:17" s="158" customFormat="1" ht="13.5" thickBot="1" x14ac:dyDescent="0.25">
      <c r="B23" s="212" t="str">
        <f>B18</f>
        <v>Tubo circular schedule 40, Ø=8"</v>
      </c>
      <c r="C23" s="216">
        <v>3</v>
      </c>
      <c r="D23" s="217">
        <f>8*25.4/1000</f>
        <v>0.20319999999999999</v>
      </c>
      <c r="E23" s="217">
        <v>3.14</v>
      </c>
      <c r="F23" s="214">
        <f>+PRODUCT(D23:E23)</f>
        <v>0.63804799999999995</v>
      </c>
      <c r="G23" s="218">
        <f>+C23*F23</f>
        <v>1.9141439999999998</v>
      </c>
      <c r="H23" s="377"/>
      <c r="I23" s="378"/>
      <c r="K23" s="508"/>
      <c r="L23" s="378"/>
      <c r="M23" s="328"/>
      <c r="N23" s="232"/>
      <c r="O23" s="233"/>
      <c r="P23" s="234"/>
      <c r="Q23" s="235"/>
    </row>
    <row r="24" spans="2:17" s="158" customFormat="1" ht="13.5" thickBot="1" x14ac:dyDescent="0.25">
      <c r="B24" s="576" t="s">
        <v>58</v>
      </c>
      <c r="C24" s="577"/>
      <c r="D24" s="577"/>
      <c r="E24" s="577"/>
      <c r="F24" s="577"/>
      <c r="G24" s="577"/>
      <c r="H24" s="577"/>
      <c r="I24" s="578"/>
      <c r="K24" s="241" t="s">
        <v>66</v>
      </c>
      <c r="L24" s="242">
        <v>0.25</v>
      </c>
      <c r="M24" s="159"/>
      <c r="N24" s="243"/>
      <c r="O24" s="244">
        <v>2</v>
      </c>
      <c r="P24" s="234">
        <f>P21/O24</f>
        <v>22.5</v>
      </c>
      <c r="Q24" s="235">
        <f>1/P24</f>
        <v>4.4444444444444446E-2</v>
      </c>
    </row>
    <row r="25" spans="2:17" s="158" customFormat="1" ht="13.5" thickBot="1" x14ac:dyDescent="0.25">
      <c r="B25" s="166"/>
      <c r="C25" s="167"/>
      <c r="D25" s="167"/>
      <c r="E25" s="168"/>
      <c r="F25" s="167"/>
      <c r="G25" s="167"/>
      <c r="H25" s="167"/>
      <c r="I25" s="167"/>
      <c r="K25" s="159"/>
      <c r="L25" s="159"/>
      <c r="M25" s="159"/>
      <c r="N25" s="251"/>
      <c r="O25" s="252">
        <v>3</v>
      </c>
      <c r="P25" s="253">
        <f>P21/O25</f>
        <v>15</v>
      </c>
      <c r="Q25" s="254">
        <f>1/P25</f>
        <v>6.6666666666666666E-2</v>
      </c>
    </row>
    <row r="26" spans="2:17" s="158" customFormat="1" ht="13.5" thickBot="1" x14ac:dyDescent="0.25">
      <c r="B26" s="221" t="s">
        <v>59</v>
      </c>
      <c r="C26" s="222" t="s">
        <v>60</v>
      </c>
      <c r="D26" s="223" t="s">
        <v>61</v>
      </c>
      <c r="E26" s="172" t="s">
        <v>62</v>
      </c>
      <c r="F26" s="170"/>
      <c r="G26" s="167"/>
      <c r="H26" s="171" t="s">
        <v>44</v>
      </c>
      <c r="I26" s="172">
        <v>1.2</v>
      </c>
      <c r="K26" s="159"/>
      <c r="L26" s="159"/>
      <c r="M26" s="159"/>
      <c r="N26" s="224" t="s">
        <v>59</v>
      </c>
      <c r="O26" s="225" t="s">
        <v>60</v>
      </c>
      <c r="P26" s="193" t="s">
        <v>61</v>
      </c>
      <c r="Q26" s="226" t="s">
        <v>62</v>
      </c>
    </row>
    <row r="27" spans="2:17" s="158" customFormat="1" ht="13.5" thickBot="1" x14ac:dyDescent="0.25">
      <c r="B27" s="227" t="s">
        <v>64</v>
      </c>
      <c r="C27" s="228">
        <v>2</v>
      </c>
      <c r="D27" s="229">
        <v>22.5</v>
      </c>
      <c r="E27" s="230">
        <v>4.4444444444444446E-2</v>
      </c>
      <c r="F27" s="231"/>
      <c r="G27" s="167"/>
      <c r="H27" s="167"/>
      <c r="I27" s="167"/>
      <c r="K27" s="159"/>
      <c r="L27" s="159"/>
      <c r="M27" s="159"/>
      <c r="N27" s="232" t="s">
        <v>65</v>
      </c>
      <c r="O27" s="233">
        <v>1</v>
      </c>
      <c r="P27" s="234">
        <v>35</v>
      </c>
      <c r="Q27" s="235">
        <f>1/P27</f>
        <v>2.8571428571428571E-2</v>
      </c>
    </row>
    <row r="28" spans="2:17" s="158" customFormat="1" ht="15" customHeight="1" thickBot="1" x14ac:dyDescent="0.25">
      <c r="B28" s="236" t="s">
        <v>65</v>
      </c>
      <c r="C28" s="237">
        <v>2</v>
      </c>
      <c r="D28" s="238">
        <v>17.5</v>
      </c>
      <c r="E28" s="239">
        <v>5.7142857142857141E-2</v>
      </c>
      <c r="F28" s="231"/>
      <c r="G28" s="240"/>
      <c r="H28" s="593" t="s">
        <v>63</v>
      </c>
      <c r="I28" s="594"/>
      <c r="K28" s="159"/>
      <c r="L28" s="159"/>
      <c r="M28" s="159"/>
      <c r="N28" s="243"/>
      <c r="O28" s="244">
        <v>2</v>
      </c>
      <c r="P28" s="234">
        <f>P27/O28</f>
        <v>17.5</v>
      </c>
      <c r="Q28" s="235">
        <f>1/P28</f>
        <v>5.7142857142857141E-2</v>
      </c>
    </row>
    <row r="29" spans="2:17" s="158" customFormat="1" ht="13.5" thickBot="1" x14ac:dyDescent="0.25">
      <c r="B29" s="245"/>
      <c r="C29" s="246"/>
      <c r="D29" s="247"/>
      <c r="E29" s="248"/>
      <c r="F29" s="231"/>
      <c r="G29" s="167"/>
      <c r="H29" s="249" t="s">
        <v>66</v>
      </c>
      <c r="I29" s="250">
        <v>0.25</v>
      </c>
      <c r="K29" s="159"/>
      <c r="L29" s="159"/>
      <c r="M29" s="159"/>
      <c r="N29" s="251"/>
      <c r="O29" s="252">
        <v>3</v>
      </c>
      <c r="P29" s="265">
        <f>P27/O29</f>
        <v>11.666666666666666</v>
      </c>
      <c r="Q29" s="254">
        <f>1/P29</f>
        <v>8.5714285714285715E-2</v>
      </c>
    </row>
    <row r="30" spans="2:17" s="158" customFormat="1" ht="12.75" x14ac:dyDescent="0.2">
      <c r="B30" s="167"/>
      <c r="C30" s="167"/>
      <c r="D30" s="167"/>
      <c r="E30" s="167"/>
      <c r="F30" s="167"/>
      <c r="G30" s="167"/>
      <c r="H30" s="255"/>
      <c r="I30" s="167"/>
      <c r="K30" s="159"/>
      <c r="L30" s="159"/>
      <c r="M30" s="159"/>
      <c r="N30" s="159"/>
      <c r="O30" s="159"/>
    </row>
    <row r="31" spans="2:17" s="158" customFormat="1" ht="13.5" thickBot="1" x14ac:dyDescent="0.25">
      <c r="B31" s="189"/>
      <c r="E31" s="190"/>
      <c r="K31" s="159"/>
      <c r="L31" s="159"/>
      <c r="M31" s="159"/>
      <c r="N31" s="159"/>
      <c r="O31" s="159"/>
    </row>
    <row r="32" spans="2:17" s="158" customFormat="1" ht="39" thickBot="1" x14ac:dyDescent="0.25">
      <c r="B32" s="256" t="s">
        <v>49</v>
      </c>
      <c r="C32" s="257" t="s">
        <v>51</v>
      </c>
      <c r="D32" s="257" t="s">
        <v>67</v>
      </c>
      <c r="E32" s="258" t="s">
        <v>53</v>
      </c>
      <c r="F32" s="257" t="s">
        <v>95</v>
      </c>
      <c r="G32" s="257" t="s">
        <v>68</v>
      </c>
      <c r="H32" s="259" t="s">
        <v>37</v>
      </c>
      <c r="I32" s="260"/>
      <c r="K32" s="328"/>
      <c r="L32" s="328"/>
      <c r="M32" s="328"/>
      <c r="N32" s="328"/>
      <c r="O32" s="328"/>
    </row>
    <row r="33" spans="2:15" s="158" customFormat="1" ht="12.75" x14ac:dyDescent="0.2">
      <c r="B33" s="261" t="s">
        <v>69</v>
      </c>
      <c r="C33" s="262"/>
      <c r="D33" s="262"/>
      <c r="E33" s="262"/>
      <c r="F33" s="262"/>
      <c r="G33" s="262"/>
      <c r="H33" s="263">
        <f>SUM(G34:G38)*E$27*I$26</f>
        <v>0.35768848482133331</v>
      </c>
      <c r="I33" s="264"/>
      <c r="K33" s="328"/>
      <c r="L33" s="328"/>
      <c r="M33" s="328"/>
      <c r="N33" s="328"/>
      <c r="O33" s="328"/>
    </row>
    <row r="34" spans="2:15" s="158" customFormat="1" ht="12.75" x14ac:dyDescent="0.2">
      <c r="B34" s="212" t="str">
        <f>+B14</f>
        <v>Tubo circular schedule 40, Ø=8"</v>
      </c>
      <c r="C34" s="266">
        <v>1</v>
      </c>
      <c r="D34" s="266">
        <v>1</v>
      </c>
      <c r="E34" s="267">
        <f>+H14</f>
        <v>9.227924999999999</v>
      </c>
      <c r="F34" s="268">
        <f>+F18</f>
        <v>0.63804799999999995</v>
      </c>
      <c r="G34" s="269">
        <f>PRODUCT(C34:F34)</f>
        <v>5.8878590903999992</v>
      </c>
      <c r="H34" s="270"/>
      <c r="I34" s="271"/>
      <c r="K34" s="328"/>
      <c r="L34" s="328"/>
      <c r="M34" s="328"/>
      <c r="N34" s="328"/>
      <c r="O34" s="328"/>
    </row>
    <row r="35" spans="2:15" s="158" customFormat="1" ht="12.75" x14ac:dyDescent="0.2">
      <c r="B35" s="158" t="str">
        <f>+Metrado!D47</f>
        <v>Plancha inferior de union cercha columna</v>
      </c>
      <c r="C35" s="266">
        <v>1</v>
      </c>
      <c r="D35" s="266">
        <v>2</v>
      </c>
      <c r="E35" s="267">
        <v>0.6</v>
      </c>
      <c r="F35" s="268">
        <v>0.4</v>
      </c>
      <c r="G35" s="269">
        <f>PRODUCT(C35:F35)</f>
        <v>0.48</v>
      </c>
      <c r="H35" s="272"/>
      <c r="I35" s="271"/>
      <c r="K35" s="159"/>
      <c r="L35" s="159"/>
      <c r="M35" s="159"/>
      <c r="N35" s="159"/>
      <c r="O35" s="159"/>
    </row>
    <row r="36" spans="2:15" s="158" customFormat="1" ht="12.75" x14ac:dyDescent="0.2">
      <c r="B36" s="212" t="str">
        <f>+B19</f>
        <v>Rigidizador de anclaje</v>
      </c>
      <c r="C36" s="330">
        <v>2</v>
      </c>
      <c r="D36" s="330">
        <v>2</v>
      </c>
      <c r="E36" s="273">
        <f>Metrado!G48</f>
        <v>0.17</v>
      </c>
      <c r="F36" s="274">
        <f>Metrado!H48</f>
        <v>0.11</v>
      </c>
      <c r="G36" s="331">
        <f>PRODUCT(C36:F36)</f>
        <v>7.4800000000000005E-2</v>
      </c>
      <c r="H36" s="272"/>
      <c r="I36" s="271"/>
      <c r="K36" s="159"/>
      <c r="L36" s="159"/>
      <c r="M36" s="159"/>
      <c r="N36" s="159"/>
      <c r="O36" s="159"/>
    </row>
    <row r="37" spans="2:15" s="158" customFormat="1" ht="12.75" x14ac:dyDescent="0.2">
      <c r="B37" s="212" t="str">
        <f>+B20</f>
        <v>Rigidizador tipo 2</v>
      </c>
      <c r="C37" s="367">
        <v>2</v>
      </c>
      <c r="D37" s="367">
        <v>2</v>
      </c>
      <c r="E37" s="273">
        <f>Metrado!G49</f>
        <v>0.27</v>
      </c>
      <c r="F37" s="274">
        <f>Metrado!H49</f>
        <v>0.2</v>
      </c>
      <c r="G37" s="331">
        <f t="shared" ref="G37:G38" si="4">PRODUCT(C37:F37)</f>
        <v>0.21600000000000003</v>
      </c>
      <c r="H37" s="272"/>
      <c r="I37" s="271"/>
      <c r="K37" s="159"/>
      <c r="L37" s="159"/>
      <c r="M37" s="159"/>
      <c r="N37" s="159"/>
      <c r="O37" s="159"/>
    </row>
    <row r="38" spans="2:15" s="158" customFormat="1" ht="12.75" x14ac:dyDescent="0.2">
      <c r="B38" s="212" t="str">
        <f>B21</f>
        <v>Rigidizador tipo 3</v>
      </c>
      <c r="C38" s="376">
        <v>1</v>
      </c>
      <c r="D38" s="376">
        <v>2</v>
      </c>
      <c r="E38" s="273">
        <f>Metrado!G50</f>
        <v>0.2</v>
      </c>
      <c r="F38" s="274">
        <f>Metrado!H50</f>
        <v>0.12</v>
      </c>
      <c r="G38" s="331">
        <f t="shared" si="4"/>
        <v>4.8000000000000001E-2</v>
      </c>
      <c r="H38" s="272"/>
      <c r="I38" s="271"/>
      <c r="K38" s="328"/>
      <c r="L38" s="328"/>
      <c r="M38" s="328"/>
      <c r="N38" s="328"/>
      <c r="O38" s="328"/>
    </row>
    <row r="39" spans="2:15" s="158" customFormat="1" ht="12.75" x14ac:dyDescent="0.2">
      <c r="B39" s="275" t="s">
        <v>70</v>
      </c>
      <c r="C39" s="276"/>
      <c r="D39" s="276"/>
      <c r="E39" s="276"/>
      <c r="F39" s="276"/>
      <c r="G39" s="276"/>
      <c r="H39" s="277">
        <f>SUM(G40:G44)*E$28*I$26</f>
        <v>0.46077517648457139</v>
      </c>
      <c r="I39" s="271"/>
      <c r="K39" s="328"/>
      <c r="L39" s="328"/>
      <c r="M39" s="328"/>
      <c r="N39" s="328"/>
      <c r="O39" s="328"/>
    </row>
    <row r="40" spans="2:15" s="158" customFormat="1" ht="12.75" x14ac:dyDescent="0.2">
      <c r="B40" s="212" t="str">
        <f>+B34</f>
        <v>Tubo circular schedule 40, Ø=8"</v>
      </c>
      <c r="C40" s="244">
        <f>+C34</f>
        <v>1</v>
      </c>
      <c r="D40" s="244">
        <f>+D34</f>
        <v>1</v>
      </c>
      <c r="E40" s="278">
        <f>+E34</f>
        <v>9.227924999999999</v>
      </c>
      <c r="F40" s="279">
        <f>+F34</f>
        <v>0.63804799999999995</v>
      </c>
      <c r="G40" s="269">
        <f>PRODUCT(C40:F40)</f>
        <v>5.8878590903999992</v>
      </c>
      <c r="H40" s="277"/>
      <c r="I40" s="271"/>
      <c r="K40" s="328"/>
      <c r="L40" s="328"/>
      <c r="M40" s="328"/>
      <c r="N40" s="328"/>
      <c r="O40" s="328"/>
    </row>
    <row r="41" spans="2:15" s="158" customFormat="1" ht="12.75" x14ac:dyDescent="0.2">
      <c r="B41" s="212" t="str">
        <f t="shared" ref="B41:F44" si="5">+B35</f>
        <v>Plancha inferior de union cercha columna</v>
      </c>
      <c r="C41" s="244">
        <f t="shared" si="5"/>
        <v>1</v>
      </c>
      <c r="D41" s="244">
        <f t="shared" si="5"/>
        <v>2</v>
      </c>
      <c r="E41" s="278">
        <f t="shared" si="5"/>
        <v>0.6</v>
      </c>
      <c r="F41" s="279">
        <f t="shared" si="5"/>
        <v>0.4</v>
      </c>
      <c r="G41" s="269">
        <f>PRODUCT(C41:F41)</f>
        <v>0.48</v>
      </c>
      <c r="H41" s="277"/>
      <c r="I41" s="271"/>
      <c r="K41" s="159"/>
      <c r="L41" s="159"/>
      <c r="M41" s="159"/>
      <c r="N41" s="159"/>
      <c r="O41" s="159"/>
    </row>
    <row r="42" spans="2:15" x14ac:dyDescent="0.25">
      <c r="B42" s="212" t="str">
        <f t="shared" si="5"/>
        <v>Rigidizador de anclaje</v>
      </c>
      <c r="C42" s="244">
        <f t="shared" si="5"/>
        <v>2</v>
      </c>
      <c r="D42" s="244">
        <f t="shared" si="5"/>
        <v>2</v>
      </c>
      <c r="E42" s="278">
        <f t="shared" si="5"/>
        <v>0.17</v>
      </c>
      <c r="F42" s="279">
        <f t="shared" si="5"/>
        <v>0.11</v>
      </c>
      <c r="G42" s="331">
        <f>PRODUCT(C42:F42)</f>
        <v>7.4800000000000005E-2</v>
      </c>
      <c r="H42" s="277"/>
      <c r="I42" s="271"/>
    </row>
    <row r="43" spans="2:15" x14ac:dyDescent="0.25">
      <c r="B43" s="212" t="str">
        <f t="shared" si="5"/>
        <v>Rigidizador tipo 2</v>
      </c>
      <c r="C43" s="244">
        <f t="shared" si="5"/>
        <v>2</v>
      </c>
      <c r="D43" s="244">
        <f t="shared" si="5"/>
        <v>2</v>
      </c>
      <c r="E43" s="278">
        <f t="shared" si="5"/>
        <v>0.27</v>
      </c>
      <c r="F43" s="279">
        <f t="shared" si="5"/>
        <v>0.2</v>
      </c>
      <c r="G43" s="331">
        <f>3.141*D43*C43*(E43*E43)/4</f>
        <v>0.22897890000000001</v>
      </c>
      <c r="H43" s="277"/>
      <c r="I43" s="271"/>
    </row>
    <row r="44" spans="2:15" x14ac:dyDescent="0.25">
      <c r="B44" s="212" t="str">
        <f t="shared" si="5"/>
        <v>Rigidizador tipo 3</v>
      </c>
      <c r="C44" s="244">
        <f t="shared" si="5"/>
        <v>1</v>
      </c>
      <c r="D44" s="244">
        <f t="shared" si="5"/>
        <v>2</v>
      </c>
      <c r="E44" s="278">
        <f t="shared" si="5"/>
        <v>0.2</v>
      </c>
      <c r="F44" s="279">
        <f t="shared" si="5"/>
        <v>0.12</v>
      </c>
      <c r="G44" s="331">
        <f t="shared" ref="G44" si="6">PRODUCT(C44:F44)</f>
        <v>4.8000000000000001E-2</v>
      </c>
      <c r="H44" s="277"/>
      <c r="I44" s="271"/>
    </row>
    <row r="45" spans="2:15" s="290" customFormat="1" x14ac:dyDescent="0.25">
      <c r="B45" s="275" t="s">
        <v>71</v>
      </c>
      <c r="C45" s="595" t="s">
        <v>72</v>
      </c>
      <c r="D45" s="596"/>
      <c r="E45" s="596"/>
      <c r="F45" s="597"/>
      <c r="G45" s="280" t="str">
        <f>+H29</f>
        <v>Pistola</v>
      </c>
      <c r="H45" s="277">
        <f>SUM(H33:H44)*I$29</f>
        <v>0.20461591532647616</v>
      </c>
      <c r="I45" s="271"/>
      <c r="J45" s="287"/>
      <c r="K45" s="288"/>
      <c r="L45" s="288"/>
      <c r="M45" s="288"/>
      <c r="N45" s="288"/>
      <c r="O45" s="289"/>
    </row>
    <row r="46" spans="2:15" s="290" customFormat="1" ht="15.75" thickBot="1" x14ac:dyDescent="0.3">
      <c r="B46" s="281"/>
      <c r="C46" s="282"/>
      <c r="D46" s="282"/>
      <c r="E46" s="283"/>
      <c r="F46" s="282"/>
      <c r="G46" s="282"/>
      <c r="H46" s="282"/>
      <c r="I46" s="284"/>
      <c r="J46" s="287"/>
      <c r="K46" s="288"/>
      <c r="L46" s="288"/>
      <c r="M46" s="288"/>
      <c r="N46" s="288"/>
      <c r="O46" s="289"/>
    </row>
    <row r="47" spans="2:15" s="300" customFormat="1" ht="15.75" thickBot="1" x14ac:dyDescent="0.3">
      <c r="B47" s="576" t="s">
        <v>73</v>
      </c>
      <c r="C47" s="577"/>
      <c r="D47" s="577"/>
      <c r="E47" s="577"/>
      <c r="F47" s="577"/>
      <c r="G47" s="577"/>
      <c r="H47" s="577"/>
      <c r="I47" s="578"/>
      <c r="J47" s="297"/>
      <c r="K47" s="298"/>
      <c r="L47" s="298"/>
      <c r="M47" s="298"/>
      <c r="N47" s="298"/>
      <c r="O47" s="299"/>
    </row>
    <row r="48" spans="2:15" s="290" customFormat="1" ht="15.75" thickBot="1" x14ac:dyDescent="0.3">
      <c r="B48" s="158"/>
      <c r="C48" s="158"/>
      <c r="D48" s="158"/>
      <c r="E48" s="190"/>
      <c r="F48" s="158"/>
      <c r="G48" s="158"/>
      <c r="H48" s="158"/>
      <c r="I48" s="158"/>
      <c r="J48" s="287"/>
      <c r="K48" s="288"/>
      <c r="L48" s="288"/>
      <c r="M48" s="288"/>
      <c r="N48" s="288"/>
      <c r="O48" s="289"/>
    </row>
    <row r="49" spans="2:15" s="290" customFormat="1" x14ac:dyDescent="0.25">
      <c r="B49" s="579" t="s">
        <v>49</v>
      </c>
      <c r="C49" s="581" t="s">
        <v>7</v>
      </c>
      <c r="D49" s="285" t="s">
        <v>74</v>
      </c>
      <c r="E49" s="286"/>
      <c r="F49" s="287"/>
      <c r="G49" s="287"/>
      <c r="H49" s="287"/>
      <c r="I49" s="287"/>
      <c r="J49" s="287"/>
      <c r="K49" s="288"/>
      <c r="L49" s="288"/>
      <c r="M49" s="288"/>
      <c r="N49" s="288"/>
      <c r="O49" s="289"/>
    </row>
    <row r="50" spans="2:15" s="290" customFormat="1" ht="15.75" thickBot="1" x14ac:dyDescent="0.3">
      <c r="B50" s="580"/>
      <c r="C50" s="582"/>
      <c r="D50" s="291" t="s">
        <v>7</v>
      </c>
      <c r="E50" s="292"/>
      <c r="F50" s="287"/>
      <c r="G50" s="287"/>
      <c r="H50" s="287"/>
      <c r="I50" s="287"/>
      <c r="J50" s="287"/>
      <c r="K50" s="288"/>
      <c r="L50" s="288"/>
      <c r="M50" s="288"/>
      <c r="N50" s="288"/>
      <c r="O50" s="289"/>
    </row>
    <row r="51" spans="2:15" s="290" customFormat="1" x14ac:dyDescent="0.25">
      <c r="B51" s="293" t="str">
        <f>+B4</f>
        <v>COLUMNA METÁLICA CIRCULAR TIPO 1 - L=8.37 m</v>
      </c>
      <c r="C51" s="294"/>
      <c r="D51" s="295"/>
      <c r="E51" s="296"/>
      <c r="F51" s="297"/>
      <c r="G51" s="297"/>
      <c r="H51" s="297"/>
      <c r="I51" s="297"/>
      <c r="J51" s="287"/>
      <c r="K51" s="288"/>
      <c r="L51" s="288"/>
      <c r="M51" s="288"/>
      <c r="N51" s="288"/>
      <c r="O51" s="289"/>
    </row>
    <row r="52" spans="2:15" x14ac:dyDescent="0.25">
      <c r="B52" s="301" t="str">
        <f>+B14</f>
        <v>Tubo circular schedule 40, Ø=8"</v>
      </c>
      <c r="C52" s="302" t="s">
        <v>21</v>
      </c>
      <c r="D52" s="303">
        <f>+H14</f>
        <v>9.227924999999999</v>
      </c>
      <c r="E52" s="304"/>
      <c r="F52" s="287"/>
      <c r="G52" s="287"/>
      <c r="H52" s="287"/>
      <c r="I52" s="287"/>
    </row>
    <row r="53" spans="2:15" x14ac:dyDescent="0.25">
      <c r="B53" s="332" t="str">
        <f>+B17</f>
        <v>ELECTRODOS E7018</v>
      </c>
      <c r="C53" s="306" t="s">
        <v>19</v>
      </c>
      <c r="D53" s="307">
        <f>+H17</f>
        <v>2.8932150000000001</v>
      </c>
      <c r="E53" s="304"/>
      <c r="F53" s="287"/>
      <c r="G53" s="287"/>
      <c r="H53" s="287"/>
      <c r="I53" s="287"/>
      <c r="K53" s="328"/>
      <c r="L53" s="328"/>
      <c r="M53" s="328"/>
      <c r="N53" s="328"/>
    </row>
    <row r="54" spans="2:15" x14ac:dyDescent="0.25">
      <c r="B54" s="332" t="str">
        <f>B22</f>
        <v>ELECTRODOS E6011</v>
      </c>
      <c r="C54" s="306" t="s">
        <v>19</v>
      </c>
      <c r="D54" s="307">
        <f>H22</f>
        <v>0.44862750000000001</v>
      </c>
      <c r="E54" s="304"/>
      <c r="F54" s="287"/>
      <c r="G54" s="287"/>
      <c r="H54" s="287"/>
      <c r="I54" s="287"/>
      <c r="K54" s="328"/>
      <c r="L54" s="328"/>
      <c r="M54" s="328"/>
      <c r="N54" s="328"/>
    </row>
    <row r="55" spans="2:15" x14ac:dyDescent="0.25">
      <c r="B55" s="305" t="str">
        <f>+B33</f>
        <v>ESMALTE SINTÉTICO</v>
      </c>
      <c r="C55" s="306" t="str">
        <f>+H32</f>
        <v>gln</v>
      </c>
      <c r="D55" s="307">
        <f>+H33</f>
        <v>0.35768848482133331</v>
      </c>
      <c r="E55" s="304"/>
      <c r="F55" s="287"/>
      <c r="G55" s="287"/>
      <c r="H55" s="287"/>
      <c r="I55" s="287"/>
      <c r="K55" s="328"/>
      <c r="L55" s="328"/>
      <c r="M55" s="328"/>
      <c r="N55" s="328"/>
    </row>
    <row r="56" spans="2:15" x14ac:dyDescent="0.25">
      <c r="B56" s="305" t="str">
        <f>+B39</f>
        <v>BASE ANTICORROSIVA</v>
      </c>
      <c r="C56" s="306" t="str">
        <f>+C55</f>
        <v>gln</v>
      </c>
      <c r="D56" s="307">
        <f>+H39</f>
        <v>0.46077517648457139</v>
      </c>
      <c r="E56" s="304"/>
      <c r="F56" s="287"/>
      <c r="G56" s="287"/>
      <c r="H56" s="287"/>
      <c r="I56" s="287"/>
      <c r="K56" s="328"/>
      <c r="L56" s="328"/>
      <c r="M56" s="328"/>
      <c r="N56" s="328"/>
    </row>
    <row r="57" spans="2:15" ht="15.75" thickBot="1" x14ac:dyDescent="0.3">
      <c r="B57" s="281" t="str">
        <f>+B45</f>
        <v>DILUYENTE ESTÁNDAR (THINNER)</v>
      </c>
      <c r="C57" s="252" t="str">
        <f>+C56</f>
        <v>gln</v>
      </c>
      <c r="D57" s="308">
        <f>+H45</f>
        <v>0.20461591532647616</v>
      </c>
      <c r="E57" s="309"/>
      <c r="K57" s="328"/>
      <c r="L57" s="328"/>
      <c r="M57" s="328"/>
      <c r="N57" s="328"/>
    </row>
    <row r="58" spans="2:15" ht="15.75" thickBot="1" x14ac:dyDescent="0.3">
      <c r="B58" s="212"/>
      <c r="C58" s="216"/>
      <c r="D58" s="217"/>
      <c r="E58" s="217"/>
      <c r="F58" s="214"/>
      <c r="G58" s="218"/>
      <c r="H58" s="219"/>
      <c r="I58" s="220"/>
      <c r="K58" s="328"/>
      <c r="L58" s="328"/>
      <c r="M58" s="328"/>
      <c r="N58" s="328"/>
    </row>
    <row r="59" spans="2:15" x14ac:dyDescent="0.25">
      <c r="B59" s="583" t="s">
        <v>42</v>
      </c>
      <c r="C59" s="584"/>
      <c r="D59" s="584"/>
      <c r="E59" s="584"/>
      <c r="F59" s="584"/>
      <c r="G59" s="584"/>
      <c r="H59" s="584"/>
      <c r="I59" s="585"/>
      <c r="K59" s="328"/>
      <c r="L59" s="328"/>
      <c r="M59" s="328"/>
      <c r="N59" s="328"/>
    </row>
    <row r="60" spans="2:15" ht="15.75" thickBot="1" x14ac:dyDescent="0.3">
      <c r="B60" s="586" t="str">
        <f>Metrado!D56</f>
        <v>COLUMNA METÁLICA CIRCULAR TIPO 2 -  L=4.87 m</v>
      </c>
      <c r="C60" s="587"/>
      <c r="D60" s="587"/>
      <c r="E60" s="587"/>
      <c r="F60" s="587"/>
      <c r="G60" s="587"/>
      <c r="H60" s="587"/>
      <c r="I60" s="588"/>
      <c r="K60" s="328"/>
      <c r="L60" s="328"/>
      <c r="M60" s="328"/>
      <c r="N60" s="328"/>
    </row>
    <row r="61" spans="2:15" ht="15.75" thickBot="1" x14ac:dyDescent="0.3">
      <c r="B61" s="166"/>
      <c r="C61" s="167"/>
      <c r="D61" s="167"/>
      <c r="E61" s="168"/>
      <c r="F61" s="167"/>
      <c r="G61" s="167"/>
      <c r="H61" s="167"/>
      <c r="I61" s="167"/>
      <c r="K61" s="328"/>
      <c r="L61" s="328"/>
      <c r="M61" s="328"/>
      <c r="N61" s="328"/>
    </row>
    <row r="62" spans="2:15" ht="15.75" thickBot="1" x14ac:dyDescent="0.3">
      <c r="B62" s="169" t="s">
        <v>59</v>
      </c>
      <c r="C62" s="170"/>
      <c r="D62" s="589" t="s">
        <v>43</v>
      </c>
      <c r="E62" s="590"/>
      <c r="F62" s="591"/>
      <c r="G62" s="167"/>
      <c r="H62" s="171" t="s">
        <v>44</v>
      </c>
      <c r="I62" s="172">
        <v>1.05</v>
      </c>
      <c r="K62" s="328"/>
      <c r="L62" s="328"/>
      <c r="M62" s="328"/>
      <c r="N62" s="328"/>
    </row>
    <row r="63" spans="2:15" ht="15.75" thickBot="1" x14ac:dyDescent="0.3">
      <c r="B63" s="176" t="s">
        <v>91</v>
      </c>
      <c r="C63" s="177"/>
      <c r="D63" s="178" t="s">
        <v>45</v>
      </c>
      <c r="E63" s="179">
        <f>IF(D$7=K$3,L$3,(IF(D$7=K$4,L$4,(IF(D$7=K$5,L$5,(IF(D$7=K$6,L$6,"")))))))</f>
        <v>0.22321428571428573</v>
      </c>
      <c r="F63" s="180" t="s">
        <v>20</v>
      </c>
      <c r="G63" s="167"/>
      <c r="H63" s="181"/>
      <c r="I63" s="182"/>
      <c r="K63" s="328"/>
      <c r="L63" s="328"/>
      <c r="M63" s="328"/>
      <c r="N63" s="328"/>
    </row>
    <row r="64" spans="2:15" x14ac:dyDescent="0.25">
      <c r="B64" s="183"/>
      <c r="C64" s="177"/>
      <c r="D64" s="177"/>
      <c r="E64" s="184"/>
      <c r="F64" s="167"/>
      <c r="G64" s="185"/>
      <c r="H64" s="185"/>
      <c r="I64" s="186"/>
      <c r="K64" s="328"/>
      <c r="L64" s="328"/>
      <c r="M64" s="328"/>
      <c r="N64" s="328"/>
    </row>
    <row r="65" spans="2:14" ht="15.75" thickBot="1" x14ac:dyDescent="0.3">
      <c r="B65" s="183"/>
      <c r="C65" s="177"/>
      <c r="D65" s="177"/>
      <c r="E65" s="184"/>
      <c r="F65" s="167"/>
      <c r="G65" s="187"/>
      <c r="H65" s="187"/>
      <c r="I65" s="186"/>
      <c r="K65" s="328"/>
      <c r="L65" s="328"/>
      <c r="M65" s="328"/>
      <c r="N65" s="328"/>
    </row>
    <row r="66" spans="2:14" ht="15.75" thickBot="1" x14ac:dyDescent="0.3">
      <c r="B66" s="576" t="s">
        <v>90</v>
      </c>
      <c r="C66" s="577"/>
      <c r="D66" s="577"/>
      <c r="E66" s="577"/>
      <c r="F66" s="577"/>
      <c r="G66" s="577"/>
      <c r="H66" s="577"/>
      <c r="I66" s="578"/>
      <c r="K66" s="328"/>
      <c r="L66" s="328"/>
      <c r="M66" s="328"/>
      <c r="N66" s="328"/>
    </row>
    <row r="67" spans="2:14" ht="15.75" thickBot="1" x14ac:dyDescent="0.3">
      <c r="B67" s="189"/>
      <c r="H67" s="592"/>
      <c r="I67" s="592"/>
      <c r="K67" s="328"/>
      <c r="L67" s="328"/>
      <c r="M67" s="328"/>
      <c r="N67" s="328"/>
    </row>
    <row r="68" spans="2:14" ht="15.75" thickBot="1" x14ac:dyDescent="0.3">
      <c r="B68" s="191" t="s">
        <v>49</v>
      </c>
      <c r="C68" s="192" t="s">
        <v>50</v>
      </c>
      <c r="D68" s="192" t="s">
        <v>51</v>
      </c>
      <c r="E68" s="193" t="s">
        <v>52</v>
      </c>
      <c r="F68" s="193" t="s">
        <v>53</v>
      </c>
      <c r="G68" s="192" t="s">
        <v>54</v>
      </c>
      <c r="H68" s="192" t="s">
        <v>21</v>
      </c>
      <c r="I68" s="194" t="s">
        <v>22</v>
      </c>
      <c r="K68" s="328"/>
      <c r="L68" s="328"/>
      <c r="M68" s="328"/>
      <c r="N68" s="328"/>
    </row>
    <row r="69" spans="2:14" x14ac:dyDescent="0.25">
      <c r="B69" s="195" t="s">
        <v>106</v>
      </c>
      <c r="C69" s="196"/>
      <c r="D69" s="196"/>
      <c r="E69" s="197"/>
      <c r="F69" s="197"/>
      <c r="G69" s="196"/>
      <c r="H69" s="196"/>
      <c r="I69" s="198"/>
      <c r="K69" s="328"/>
      <c r="L69" s="328"/>
      <c r="M69" s="328"/>
      <c r="N69" s="328"/>
    </row>
    <row r="70" spans="2:14" x14ac:dyDescent="0.25">
      <c r="B70" s="199" t="str">
        <f>Metrado!D57</f>
        <v>Tubo circular schedule 40, Ø=8"</v>
      </c>
      <c r="C70" s="200">
        <v>6</v>
      </c>
      <c r="D70" s="201"/>
      <c r="E70" s="202"/>
      <c r="F70" s="201">
        <f>Metrado!P57</f>
        <v>5.1135000000000002</v>
      </c>
      <c r="G70" s="203"/>
      <c r="H70" s="204">
        <f>SUM(F70)*I$6</f>
        <v>5.3691750000000003</v>
      </c>
      <c r="I70" s="205">
        <f>H70/C70</f>
        <v>0.89486250000000001</v>
      </c>
      <c r="K70" s="328"/>
      <c r="L70" s="328"/>
      <c r="M70" s="328"/>
      <c r="N70" s="328"/>
    </row>
    <row r="71" spans="2:14" ht="15.75" thickBot="1" x14ac:dyDescent="0.3">
      <c r="B71" s="199"/>
      <c r="C71" s="200"/>
      <c r="D71" s="201"/>
      <c r="E71" s="202"/>
      <c r="F71" s="201"/>
      <c r="G71" s="203"/>
      <c r="H71" s="204"/>
      <c r="I71" s="205"/>
      <c r="K71" s="328"/>
      <c r="L71" s="328"/>
      <c r="M71" s="328"/>
      <c r="N71" s="328"/>
    </row>
    <row r="72" spans="2:14" ht="15.75" thickBot="1" x14ac:dyDescent="0.3">
      <c r="B72" s="191" t="s">
        <v>49</v>
      </c>
      <c r="C72" s="192" t="s">
        <v>55</v>
      </c>
      <c r="D72" s="192" t="s">
        <v>50</v>
      </c>
      <c r="E72" s="192" t="s">
        <v>56</v>
      </c>
      <c r="F72" s="192" t="s">
        <v>57</v>
      </c>
      <c r="G72" s="192" t="s">
        <v>54</v>
      </c>
      <c r="H72" s="192" t="s">
        <v>19</v>
      </c>
      <c r="I72" s="194"/>
      <c r="K72" s="328"/>
      <c r="L72" s="328"/>
      <c r="M72" s="328"/>
      <c r="N72" s="328"/>
    </row>
    <row r="73" spans="2:14" x14ac:dyDescent="0.25">
      <c r="B73" s="211" t="s">
        <v>104</v>
      </c>
      <c r="C73" s="377"/>
      <c r="D73" s="377"/>
      <c r="E73" s="377"/>
      <c r="F73" s="377"/>
      <c r="G73" s="377"/>
      <c r="H73" s="219">
        <f>+SUM(G74:G77)*$E$7*$I$6</f>
        <v>2.2950450000000004</v>
      </c>
      <c r="I73" s="378"/>
      <c r="K73" s="328"/>
      <c r="L73" s="328"/>
      <c r="M73" s="328"/>
      <c r="N73" s="328"/>
    </row>
    <row r="74" spans="2:14" x14ac:dyDescent="0.25">
      <c r="B74" s="212" t="str">
        <f>Metrado!D57</f>
        <v>Tubo circular schedule 40, Ø=8"</v>
      </c>
      <c r="C74" s="216">
        <v>4</v>
      </c>
      <c r="D74" s="217">
        <f>8*25.4/1000</f>
        <v>0.20319999999999999</v>
      </c>
      <c r="E74" s="217">
        <v>3.14</v>
      </c>
      <c r="F74" s="214">
        <f>+PRODUCT(D74:E74)</f>
        <v>0.63804799999999995</v>
      </c>
      <c r="G74" s="218">
        <f>+C74*F74</f>
        <v>2.5521919999999998</v>
      </c>
      <c r="H74" s="377"/>
      <c r="I74" s="378"/>
      <c r="K74" s="328"/>
      <c r="L74" s="328"/>
      <c r="M74" s="328"/>
      <c r="N74" s="328"/>
    </row>
    <row r="75" spans="2:14" x14ac:dyDescent="0.25">
      <c r="B75" s="212" t="str">
        <f>Metrado!D60</f>
        <v>Rigidizador de anclaje</v>
      </c>
      <c r="C75" s="466">
        <v>6</v>
      </c>
      <c r="D75" s="217">
        <v>0.15</v>
      </c>
      <c r="E75" s="217">
        <v>0.09</v>
      </c>
      <c r="F75" s="217">
        <f>+(E75+D75)*2</f>
        <v>0.48</v>
      </c>
      <c r="G75" s="218">
        <f>+C75*F75</f>
        <v>2.88</v>
      </c>
      <c r="H75" s="377"/>
      <c r="I75" s="378"/>
      <c r="K75" s="328"/>
      <c r="L75" s="328"/>
      <c r="M75" s="328"/>
      <c r="N75" s="328"/>
    </row>
    <row r="76" spans="2:14" x14ac:dyDescent="0.25">
      <c r="B76" s="212" t="str">
        <f>Metrado!D61</f>
        <v>Rigidizador tipo 2</v>
      </c>
      <c r="C76" s="466">
        <v>4</v>
      </c>
      <c r="D76" s="217">
        <v>0.2</v>
      </c>
      <c r="E76" s="217">
        <v>0.2</v>
      </c>
      <c r="F76" s="217">
        <f t="shared" ref="F76:F77" si="7">+(E76+D76)*2</f>
        <v>0.8</v>
      </c>
      <c r="G76" s="218">
        <f t="shared" ref="G76:G77" si="8">+C76*F76</f>
        <v>3.2</v>
      </c>
      <c r="H76" s="377"/>
      <c r="I76" s="378"/>
      <c r="K76" s="328"/>
      <c r="L76" s="328"/>
      <c r="M76" s="328"/>
      <c r="N76" s="328"/>
    </row>
    <row r="77" spans="2:14" x14ac:dyDescent="0.25">
      <c r="B77" s="212" t="str">
        <f>Metrado!D62</f>
        <v>Rigidizador tipo 3</v>
      </c>
      <c r="C77" s="466">
        <v>2</v>
      </c>
      <c r="D77" s="217">
        <v>0.2</v>
      </c>
      <c r="E77" s="217">
        <v>0.09</v>
      </c>
      <c r="F77" s="217">
        <f t="shared" si="7"/>
        <v>0.58000000000000007</v>
      </c>
      <c r="G77" s="218">
        <f t="shared" si="8"/>
        <v>1.1600000000000001</v>
      </c>
      <c r="H77" s="377"/>
      <c r="I77" s="378"/>
      <c r="K77" s="328"/>
      <c r="L77" s="328"/>
      <c r="M77" s="328"/>
      <c r="N77" s="328"/>
    </row>
    <row r="78" spans="2:14" x14ac:dyDescent="0.25">
      <c r="B78" s="211" t="s">
        <v>123</v>
      </c>
      <c r="C78" s="377"/>
      <c r="D78" s="377"/>
      <c r="E78" s="377"/>
      <c r="F78" s="377"/>
      <c r="G78" s="377"/>
      <c r="H78" s="219">
        <f>+SUM(G79)*$E$7*$I$6</f>
        <v>0.29908499999999999</v>
      </c>
      <c r="I78" s="378"/>
      <c r="K78" s="328"/>
      <c r="L78" s="328"/>
      <c r="M78" s="328"/>
      <c r="N78" s="328"/>
    </row>
    <row r="79" spans="2:14" ht="15.75" thickBot="1" x14ac:dyDescent="0.3">
      <c r="B79" s="212" t="str">
        <f>B74</f>
        <v>Tubo circular schedule 40, Ø=8"</v>
      </c>
      <c r="C79" s="216">
        <v>2</v>
      </c>
      <c r="D79" s="217">
        <f>8*25.4/1000</f>
        <v>0.20319999999999999</v>
      </c>
      <c r="E79" s="217">
        <v>3.14</v>
      </c>
      <c r="F79" s="214">
        <f>+PRODUCT(D79:E79)</f>
        <v>0.63804799999999995</v>
      </c>
      <c r="G79" s="218">
        <f>+C79*F79</f>
        <v>1.2760959999999999</v>
      </c>
      <c r="H79" s="377"/>
      <c r="I79" s="378"/>
      <c r="K79" s="328"/>
      <c r="L79" s="328"/>
      <c r="M79" s="328"/>
      <c r="N79" s="328"/>
    </row>
    <row r="80" spans="2:14" ht="15.75" thickBot="1" x14ac:dyDescent="0.3">
      <c r="B80" s="576" t="s">
        <v>58</v>
      </c>
      <c r="C80" s="577"/>
      <c r="D80" s="577"/>
      <c r="E80" s="577"/>
      <c r="F80" s="577"/>
      <c r="G80" s="577"/>
      <c r="H80" s="577"/>
      <c r="I80" s="578"/>
      <c r="K80" s="328"/>
      <c r="L80" s="328"/>
      <c r="M80" s="328"/>
      <c r="N80" s="328"/>
    </row>
    <row r="81" spans="2:14" ht="15.75" thickBot="1" x14ac:dyDescent="0.3">
      <c r="B81" s="166"/>
      <c r="C81" s="167"/>
      <c r="D81" s="167"/>
      <c r="E81" s="168"/>
      <c r="F81" s="167"/>
      <c r="G81" s="167"/>
      <c r="H81" s="167"/>
      <c r="I81" s="167"/>
      <c r="K81" s="328"/>
      <c r="L81" s="328"/>
      <c r="M81" s="328"/>
      <c r="N81" s="328"/>
    </row>
    <row r="82" spans="2:14" ht="15.75" thickBot="1" x14ac:dyDescent="0.3">
      <c r="B82" s="221" t="s">
        <v>59</v>
      </c>
      <c r="C82" s="222" t="s">
        <v>60</v>
      </c>
      <c r="D82" s="223" t="s">
        <v>61</v>
      </c>
      <c r="E82" s="172" t="s">
        <v>62</v>
      </c>
      <c r="F82" s="170"/>
      <c r="G82" s="167"/>
      <c r="H82" s="171" t="s">
        <v>44</v>
      </c>
      <c r="I82" s="172">
        <v>1.2</v>
      </c>
      <c r="K82" s="328"/>
      <c r="L82" s="328"/>
      <c r="M82" s="328"/>
      <c r="N82" s="328"/>
    </row>
    <row r="83" spans="2:14" ht="15.75" thickBot="1" x14ac:dyDescent="0.3">
      <c r="B83" s="227" t="s">
        <v>64</v>
      </c>
      <c r="C83" s="228">
        <v>2</v>
      </c>
      <c r="D83" s="229">
        <v>22.5</v>
      </c>
      <c r="E83" s="230">
        <v>4.4444444444444446E-2</v>
      </c>
      <c r="F83" s="231"/>
      <c r="G83" s="167"/>
      <c r="H83" s="167"/>
      <c r="I83" s="167"/>
      <c r="K83" s="328"/>
      <c r="L83" s="328"/>
      <c r="M83" s="328"/>
      <c r="N83" s="328"/>
    </row>
    <row r="84" spans="2:14" ht="15.75" thickBot="1" x14ac:dyDescent="0.3">
      <c r="B84" s="236" t="s">
        <v>65</v>
      </c>
      <c r="C84" s="237">
        <v>2</v>
      </c>
      <c r="D84" s="238">
        <v>17.5</v>
      </c>
      <c r="E84" s="239">
        <v>5.7142857142857141E-2</v>
      </c>
      <c r="F84" s="231"/>
      <c r="G84" s="240"/>
      <c r="H84" s="593" t="s">
        <v>63</v>
      </c>
      <c r="I84" s="594"/>
      <c r="K84" s="328"/>
      <c r="L84" s="328"/>
      <c r="M84" s="328"/>
      <c r="N84" s="328"/>
    </row>
    <row r="85" spans="2:14" ht="15.75" thickBot="1" x14ac:dyDescent="0.3">
      <c r="B85" s="245"/>
      <c r="C85" s="246"/>
      <c r="D85" s="247"/>
      <c r="E85" s="248"/>
      <c r="F85" s="231"/>
      <c r="G85" s="167"/>
      <c r="H85" s="249" t="s">
        <v>66</v>
      </c>
      <c r="I85" s="250">
        <v>0.25</v>
      </c>
      <c r="K85" s="328"/>
      <c r="L85" s="328"/>
      <c r="M85" s="328"/>
      <c r="N85" s="328"/>
    </row>
    <row r="86" spans="2:14" x14ac:dyDescent="0.25">
      <c r="B86" s="167"/>
      <c r="C86" s="167"/>
      <c r="D86" s="167"/>
      <c r="E86" s="167"/>
      <c r="F86" s="167"/>
      <c r="G86" s="167"/>
      <c r="H86" s="255"/>
      <c r="I86" s="167"/>
      <c r="K86" s="328"/>
      <c r="L86" s="328"/>
      <c r="M86" s="328"/>
      <c r="N86" s="328"/>
    </row>
    <row r="87" spans="2:14" ht="15.75" thickBot="1" x14ac:dyDescent="0.3">
      <c r="B87" s="189"/>
      <c r="K87" s="328"/>
      <c r="L87" s="328"/>
      <c r="M87" s="328"/>
      <c r="N87" s="328"/>
    </row>
    <row r="88" spans="2:14" ht="39" thickBot="1" x14ac:dyDescent="0.3">
      <c r="B88" s="256" t="s">
        <v>49</v>
      </c>
      <c r="C88" s="257" t="s">
        <v>51</v>
      </c>
      <c r="D88" s="257" t="s">
        <v>67</v>
      </c>
      <c r="E88" s="258" t="s">
        <v>53</v>
      </c>
      <c r="F88" s="257" t="s">
        <v>95</v>
      </c>
      <c r="G88" s="257" t="s">
        <v>68</v>
      </c>
      <c r="H88" s="259" t="s">
        <v>37</v>
      </c>
      <c r="I88" s="260"/>
      <c r="K88" s="328"/>
      <c r="L88" s="328"/>
      <c r="M88" s="328"/>
      <c r="N88" s="328"/>
    </row>
    <row r="89" spans="2:14" x14ac:dyDescent="0.25">
      <c r="B89" s="261" t="s">
        <v>69</v>
      </c>
      <c r="C89" s="262"/>
      <c r="D89" s="262"/>
      <c r="E89" s="262"/>
      <c r="F89" s="262"/>
      <c r="G89" s="262"/>
      <c r="H89" s="263">
        <f>SUM(G90:G94)*E$27*I$26</f>
        <v>0.22637820642133336</v>
      </c>
      <c r="I89" s="264"/>
      <c r="K89" s="328"/>
      <c r="L89" s="328"/>
      <c r="M89" s="328"/>
      <c r="N89" s="328"/>
    </row>
    <row r="90" spans="2:14" x14ac:dyDescent="0.25">
      <c r="B90" s="212" t="str">
        <f>Metrado!D57</f>
        <v>Tubo circular schedule 40, Ø=8"</v>
      </c>
      <c r="C90" s="266">
        <v>1</v>
      </c>
      <c r="D90" s="266">
        <v>1</v>
      </c>
      <c r="E90" s="268">
        <f>+H70</f>
        <v>5.3691750000000003</v>
      </c>
      <c r="F90" s="268">
        <f>+F74</f>
        <v>0.63804799999999995</v>
      </c>
      <c r="G90" s="269">
        <f>PRODUCT(C90:F90)</f>
        <v>3.4257913703999998</v>
      </c>
      <c r="H90" s="270"/>
      <c r="I90" s="271"/>
      <c r="K90" s="328"/>
      <c r="L90" s="328"/>
      <c r="M90" s="328"/>
      <c r="N90" s="328"/>
    </row>
    <row r="91" spans="2:14" x14ac:dyDescent="0.25">
      <c r="B91" s="158" t="str">
        <f>Metrado!D59</f>
        <v>Plancha inferior de union cercha columna</v>
      </c>
      <c r="C91" s="266">
        <v>1</v>
      </c>
      <c r="D91" s="266">
        <v>2</v>
      </c>
      <c r="E91" s="268">
        <v>0.6</v>
      </c>
      <c r="F91" s="268">
        <v>0.4</v>
      </c>
      <c r="G91" s="269">
        <f>PRODUCT(C91:F91)</f>
        <v>0.48</v>
      </c>
      <c r="H91" s="272"/>
      <c r="I91" s="271"/>
      <c r="K91" s="328"/>
      <c r="L91" s="328"/>
      <c r="M91" s="328"/>
      <c r="N91" s="328"/>
    </row>
    <row r="92" spans="2:14" x14ac:dyDescent="0.25">
      <c r="B92" s="212" t="str">
        <f>Metrado!D60</f>
        <v>Rigidizador de anclaje</v>
      </c>
      <c r="C92" s="466">
        <v>2</v>
      </c>
      <c r="D92" s="466">
        <v>2</v>
      </c>
      <c r="E92" s="274">
        <f>Metrado!G60</f>
        <v>0.17</v>
      </c>
      <c r="F92" s="274">
        <f>Metrado!H60</f>
        <v>0.11</v>
      </c>
      <c r="G92" s="331">
        <f>PRODUCT(C92:F92)</f>
        <v>7.4800000000000005E-2</v>
      </c>
      <c r="H92" s="272"/>
      <c r="I92" s="271"/>
      <c r="K92" s="328"/>
      <c r="L92" s="328"/>
      <c r="M92" s="328"/>
      <c r="N92" s="328"/>
    </row>
    <row r="93" spans="2:14" x14ac:dyDescent="0.25">
      <c r="B93" s="212" t="str">
        <f>Metrado!D61</f>
        <v>Rigidizador tipo 2</v>
      </c>
      <c r="C93" s="466">
        <v>2</v>
      </c>
      <c r="D93" s="466">
        <v>2</v>
      </c>
      <c r="E93" s="274">
        <f>Metrado!G61</f>
        <v>0.27</v>
      </c>
      <c r="F93" s="274">
        <f>Metrado!H61</f>
        <v>0.2</v>
      </c>
      <c r="G93" s="331">
        <f t="shared" ref="G93:G94" si="9">PRODUCT(C93:F93)</f>
        <v>0.21600000000000003</v>
      </c>
      <c r="H93" s="272"/>
      <c r="I93" s="271"/>
      <c r="K93" s="328"/>
      <c r="L93" s="328"/>
      <c r="M93" s="328"/>
      <c r="N93" s="328"/>
    </row>
    <row r="94" spans="2:14" x14ac:dyDescent="0.25">
      <c r="B94" s="212" t="str">
        <f>Metrado!D62</f>
        <v>Rigidizador tipo 3</v>
      </c>
      <c r="C94" s="466">
        <v>1</v>
      </c>
      <c r="D94" s="466">
        <v>2</v>
      </c>
      <c r="E94" s="274">
        <f>Metrado!G62</f>
        <v>0.2</v>
      </c>
      <c r="F94" s="274">
        <f>Metrado!H62</f>
        <v>0.12</v>
      </c>
      <c r="G94" s="331">
        <f t="shared" si="9"/>
        <v>4.8000000000000001E-2</v>
      </c>
      <c r="H94" s="272"/>
      <c r="I94" s="271"/>
      <c r="K94" s="328"/>
      <c r="L94" s="328"/>
      <c r="M94" s="328"/>
      <c r="N94" s="328"/>
    </row>
    <row r="95" spans="2:14" x14ac:dyDescent="0.25">
      <c r="B95" s="275" t="s">
        <v>70</v>
      </c>
      <c r="C95" s="276"/>
      <c r="D95" s="276"/>
      <c r="E95" s="276"/>
      <c r="F95" s="276"/>
      <c r="G95" s="276"/>
      <c r="H95" s="277">
        <f>SUM(G96:G100)*E$28*I$26</f>
        <v>0.29194767568457147</v>
      </c>
      <c r="I95" s="271"/>
      <c r="K95" s="328"/>
      <c r="L95" s="328"/>
      <c r="M95" s="328"/>
      <c r="N95" s="328"/>
    </row>
    <row r="96" spans="2:14" x14ac:dyDescent="0.25">
      <c r="B96" s="212" t="str">
        <f>+B90</f>
        <v>Tubo circular schedule 40, Ø=8"</v>
      </c>
      <c r="C96" s="244">
        <f>+C90</f>
        <v>1</v>
      </c>
      <c r="D96" s="244">
        <f>+D90</f>
        <v>1</v>
      </c>
      <c r="E96" s="279">
        <f>+E90</f>
        <v>5.3691750000000003</v>
      </c>
      <c r="F96" s="279">
        <f>+F90</f>
        <v>0.63804799999999995</v>
      </c>
      <c r="G96" s="269">
        <f>PRODUCT(C96:F96)</f>
        <v>3.4257913703999998</v>
      </c>
      <c r="H96" s="277"/>
      <c r="I96" s="271"/>
      <c r="K96" s="328"/>
      <c r="L96" s="328"/>
      <c r="M96" s="328"/>
      <c r="N96" s="328"/>
    </row>
    <row r="97" spans="2:14" x14ac:dyDescent="0.25">
      <c r="B97" s="212" t="str">
        <f t="shared" ref="B97:F97" si="10">+B91</f>
        <v>Plancha inferior de union cercha columna</v>
      </c>
      <c r="C97" s="244">
        <f t="shared" si="10"/>
        <v>1</v>
      </c>
      <c r="D97" s="244">
        <f t="shared" si="10"/>
        <v>2</v>
      </c>
      <c r="E97" s="279">
        <f t="shared" si="10"/>
        <v>0.6</v>
      </c>
      <c r="F97" s="279">
        <f t="shared" si="10"/>
        <v>0.4</v>
      </c>
      <c r="G97" s="269">
        <f>PRODUCT(C97:F97)</f>
        <v>0.48</v>
      </c>
      <c r="H97" s="277"/>
      <c r="I97" s="271"/>
      <c r="K97" s="328"/>
      <c r="L97" s="328"/>
      <c r="M97" s="328"/>
      <c r="N97" s="328"/>
    </row>
    <row r="98" spans="2:14" x14ac:dyDescent="0.25">
      <c r="B98" s="212" t="str">
        <f t="shared" ref="B98:F98" si="11">+B92</f>
        <v>Rigidizador de anclaje</v>
      </c>
      <c r="C98" s="244">
        <f t="shared" si="11"/>
        <v>2</v>
      </c>
      <c r="D98" s="244">
        <f t="shared" si="11"/>
        <v>2</v>
      </c>
      <c r="E98" s="279">
        <f t="shared" si="11"/>
        <v>0.17</v>
      </c>
      <c r="F98" s="279">
        <f t="shared" si="11"/>
        <v>0.11</v>
      </c>
      <c r="G98" s="331">
        <f>PRODUCT(C98:F98)</f>
        <v>7.4800000000000005E-2</v>
      </c>
      <c r="H98" s="277"/>
      <c r="I98" s="271"/>
      <c r="K98" s="328"/>
      <c r="L98" s="328"/>
      <c r="M98" s="328"/>
      <c r="N98" s="328"/>
    </row>
    <row r="99" spans="2:14" x14ac:dyDescent="0.25">
      <c r="B99" s="212" t="str">
        <f t="shared" ref="B99:F99" si="12">+B93</f>
        <v>Rigidizador tipo 2</v>
      </c>
      <c r="C99" s="244">
        <f t="shared" si="12"/>
        <v>2</v>
      </c>
      <c r="D99" s="244">
        <f t="shared" si="12"/>
        <v>2</v>
      </c>
      <c r="E99" s="279">
        <f t="shared" si="12"/>
        <v>0.27</v>
      </c>
      <c r="F99" s="279">
        <f t="shared" si="12"/>
        <v>0.2</v>
      </c>
      <c r="G99" s="331">
        <f>3.141*D99*C99*(E99*E99)/4</f>
        <v>0.22897890000000001</v>
      </c>
      <c r="H99" s="277"/>
      <c r="I99" s="271"/>
      <c r="K99" s="328"/>
      <c r="L99" s="328"/>
      <c r="M99" s="328"/>
      <c r="N99" s="328"/>
    </row>
    <row r="100" spans="2:14" x14ac:dyDescent="0.25">
      <c r="B100" s="212" t="str">
        <f t="shared" ref="B100:F100" si="13">+B94</f>
        <v>Rigidizador tipo 3</v>
      </c>
      <c r="C100" s="244">
        <f t="shared" si="13"/>
        <v>1</v>
      </c>
      <c r="D100" s="244">
        <f t="shared" si="13"/>
        <v>2</v>
      </c>
      <c r="E100" s="279">
        <f t="shared" si="13"/>
        <v>0.2</v>
      </c>
      <c r="F100" s="279">
        <f t="shared" si="13"/>
        <v>0.12</v>
      </c>
      <c r="G100" s="331">
        <f t="shared" ref="G100" si="14">PRODUCT(C100:F100)</f>
        <v>4.8000000000000001E-2</v>
      </c>
      <c r="H100" s="277"/>
      <c r="I100" s="271"/>
      <c r="K100" s="328"/>
      <c r="L100" s="328"/>
      <c r="M100" s="328"/>
      <c r="N100" s="328"/>
    </row>
    <row r="101" spans="2:14" x14ac:dyDescent="0.25">
      <c r="B101" s="275" t="s">
        <v>71</v>
      </c>
      <c r="C101" s="595" t="s">
        <v>72</v>
      </c>
      <c r="D101" s="596"/>
      <c r="E101" s="596"/>
      <c r="F101" s="597"/>
      <c r="G101" s="280" t="str">
        <f>+H85</f>
        <v>Pistola</v>
      </c>
      <c r="H101" s="277">
        <f>SUM(H89:H100)*I$29</f>
        <v>0.1295814705264762</v>
      </c>
      <c r="I101" s="271"/>
      <c r="K101" s="328"/>
      <c r="L101" s="328"/>
      <c r="M101" s="328"/>
      <c r="N101" s="328"/>
    </row>
    <row r="102" spans="2:14" ht="15.75" thickBot="1" x14ac:dyDescent="0.3">
      <c r="B102" s="281"/>
      <c r="C102" s="282"/>
      <c r="D102" s="282"/>
      <c r="E102" s="283"/>
      <c r="F102" s="282"/>
      <c r="G102" s="282"/>
      <c r="H102" s="282"/>
      <c r="I102" s="284"/>
      <c r="K102" s="328"/>
      <c r="L102" s="328"/>
      <c r="M102" s="328"/>
      <c r="N102" s="328"/>
    </row>
    <row r="103" spans="2:14" ht="15.75" thickBot="1" x14ac:dyDescent="0.3">
      <c r="B103" s="576" t="s">
        <v>73</v>
      </c>
      <c r="C103" s="577"/>
      <c r="D103" s="577"/>
      <c r="E103" s="577"/>
      <c r="F103" s="577"/>
      <c r="G103" s="577"/>
      <c r="H103" s="577"/>
      <c r="I103" s="578"/>
      <c r="K103" s="328"/>
      <c r="L103" s="328"/>
      <c r="M103" s="328"/>
      <c r="N103" s="328"/>
    </row>
    <row r="104" spans="2:14" ht="15.75" thickBot="1" x14ac:dyDescent="0.3">
      <c r="K104" s="328"/>
      <c r="L104" s="328"/>
      <c r="M104" s="328"/>
      <c r="N104" s="328"/>
    </row>
    <row r="105" spans="2:14" x14ac:dyDescent="0.25">
      <c r="B105" s="579" t="s">
        <v>49</v>
      </c>
      <c r="C105" s="581" t="s">
        <v>7</v>
      </c>
      <c r="D105" s="285" t="s">
        <v>74</v>
      </c>
      <c r="E105" s="286"/>
      <c r="F105" s="287"/>
      <c r="G105" s="287"/>
      <c r="H105" s="287"/>
      <c r="I105" s="287"/>
      <c r="K105" s="328"/>
      <c r="L105" s="328"/>
      <c r="M105" s="328"/>
      <c r="N105" s="328"/>
    </row>
    <row r="106" spans="2:14" ht="15.75" thickBot="1" x14ac:dyDescent="0.3">
      <c r="B106" s="580"/>
      <c r="C106" s="582"/>
      <c r="D106" s="291" t="s">
        <v>7</v>
      </c>
      <c r="E106" s="292"/>
      <c r="F106" s="287"/>
      <c r="G106" s="287"/>
      <c r="H106" s="287"/>
      <c r="I106" s="287"/>
      <c r="K106" s="328"/>
      <c r="L106" s="328"/>
      <c r="M106" s="328"/>
      <c r="N106" s="328"/>
    </row>
    <row r="107" spans="2:14" x14ac:dyDescent="0.25">
      <c r="B107" s="293" t="str">
        <f>+B60</f>
        <v>COLUMNA METÁLICA CIRCULAR TIPO 2 -  L=4.87 m</v>
      </c>
      <c r="C107" s="294"/>
      <c r="D107" s="295"/>
      <c r="E107" s="296"/>
      <c r="F107" s="297"/>
      <c r="G107" s="297"/>
      <c r="H107" s="297"/>
      <c r="I107" s="297"/>
      <c r="K107" s="328"/>
      <c r="L107" s="328"/>
      <c r="M107" s="328"/>
      <c r="N107" s="328"/>
    </row>
    <row r="108" spans="2:14" x14ac:dyDescent="0.25">
      <c r="B108" s="301" t="str">
        <f>+B70</f>
        <v>Tubo circular schedule 40, Ø=8"</v>
      </c>
      <c r="C108" s="302" t="s">
        <v>21</v>
      </c>
      <c r="D108" s="303">
        <f>+H70</f>
        <v>5.3691750000000003</v>
      </c>
      <c r="E108" s="304"/>
      <c r="F108" s="287"/>
      <c r="G108" s="287"/>
      <c r="H108" s="287"/>
      <c r="I108" s="287"/>
      <c r="K108" s="328"/>
      <c r="L108" s="328"/>
      <c r="M108" s="328"/>
      <c r="N108" s="328"/>
    </row>
    <row r="109" spans="2:14" x14ac:dyDescent="0.25">
      <c r="B109" s="332" t="str">
        <f>+B73</f>
        <v>ELECTRODOS E7018</v>
      </c>
      <c r="C109" s="306" t="s">
        <v>19</v>
      </c>
      <c r="D109" s="307">
        <f>+H73</f>
        <v>2.2950450000000004</v>
      </c>
      <c r="E109" s="304"/>
      <c r="F109" s="287"/>
      <c r="G109" s="287"/>
      <c r="H109" s="287"/>
      <c r="I109" s="287"/>
      <c r="K109" s="328"/>
      <c r="L109" s="328"/>
      <c r="M109" s="328"/>
      <c r="N109" s="328"/>
    </row>
    <row r="110" spans="2:14" x14ac:dyDescent="0.25">
      <c r="B110" s="332" t="str">
        <f>B78</f>
        <v>ELECTRODOS E6011</v>
      </c>
      <c r="C110" s="306" t="s">
        <v>19</v>
      </c>
      <c r="D110" s="307">
        <f>H78</f>
        <v>0.29908499999999999</v>
      </c>
      <c r="E110" s="304"/>
      <c r="F110" s="287"/>
      <c r="G110" s="287"/>
      <c r="H110" s="287"/>
      <c r="I110" s="287"/>
      <c r="K110" s="328"/>
      <c r="L110" s="328"/>
      <c r="M110" s="328"/>
      <c r="N110" s="328"/>
    </row>
    <row r="111" spans="2:14" x14ac:dyDescent="0.25">
      <c r="B111" s="305" t="str">
        <f>+B89</f>
        <v>ESMALTE SINTÉTICO</v>
      </c>
      <c r="C111" s="306" t="str">
        <f>+H88</f>
        <v>gln</v>
      </c>
      <c r="D111" s="307">
        <f>+H89</f>
        <v>0.22637820642133336</v>
      </c>
      <c r="E111" s="304"/>
      <c r="F111" s="287"/>
      <c r="G111" s="287"/>
      <c r="H111" s="287"/>
      <c r="I111" s="287"/>
      <c r="K111" s="328"/>
      <c r="L111" s="328"/>
      <c r="M111" s="328"/>
      <c r="N111" s="328"/>
    </row>
    <row r="112" spans="2:14" x14ac:dyDescent="0.25">
      <c r="B112" s="305" t="str">
        <f>+B95</f>
        <v>BASE ANTICORROSIVA</v>
      </c>
      <c r="C112" s="306" t="str">
        <f>+C111</f>
        <v>gln</v>
      </c>
      <c r="D112" s="307">
        <f>+H95</f>
        <v>0.29194767568457147</v>
      </c>
      <c r="E112" s="304"/>
      <c r="F112" s="287"/>
      <c r="G112" s="287"/>
      <c r="H112" s="287"/>
      <c r="I112" s="287"/>
      <c r="K112" s="328"/>
      <c r="L112" s="328"/>
      <c r="M112" s="328"/>
      <c r="N112" s="328"/>
    </row>
    <row r="113" spans="2:14" ht="15.75" thickBot="1" x14ac:dyDescent="0.3">
      <c r="B113" s="281" t="str">
        <f>+B101</f>
        <v>DILUYENTE ESTÁNDAR (THINNER)</v>
      </c>
      <c r="C113" s="252" t="str">
        <f>+C112</f>
        <v>gln</v>
      </c>
      <c r="D113" s="308">
        <f>+H101</f>
        <v>0.1295814705264762</v>
      </c>
      <c r="E113" s="309"/>
      <c r="K113" s="328"/>
      <c r="L113" s="328"/>
      <c r="M113" s="328"/>
      <c r="N113" s="328"/>
    </row>
    <row r="114" spans="2:14" ht="15.75" thickBot="1" x14ac:dyDescent="0.3">
      <c r="B114" s="212"/>
      <c r="C114" s="216"/>
      <c r="D114" s="217"/>
      <c r="E114" s="217"/>
      <c r="F114" s="472"/>
      <c r="G114" s="218"/>
      <c r="H114" s="219"/>
      <c r="I114" s="220"/>
      <c r="K114" s="328"/>
      <c r="L114" s="328"/>
      <c r="M114" s="328"/>
      <c r="N114" s="328"/>
    </row>
    <row r="115" spans="2:14" x14ac:dyDescent="0.25">
      <c r="B115" s="583" t="s">
        <v>42</v>
      </c>
      <c r="C115" s="584"/>
      <c r="D115" s="584"/>
      <c r="E115" s="584"/>
      <c r="F115" s="584"/>
      <c r="G115" s="584"/>
      <c r="H115" s="584"/>
      <c r="I115" s="585"/>
      <c r="K115" s="328"/>
      <c r="L115" s="328"/>
      <c r="M115" s="328"/>
      <c r="N115" s="328"/>
    </row>
    <row r="116" spans="2:14" ht="15.75" thickBot="1" x14ac:dyDescent="0.3">
      <c r="B116" s="586" t="str">
        <f>+Metrado!D68</f>
        <v>CERCHA PRINCIPAL</v>
      </c>
      <c r="C116" s="587"/>
      <c r="D116" s="587"/>
      <c r="E116" s="587"/>
      <c r="F116" s="587"/>
      <c r="G116" s="587"/>
      <c r="H116" s="587"/>
      <c r="I116" s="588"/>
      <c r="K116" s="328"/>
      <c r="L116" s="328"/>
      <c r="M116" s="328"/>
      <c r="N116" s="328"/>
    </row>
    <row r="117" spans="2:14" ht="15.75" thickBot="1" x14ac:dyDescent="0.3">
      <c r="B117" s="166"/>
      <c r="C117" s="167"/>
      <c r="D117" s="167"/>
      <c r="E117" s="168"/>
      <c r="F117" s="167"/>
      <c r="G117" s="167"/>
      <c r="H117" s="167"/>
      <c r="I117" s="167"/>
      <c r="K117" s="328"/>
      <c r="L117" s="328"/>
      <c r="M117" s="328"/>
      <c r="N117" s="328"/>
    </row>
    <row r="118" spans="2:14" ht="15.75" thickBot="1" x14ac:dyDescent="0.3">
      <c r="B118" s="169" t="s">
        <v>59</v>
      </c>
      <c r="C118" s="170"/>
      <c r="D118" s="589" t="s">
        <v>43</v>
      </c>
      <c r="E118" s="590"/>
      <c r="F118" s="591"/>
      <c r="G118" s="167"/>
      <c r="H118" s="171" t="s">
        <v>44</v>
      </c>
      <c r="I118" s="172">
        <v>1.1000000000000001</v>
      </c>
      <c r="K118" s="328"/>
      <c r="L118" s="328"/>
      <c r="M118" s="328"/>
      <c r="N118" s="328"/>
    </row>
    <row r="119" spans="2:14" ht="15.75" thickBot="1" x14ac:dyDescent="0.3">
      <c r="B119" s="176" t="s">
        <v>91</v>
      </c>
      <c r="C119" s="177"/>
      <c r="D119" s="178" t="s">
        <v>45</v>
      </c>
      <c r="E119" s="179">
        <f>IF(D$7=K$3,L$3,(IF(D$7=K$4,L$4,(IF(D$7=K$5,L$5,(IF(D$7=K$6,L$6,"")))))))</f>
        <v>0.22321428571428573</v>
      </c>
      <c r="F119" s="180" t="s">
        <v>20</v>
      </c>
      <c r="G119" s="167"/>
      <c r="H119" s="181"/>
      <c r="I119" s="182"/>
      <c r="K119" s="328"/>
      <c r="L119" s="328"/>
      <c r="M119" s="328"/>
      <c r="N119" s="328"/>
    </row>
    <row r="120" spans="2:14" x14ac:dyDescent="0.25">
      <c r="B120" s="183"/>
      <c r="C120" s="177"/>
      <c r="D120" s="177"/>
      <c r="E120" s="184"/>
      <c r="F120" s="167"/>
      <c r="G120" s="185"/>
      <c r="H120" s="185"/>
      <c r="I120" s="186"/>
      <c r="K120" s="328"/>
      <c r="L120" s="328"/>
      <c r="M120" s="328"/>
      <c r="N120" s="328"/>
    </row>
    <row r="121" spans="2:14" ht="15.75" thickBot="1" x14ac:dyDescent="0.3">
      <c r="B121" s="183"/>
      <c r="C121" s="177"/>
      <c r="D121" s="177"/>
      <c r="E121" s="184"/>
      <c r="F121" s="167"/>
      <c r="G121" s="187"/>
      <c r="H121" s="187"/>
      <c r="I121" s="186"/>
      <c r="K121" s="328"/>
      <c r="L121" s="328"/>
      <c r="M121" s="328"/>
      <c r="N121" s="328"/>
    </row>
    <row r="122" spans="2:14" ht="15.75" thickBot="1" x14ac:dyDescent="0.3">
      <c r="B122" s="576" t="s">
        <v>90</v>
      </c>
      <c r="C122" s="577"/>
      <c r="D122" s="577"/>
      <c r="E122" s="577"/>
      <c r="F122" s="577"/>
      <c r="G122" s="577"/>
      <c r="H122" s="577"/>
      <c r="I122" s="578"/>
      <c r="K122" s="328"/>
      <c r="L122" s="328"/>
      <c r="M122" s="328"/>
      <c r="N122" s="328"/>
    </row>
    <row r="123" spans="2:14" ht="15.75" thickBot="1" x14ac:dyDescent="0.3">
      <c r="B123" s="189"/>
      <c r="H123" s="592"/>
      <c r="I123" s="592"/>
      <c r="K123" s="328"/>
      <c r="L123" s="328"/>
      <c r="M123" s="328"/>
      <c r="N123" s="328"/>
    </row>
    <row r="124" spans="2:14" ht="15.75" thickBot="1" x14ac:dyDescent="0.3">
      <c r="B124" s="191" t="s">
        <v>49</v>
      </c>
      <c r="C124" s="192" t="s">
        <v>50</v>
      </c>
      <c r="D124" s="192" t="s">
        <v>51</v>
      </c>
      <c r="E124" s="193" t="s">
        <v>52</v>
      </c>
      <c r="F124" s="193" t="s">
        <v>53</v>
      </c>
      <c r="G124" s="192" t="s">
        <v>54</v>
      </c>
      <c r="H124" s="192" t="s">
        <v>21</v>
      </c>
      <c r="I124" s="194" t="s">
        <v>22</v>
      </c>
      <c r="K124" s="328"/>
      <c r="L124" s="328"/>
      <c r="M124" s="328"/>
      <c r="N124" s="328"/>
    </row>
    <row r="125" spans="2:14" x14ac:dyDescent="0.25">
      <c r="B125" s="195" t="s">
        <v>75</v>
      </c>
      <c r="C125" s="196"/>
      <c r="D125" s="196"/>
      <c r="E125" s="197"/>
      <c r="F125" s="197"/>
      <c r="G125" s="196"/>
      <c r="H125" s="196"/>
      <c r="I125" s="198"/>
      <c r="K125" s="328"/>
      <c r="L125" s="328"/>
      <c r="M125" s="328"/>
      <c r="N125" s="328"/>
    </row>
    <row r="126" spans="2:14" x14ac:dyDescent="0.25">
      <c r="B126" s="199" t="str">
        <f>Metrado!D69</f>
        <v>Tubo LAC 100X50x2.5 mm</v>
      </c>
      <c r="C126" s="200">
        <v>6</v>
      </c>
      <c r="D126" s="201"/>
      <c r="E126" s="202"/>
      <c r="F126" s="201">
        <f>Metrado!P69</f>
        <v>65.253999999999991</v>
      </c>
      <c r="G126" s="203"/>
      <c r="H126" s="204">
        <f>SUM(F126)*$I$118</f>
        <v>71.779399999999995</v>
      </c>
      <c r="I126" s="205">
        <f>H126/C126</f>
        <v>11.963233333333333</v>
      </c>
      <c r="K126" s="328"/>
      <c r="L126" s="328"/>
      <c r="M126" s="328"/>
      <c r="N126" s="328"/>
    </row>
    <row r="127" spans="2:14" ht="15.75" thickBot="1" x14ac:dyDescent="0.3">
      <c r="B127" s="199" t="str">
        <f>Metrado!D70</f>
        <v>Tubo LAC 50x50x2 mm</v>
      </c>
      <c r="C127" s="382">
        <v>6</v>
      </c>
      <c r="D127" s="409"/>
      <c r="E127" s="410"/>
      <c r="F127" s="201">
        <f>Metrado!P70</f>
        <v>78.771000000000001</v>
      </c>
      <c r="G127" s="206"/>
      <c r="H127" s="204">
        <f t="shared" ref="H127" si="15">SUM(F127)*$I$118</f>
        <v>86.648100000000014</v>
      </c>
      <c r="I127" s="205">
        <f>H127/C127</f>
        <v>14.441350000000002</v>
      </c>
      <c r="K127" s="328"/>
      <c r="L127" s="328"/>
      <c r="M127" s="328"/>
      <c r="N127" s="328"/>
    </row>
    <row r="128" spans="2:14" ht="15.75" thickBot="1" x14ac:dyDescent="0.3">
      <c r="B128" s="191" t="s">
        <v>49</v>
      </c>
      <c r="C128" s="192" t="s">
        <v>55</v>
      </c>
      <c r="D128" s="192" t="s">
        <v>50</v>
      </c>
      <c r="E128" s="192" t="s">
        <v>56</v>
      </c>
      <c r="F128" s="192" t="s">
        <v>57</v>
      </c>
      <c r="G128" s="192" t="s">
        <v>54</v>
      </c>
      <c r="H128" s="192" t="s">
        <v>19</v>
      </c>
      <c r="I128" s="194"/>
      <c r="K128" s="328"/>
      <c r="L128" s="328"/>
      <c r="M128" s="328"/>
      <c r="N128" s="328"/>
    </row>
    <row r="129" spans="2:15" x14ac:dyDescent="0.25">
      <c r="B129" s="211" t="s">
        <v>136</v>
      </c>
      <c r="C129" s="377"/>
      <c r="D129" s="377"/>
      <c r="E129" s="377"/>
      <c r="F129" s="377"/>
      <c r="G129" s="377"/>
      <c r="H129" s="219">
        <f>+SUM(G130:G133)*$E$119*$I$118</f>
        <v>13.165625000000002</v>
      </c>
      <c r="I129" s="378"/>
      <c r="K129" s="328"/>
      <c r="L129" s="328"/>
      <c r="M129" s="328"/>
      <c r="N129" s="328"/>
    </row>
    <row r="130" spans="2:15" s="290" customFormat="1" x14ac:dyDescent="0.25">
      <c r="B130" s="379" t="str">
        <f>Metrado!D69</f>
        <v>Tubo LAC 100X50x2.5 mm</v>
      </c>
      <c r="C130" s="216">
        <v>45</v>
      </c>
      <c r="D130" s="217">
        <v>0.1</v>
      </c>
      <c r="E130" s="217">
        <v>0.1</v>
      </c>
      <c r="F130" s="213">
        <f>(D130+E130)*2</f>
        <v>0.4</v>
      </c>
      <c r="G130" s="313">
        <f>+C130*F130</f>
        <v>18</v>
      </c>
      <c r="H130" s="377"/>
      <c r="I130" s="378"/>
      <c r="J130" s="287"/>
      <c r="K130" s="288"/>
      <c r="L130" s="288"/>
      <c r="M130" s="288"/>
      <c r="N130" s="288"/>
      <c r="O130" s="289"/>
    </row>
    <row r="131" spans="2:15" x14ac:dyDescent="0.25">
      <c r="B131" s="379" t="str">
        <f>Metrado!D70</f>
        <v>Tubo LAC 50x50x2 mm</v>
      </c>
      <c r="C131" s="216">
        <v>130</v>
      </c>
      <c r="D131" s="217">
        <v>0.05</v>
      </c>
      <c r="E131" s="217">
        <v>0.05</v>
      </c>
      <c r="F131" s="214">
        <f>(D131+E131)*2</f>
        <v>0.2</v>
      </c>
      <c r="G131" s="218">
        <f>+C131*F131</f>
        <v>26</v>
      </c>
      <c r="H131" s="377"/>
      <c r="I131" s="378"/>
      <c r="K131" s="328"/>
      <c r="L131" s="328"/>
      <c r="M131" s="328"/>
      <c r="N131" s="328"/>
    </row>
    <row r="132" spans="2:15" x14ac:dyDescent="0.25">
      <c r="B132" s="379" t="str">
        <f>Metrado!D75</f>
        <v>Cartela tipo 1</v>
      </c>
      <c r="C132" s="216">
        <v>2</v>
      </c>
      <c r="D132" s="217">
        <f>0.85*2</f>
        <v>1.7</v>
      </c>
      <c r="E132" s="217">
        <v>0.6</v>
      </c>
      <c r="F132" s="214">
        <f>(D132+E132)</f>
        <v>2.2999999999999998</v>
      </c>
      <c r="G132" s="218">
        <f>+C132*F132</f>
        <v>4.5999999999999996</v>
      </c>
      <c r="H132" s="377"/>
      <c r="I132" s="378"/>
      <c r="K132" s="328"/>
      <c r="L132" s="328"/>
      <c r="M132" s="328"/>
      <c r="N132" s="328"/>
    </row>
    <row r="133" spans="2:15" x14ac:dyDescent="0.25">
      <c r="B133" s="379" t="str">
        <f>Metrado!D76</f>
        <v>Cartela tipo 2</v>
      </c>
      <c r="C133" s="216">
        <v>2</v>
      </c>
      <c r="D133" s="217">
        <v>2</v>
      </c>
      <c r="E133" s="217">
        <v>0.51</v>
      </c>
      <c r="F133" s="213">
        <f>(D133+E133)</f>
        <v>2.5099999999999998</v>
      </c>
      <c r="G133" s="313">
        <f>+C133*F133</f>
        <v>5.0199999999999996</v>
      </c>
      <c r="H133" s="219"/>
      <c r="I133" s="220"/>
      <c r="K133" s="328"/>
      <c r="L133" s="328"/>
      <c r="M133" s="328"/>
      <c r="N133" s="328"/>
    </row>
    <row r="134" spans="2:15" x14ac:dyDescent="0.25">
      <c r="B134" s="211" t="s">
        <v>200</v>
      </c>
      <c r="C134" s="377"/>
      <c r="D134" s="377"/>
      <c r="E134" s="377"/>
      <c r="F134" s="377"/>
      <c r="G134" s="377"/>
      <c r="H134" s="219">
        <f>+SUM(G135:G137)*$E$119*$I$118</f>
        <v>1.6696428571428572</v>
      </c>
      <c r="I134" s="220"/>
      <c r="K134" s="328"/>
      <c r="L134" s="328"/>
      <c r="M134" s="328"/>
      <c r="N134" s="328"/>
    </row>
    <row r="135" spans="2:15" x14ac:dyDescent="0.25">
      <c r="B135" s="379" t="str">
        <f>Metrado!D73</f>
        <v>Rigidizador tipo 1</v>
      </c>
      <c r="C135" s="216">
        <v>10</v>
      </c>
      <c r="D135" s="217">
        <v>0.15</v>
      </c>
      <c r="E135" s="217">
        <v>0.09</v>
      </c>
      <c r="F135" s="213">
        <f>(D135+E135)*2</f>
        <v>0.48</v>
      </c>
      <c r="G135" s="313">
        <f>+C135*F135</f>
        <v>4.8</v>
      </c>
      <c r="H135" s="219"/>
      <c r="I135" s="220"/>
      <c r="K135" s="328"/>
      <c r="L135" s="328"/>
      <c r="M135" s="328"/>
      <c r="N135" s="328"/>
    </row>
    <row r="136" spans="2:15" x14ac:dyDescent="0.25">
      <c r="B136" s="379" t="str">
        <f>Metrado!D75</f>
        <v>Cartela tipo 1</v>
      </c>
      <c r="C136" s="216">
        <v>2</v>
      </c>
      <c r="D136" s="217">
        <v>0.5</v>
      </c>
      <c r="E136" s="217"/>
      <c r="F136" s="213">
        <f>(D136+E136)</f>
        <v>0.5</v>
      </c>
      <c r="G136" s="313">
        <f>+C136*F136</f>
        <v>1</v>
      </c>
      <c r="H136" s="219"/>
      <c r="I136" s="220"/>
      <c r="K136" s="328"/>
      <c r="L136" s="328"/>
      <c r="M136" s="328"/>
      <c r="N136" s="328"/>
    </row>
    <row r="137" spans="2:15" ht="15.75" thickBot="1" x14ac:dyDescent="0.3">
      <c r="B137" s="379" t="str">
        <f>Metrado!D76</f>
        <v>Cartela tipo 2</v>
      </c>
      <c r="C137" s="216">
        <v>2</v>
      </c>
      <c r="D137" s="217">
        <v>0.5</v>
      </c>
      <c r="E137" s="217"/>
      <c r="F137" s="213">
        <f>(D137+E137)</f>
        <v>0.5</v>
      </c>
      <c r="G137" s="313">
        <f>+C137*F137</f>
        <v>1</v>
      </c>
      <c r="H137" s="219"/>
      <c r="I137" s="220"/>
      <c r="K137" s="328"/>
      <c r="L137" s="328"/>
      <c r="M137" s="328"/>
      <c r="N137" s="328"/>
    </row>
    <row r="138" spans="2:15" ht="15.75" thickBot="1" x14ac:dyDescent="0.3">
      <c r="B138" s="576" t="s">
        <v>58</v>
      </c>
      <c r="C138" s="577"/>
      <c r="D138" s="577"/>
      <c r="E138" s="577"/>
      <c r="F138" s="577"/>
      <c r="G138" s="577"/>
      <c r="H138" s="577"/>
      <c r="I138" s="578"/>
      <c r="K138" s="328"/>
      <c r="L138" s="328"/>
      <c r="M138" s="328"/>
      <c r="N138" s="328"/>
    </row>
    <row r="139" spans="2:15" ht="15.75" thickBot="1" x14ac:dyDescent="0.3">
      <c r="B139" s="166"/>
      <c r="C139" s="167"/>
      <c r="D139" s="167"/>
      <c r="E139" s="168"/>
      <c r="F139" s="167"/>
      <c r="G139" s="167"/>
      <c r="H139" s="167"/>
      <c r="I139" s="167"/>
      <c r="K139" s="328"/>
      <c r="L139" s="328"/>
      <c r="M139" s="328"/>
      <c r="N139" s="328"/>
    </row>
    <row r="140" spans="2:15" ht="15.75" thickBot="1" x14ac:dyDescent="0.3">
      <c r="B140" s="221" t="s">
        <v>59</v>
      </c>
      <c r="C140" s="222" t="s">
        <v>60</v>
      </c>
      <c r="D140" s="223" t="s">
        <v>61</v>
      </c>
      <c r="E140" s="172" t="s">
        <v>62</v>
      </c>
      <c r="F140" s="170"/>
      <c r="G140" s="167"/>
      <c r="H140" s="171" t="s">
        <v>44</v>
      </c>
      <c r="I140" s="172">
        <v>1.2</v>
      </c>
      <c r="K140" s="328"/>
      <c r="L140" s="328"/>
      <c r="M140" s="328"/>
      <c r="N140" s="328"/>
    </row>
    <row r="141" spans="2:15" ht="15.75" thickBot="1" x14ac:dyDescent="0.3">
      <c r="B141" s="227" t="s">
        <v>64</v>
      </c>
      <c r="C141" s="228">
        <v>2</v>
      </c>
      <c r="D141" s="229">
        <v>22.5</v>
      </c>
      <c r="E141" s="230">
        <v>4.4444444444444446E-2</v>
      </c>
      <c r="F141" s="231"/>
      <c r="G141" s="167"/>
      <c r="H141" s="167"/>
      <c r="I141" s="167"/>
      <c r="K141" s="328"/>
      <c r="L141" s="328"/>
      <c r="M141" s="328"/>
      <c r="N141" s="328"/>
    </row>
    <row r="142" spans="2:15" ht="15.75" thickBot="1" x14ac:dyDescent="0.3">
      <c r="B142" s="236" t="s">
        <v>65</v>
      </c>
      <c r="C142" s="237">
        <v>2</v>
      </c>
      <c r="D142" s="238">
        <v>17.5</v>
      </c>
      <c r="E142" s="239">
        <v>5.7142857142857141E-2</v>
      </c>
      <c r="F142" s="231"/>
      <c r="G142" s="240"/>
      <c r="H142" s="593" t="s">
        <v>63</v>
      </c>
      <c r="I142" s="594"/>
      <c r="K142" s="328"/>
      <c r="L142" s="328"/>
      <c r="M142" s="328"/>
      <c r="N142" s="328"/>
    </row>
    <row r="143" spans="2:15" ht="15.75" thickBot="1" x14ac:dyDescent="0.3">
      <c r="B143" s="245"/>
      <c r="C143" s="246"/>
      <c r="D143" s="247"/>
      <c r="E143" s="248"/>
      <c r="F143" s="231"/>
      <c r="G143" s="167"/>
      <c r="H143" s="249" t="s">
        <v>66</v>
      </c>
      <c r="I143" s="250">
        <v>0.25</v>
      </c>
      <c r="K143" s="328"/>
      <c r="L143" s="328"/>
      <c r="M143" s="328"/>
      <c r="N143" s="328"/>
    </row>
    <row r="144" spans="2:15" x14ac:dyDescent="0.25">
      <c r="B144" s="167"/>
      <c r="C144" s="167"/>
      <c r="D144" s="167"/>
      <c r="E144" s="167"/>
      <c r="F144" s="167"/>
      <c r="G144" s="167"/>
      <c r="H144" s="255"/>
      <c r="I144" s="167"/>
      <c r="K144" s="328"/>
      <c r="L144" s="328"/>
      <c r="M144" s="328"/>
      <c r="N144" s="328"/>
    </row>
    <row r="145" spans="2:14" ht="15.75" thickBot="1" x14ac:dyDescent="0.3">
      <c r="B145" s="189"/>
      <c r="K145" s="328"/>
      <c r="L145" s="328"/>
      <c r="M145" s="328"/>
      <c r="N145" s="328"/>
    </row>
    <row r="146" spans="2:14" ht="39" thickBot="1" x14ac:dyDescent="0.3">
      <c r="B146" s="256" t="s">
        <v>49</v>
      </c>
      <c r="C146" s="257" t="s">
        <v>51</v>
      </c>
      <c r="D146" s="257" t="s">
        <v>67</v>
      </c>
      <c r="E146" s="258" t="s">
        <v>53</v>
      </c>
      <c r="F146" s="257" t="s">
        <v>95</v>
      </c>
      <c r="G146" s="257" t="s">
        <v>68</v>
      </c>
      <c r="H146" s="259" t="s">
        <v>37</v>
      </c>
      <c r="I146" s="260"/>
      <c r="K146" s="328"/>
      <c r="L146" s="328"/>
      <c r="M146" s="328"/>
      <c r="N146" s="328"/>
    </row>
    <row r="147" spans="2:14" x14ac:dyDescent="0.25">
      <c r="B147" s="261" t="s">
        <v>69</v>
      </c>
      <c r="C147" s="262"/>
      <c r="D147" s="262"/>
      <c r="E147" s="262"/>
      <c r="F147" s="262"/>
      <c r="G147" s="262"/>
      <c r="H147" s="263">
        <f>SUM(G148:G153)*$E$141*$I$140</f>
        <v>2.7365002666666673</v>
      </c>
      <c r="I147" s="264"/>
      <c r="K147" s="328"/>
      <c r="L147" s="328"/>
      <c r="M147" s="328"/>
      <c r="N147" s="328"/>
    </row>
    <row r="148" spans="2:14" x14ac:dyDescent="0.25">
      <c r="B148" s="212" t="str">
        <f>+Metrado!D69</f>
        <v>Tubo LAC 100X50x2.5 mm</v>
      </c>
      <c r="C148" s="266">
        <v>1</v>
      </c>
      <c r="D148" s="266">
        <v>1</v>
      </c>
      <c r="E148" s="268">
        <f>+H126</f>
        <v>71.779399999999995</v>
      </c>
      <c r="F148" s="268">
        <f>F130</f>
        <v>0.4</v>
      </c>
      <c r="G148" s="269">
        <f t="shared" ref="G148:G153" si="16">PRODUCT(C148:F148)</f>
        <v>28.711759999999998</v>
      </c>
      <c r="H148" s="270"/>
      <c r="I148" s="271"/>
      <c r="K148" s="328"/>
      <c r="L148" s="328"/>
      <c r="M148" s="328"/>
      <c r="N148" s="328"/>
    </row>
    <row r="149" spans="2:14" x14ac:dyDescent="0.25">
      <c r="B149" s="212" t="str">
        <f>+Metrado!D70</f>
        <v>Tubo LAC 50x50x2 mm</v>
      </c>
      <c r="C149" s="381">
        <v>1</v>
      </c>
      <c r="D149" s="381">
        <v>1</v>
      </c>
      <c r="E149" s="268">
        <f>+H127</f>
        <v>86.648100000000014</v>
      </c>
      <c r="F149" s="268">
        <f>F131</f>
        <v>0.2</v>
      </c>
      <c r="G149" s="269">
        <f t="shared" si="16"/>
        <v>17.329620000000002</v>
      </c>
      <c r="H149" s="272"/>
      <c r="I149" s="271"/>
      <c r="K149" s="328"/>
      <c r="L149" s="328"/>
      <c r="M149" s="328"/>
      <c r="N149" s="328"/>
    </row>
    <row r="150" spans="2:14" x14ac:dyDescent="0.25">
      <c r="B150" s="212" t="str">
        <f>Metrado!D72</f>
        <v>Plancha superior de union cercha columna</v>
      </c>
      <c r="C150" s="381">
        <v>2</v>
      </c>
      <c r="D150" s="381">
        <v>2</v>
      </c>
      <c r="E150" s="268">
        <v>0.6</v>
      </c>
      <c r="F150" s="268">
        <v>0.4</v>
      </c>
      <c r="G150" s="269">
        <f t="shared" si="16"/>
        <v>0.96</v>
      </c>
      <c r="H150" s="272"/>
      <c r="I150" s="271"/>
      <c r="K150" s="328"/>
      <c r="L150" s="328"/>
      <c r="M150" s="328"/>
      <c r="N150" s="328"/>
    </row>
    <row r="151" spans="2:14" x14ac:dyDescent="0.25">
      <c r="B151" s="212" t="str">
        <f>Metrado!D73</f>
        <v>Rigidizador tipo 1</v>
      </c>
      <c r="C151" s="381">
        <v>5</v>
      </c>
      <c r="D151" s="381">
        <v>2</v>
      </c>
      <c r="E151" s="268">
        <f>Metrado!G73</f>
        <v>0.13</v>
      </c>
      <c r="F151" s="268">
        <f>Metrado!H73</f>
        <v>0.16</v>
      </c>
      <c r="G151" s="269">
        <f t="shared" si="16"/>
        <v>0.20800000000000002</v>
      </c>
      <c r="H151" s="272"/>
      <c r="I151" s="271"/>
      <c r="K151" s="328"/>
      <c r="L151" s="328"/>
      <c r="M151" s="328"/>
      <c r="N151" s="328"/>
    </row>
    <row r="152" spans="2:14" x14ac:dyDescent="0.25">
      <c r="B152" s="212" t="str">
        <f>Metrado!D75</f>
        <v>Cartela tipo 1</v>
      </c>
      <c r="C152" s="381">
        <v>2</v>
      </c>
      <c r="D152" s="381">
        <v>2</v>
      </c>
      <c r="E152" s="268">
        <f>Metrado!G75</f>
        <v>0.5</v>
      </c>
      <c r="F152" s="268">
        <f>Metrado!H75</f>
        <v>0.95</v>
      </c>
      <c r="G152" s="269">
        <f t="shared" si="16"/>
        <v>1.9</v>
      </c>
      <c r="H152" s="272"/>
      <c r="I152" s="271"/>
      <c r="K152" s="328"/>
      <c r="L152" s="328"/>
      <c r="M152" s="328"/>
      <c r="N152" s="328"/>
    </row>
    <row r="153" spans="2:14" x14ac:dyDescent="0.25">
      <c r="B153" s="212" t="str">
        <f>Metrado!D76</f>
        <v>Cartela tipo 2</v>
      </c>
      <c r="C153" s="466">
        <v>2</v>
      </c>
      <c r="D153" s="466">
        <v>2</v>
      </c>
      <c r="E153" s="274">
        <f>Metrado!G76</f>
        <v>0.5</v>
      </c>
      <c r="F153" s="274">
        <f>Metrado!H76</f>
        <v>1.1000000000000001</v>
      </c>
      <c r="G153" s="269">
        <f t="shared" si="16"/>
        <v>2.2000000000000002</v>
      </c>
      <c r="H153" s="272"/>
      <c r="I153" s="271"/>
      <c r="K153" s="328"/>
      <c r="L153" s="328"/>
      <c r="M153" s="328"/>
      <c r="N153" s="328"/>
    </row>
    <row r="154" spans="2:14" x14ac:dyDescent="0.25">
      <c r="B154" s="275" t="s">
        <v>70</v>
      </c>
      <c r="C154" s="381"/>
      <c r="D154" s="276"/>
      <c r="E154" s="276"/>
      <c r="F154" s="276"/>
      <c r="G154" s="276"/>
      <c r="H154" s="277">
        <f>SUM(G155:G160)*$E$142*$I$140</f>
        <v>3.5183574857142861</v>
      </c>
      <c r="I154" s="271"/>
      <c r="K154" s="328"/>
      <c r="L154" s="328"/>
      <c r="M154" s="328"/>
      <c r="N154" s="328"/>
    </row>
    <row r="155" spans="2:14" x14ac:dyDescent="0.25">
      <c r="B155" s="212" t="str">
        <f t="shared" ref="B155:F159" si="17">+B148</f>
        <v>Tubo LAC 100X50x2.5 mm</v>
      </c>
      <c r="C155" s="244">
        <f t="shared" si="17"/>
        <v>1</v>
      </c>
      <c r="D155" s="244">
        <f t="shared" si="17"/>
        <v>1</v>
      </c>
      <c r="E155" s="279">
        <f t="shared" si="17"/>
        <v>71.779399999999995</v>
      </c>
      <c r="F155" s="268">
        <f t="shared" si="17"/>
        <v>0.4</v>
      </c>
      <c r="G155" s="269">
        <f t="shared" ref="G155:G160" si="18">PRODUCT(C155:F155)</f>
        <v>28.711759999999998</v>
      </c>
      <c r="H155" s="277"/>
      <c r="I155" s="271"/>
      <c r="K155" s="328"/>
      <c r="L155" s="328"/>
      <c r="M155" s="328"/>
      <c r="N155" s="328"/>
    </row>
    <row r="156" spans="2:14" x14ac:dyDescent="0.25">
      <c r="B156" s="212" t="str">
        <f t="shared" si="17"/>
        <v>Tubo LAC 50x50x2 mm</v>
      </c>
      <c r="C156" s="244">
        <f t="shared" si="17"/>
        <v>1</v>
      </c>
      <c r="D156" s="244">
        <f t="shared" si="17"/>
        <v>1</v>
      </c>
      <c r="E156" s="279">
        <f t="shared" si="17"/>
        <v>86.648100000000014</v>
      </c>
      <c r="F156" s="268">
        <f t="shared" si="17"/>
        <v>0.2</v>
      </c>
      <c r="G156" s="269">
        <f t="shared" si="18"/>
        <v>17.329620000000002</v>
      </c>
      <c r="H156" s="277"/>
      <c r="I156" s="271"/>
      <c r="K156" s="328"/>
      <c r="L156" s="328"/>
      <c r="M156" s="328"/>
      <c r="N156" s="328"/>
    </row>
    <row r="157" spans="2:14" x14ac:dyDescent="0.25">
      <c r="B157" s="212" t="str">
        <f t="shared" si="17"/>
        <v>Plancha superior de union cercha columna</v>
      </c>
      <c r="C157" s="244">
        <f t="shared" si="17"/>
        <v>2</v>
      </c>
      <c r="D157" s="244">
        <f t="shared" si="17"/>
        <v>2</v>
      </c>
      <c r="E157" s="279">
        <f t="shared" si="17"/>
        <v>0.6</v>
      </c>
      <c r="F157" s="268">
        <f t="shared" si="17"/>
        <v>0.4</v>
      </c>
      <c r="G157" s="269">
        <f t="shared" si="18"/>
        <v>0.96</v>
      </c>
      <c r="H157" s="277"/>
      <c r="I157" s="271"/>
      <c r="K157" s="328"/>
      <c r="L157" s="328"/>
      <c r="M157" s="328"/>
      <c r="N157" s="328"/>
    </row>
    <row r="158" spans="2:14" x14ac:dyDescent="0.25">
      <c r="B158" s="212" t="str">
        <f t="shared" si="17"/>
        <v>Rigidizador tipo 1</v>
      </c>
      <c r="C158" s="244">
        <f t="shared" si="17"/>
        <v>5</v>
      </c>
      <c r="D158" s="244">
        <f t="shared" si="17"/>
        <v>2</v>
      </c>
      <c r="E158" s="279">
        <f t="shared" si="17"/>
        <v>0.13</v>
      </c>
      <c r="F158" s="268">
        <f t="shared" si="17"/>
        <v>0.16</v>
      </c>
      <c r="G158" s="269">
        <f t="shared" si="18"/>
        <v>0.20800000000000002</v>
      </c>
      <c r="H158" s="277"/>
      <c r="I158" s="271"/>
      <c r="K158" s="328"/>
      <c r="L158" s="328"/>
      <c r="M158" s="328"/>
      <c r="N158" s="328"/>
    </row>
    <row r="159" spans="2:14" x14ac:dyDescent="0.25">
      <c r="B159" s="212" t="str">
        <f t="shared" si="17"/>
        <v>Cartela tipo 1</v>
      </c>
      <c r="C159" s="244">
        <f t="shared" si="17"/>
        <v>2</v>
      </c>
      <c r="D159" s="244">
        <f t="shared" si="17"/>
        <v>2</v>
      </c>
      <c r="E159" s="279">
        <f t="shared" si="17"/>
        <v>0.5</v>
      </c>
      <c r="F159" s="268">
        <f t="shared" si="17"/>
        <v>0.95</v>
      </c>
      <c r="G159" s="269">
        <f t="shared" si="18"/>
        <v>1.9</v>
      </c>
      <c r="H159" s="277"/>
      <c r="I159" s="271"/>
      <c r="K159" s="328"/>
      <c r="L159" s="328"/>
      <c r="M159" s="328"/>
      <c r="N159" s="328"/>
    </row>
    <row r="160" spans="2:14" x14ac:dyDescent="0.25">
      <c r="B160" s="212" t="str">
        <f>Metrado!D76</f>
        <v>Cartela tipo 2</v>
      </c>
      <c r="C160" s="473">
        <v>2</v>
      </c>
      <c r="D160" s="474">
        <v>2</v>
      </c>
      <c r="E160" s="475">
        <f>E153</f>
        <v>0.5</v>
      </c>
      <c r="F160" s="475">
        <f t="shared" ref="F160" si="19">F153</f>
        <v>1.1000000000000001</v>
      </c>
      <c r="G160" s="269">
        <f t="shared" si="18"/>
        <v>2.2000000000000002</v>
      </c>
      <c r="H160" s="277"/>
      <c r="I160" s="271"/>
      <c r="K160" s="328"/>
      <c r="L160" s="328"/>
      <c r="M160" s="328"/>
      <c r="N160" s="328"/>
    </row>
    <row r="161" spans="2:14" x14ac:dyDescent="0.25">
      <c r="B161" s="275" t="s">
        <v>71</v>
      </c>
      <c r="C161" s="595" t="s">
        <v>72</v>
      </c>
      <c r="D161" s="596"/>
      <c r="E161" s="596"/>
      <c r="F161" s="597"/>
      <c r="G161" s="280" t="str">
        <f>+H143</f>
        <v>Pistola</v>
      </c>
      <c r="H161" s="277">
        <f>SUM(H147:H159)*$I$143</f>
        <v>1.5637144380952384</v>
      </c>
      <c r="I161" s="271"/>
      <c r="K161" s="328"/>
      <c r="L161" s="328"/>
      <c r="M161" s="328"/>
      <c r="N161" s="328"/>
    </row>
    <row r="162" spans="2:14" ht="15.75" thickBot="1" x14ac:dyDescent="0.3">
      <c r="B162" s="281"/>
      <c r="C162" s="282"/>
      <c r="D162" s="282"/>
      <c r="E162" s="283"/>
      <c r="F162" s="282"/>
      <c r="G162" s="282"/>
      <c r="H162" s="282"/>
      <c r="I162" s="284"/>
      <c r="K162" s="328"/>
      <c r="L162" s="328"/>
      <c r="M162" s="328"/>
      <c r="N162" s="328"/>
    </row>
    <row r="163" spans="2:14" ht="15.75" thickBot="1" x14ac:dyDescent="0.3">
      <c r="B163" s="576" t="s">
        <v>73</v>
      </c>
      <c r="C163" s="577"/>
      <c r="D163" s="577"/>
      <c r="E163" s="577"/>
      <c r="F163" s="577"/>
      <c r="G163" s="577"/>
      <c r="H163" s="577"/>
      <c r="I163" s="578"/>
      <c r="K163" s="328"/>
      <c r="L163" s="328"/>
      <c r="M163" s="328"/>
      <c r="N163" s="328"/>
    </row>
    <row r="164" spans="2:14" ht="15.75" thickBot="1" x14ac:dyDescent="0.3">
      <c r="K164" s="328"/>
      <c r="L164" s="328"/>
      <c r="M164" s="328"/>
      <c r="N164" s="328"/>
    </row>
    <row r="165" spans="2:14" x14ac:dyDescent="0.25">
      <c r="B165" s="579" t="s">
        <v>49</v>
      </c>
      <c r="C165" s="581" t="s">
        <v>7</v>
      </c>
      <c r="D165" s="285" t="s">
        <v>74</v>
      </c>
      <c r="E165" s="286"/>
      <c r="F165" s="287"/>
      <c r="G165" s="287"/>
      <c r="H165" s="287"/>
      <c r="I165" s="287"/>
      <c r="K165" s="328"/>
      <c r="L165" s="328"/>
      <c r="M165" s="328"/>
      <c r="N165" s="328"/>
    </row>
    <row r="166" spans="2:14" ht="15.75" thickBot="1" x14ac:dyDescent="0.3">
      <c r="B166" s="580"/>
      <c r="C166" s="582"/>
      <c r="D166" s="291" t="s">
        <v>7</v>
      </c>
      <c r="E166" s="292"/>
      <c r="F166" s="287"/>
      <c r="G166" s="287"/>
      <c r="H166" s="287"/>
      <c r="I166" s="287"/>
      <c r="K166" s="328"/>
      <c r="L166" s="328"/>
      <c r="M166" s="328"/>
      <c r="N166" s="328"/>
    </row>
    <row r="167" spans="2:14" x14ac:dyDescent="0.25">
      <c r="B167" s="293" t="str">
        <f>+B116</f>
        <v>CERCHA PRINCIPAL</v>
      </c>
      <c r="C167" s="294"/>
      <c r="D167" s="295"/>
      <c r="E167" s="296"/>
      <c r="F167" s="297"/>
      <c r="G167" s="297"/>
      <c r="H167" s="297"/>
      <c r="I167" s="297"/>
      <c r="K167" s="328"/>
      <c r="L167" s="328"/>
      <c r="M167" s="328"/>
      <c r="N167" s="328"/>
    </row>
    <row r="168" spans="2:14" x14ac:dyDescent="0.25">
      <c r="B168" s="301" t="str">
        <f>+B126</f>
        <v>Tubo LAC 100X50x2.5 mm</v>
      </c>
      <c r="C168" s="302" t="s">
        <v>21</v>
      </c>
      <c r="D168" s="303">
        <f>+H126</f>
        <v>71.779399999999995</v>
      </c>
      <c r="E168" s="304"/>
      <c r="F168" s="287"/>
      <c r="G168" s="287"/>
      <c r="H168" s="287"/>
      <c r="I168" s="287"/>
      <c r="K168" s="328"/>
      <c r="L168" s="328"/>
      <c r="M168" s="328"/>
      <c r="N168" s="328"/>
    </row>
    <row r="169" spans="2:14" x14ac:dyDescent="0.25">
      <c r="B169" s="305" t="str">
        <f>+B127</f>
        <v>Tubo LAC 50x50x2 mm</v>
      </c>
      <c r="C169" s="302" t="s">
        <v>21</v>
      </c>
      <c r="D169" s="303">
        <f>+H127</f>
        <v>86.648100000000014</v>
      </c>
      <c r="E169" s="304"/>
      <c r="F169" s="287"/>
      <c r="G169" s="287"/>
      <c r="H169" s="287"/>
      <c r="I169" s="287"/>
      <c r="K169" s="328"/>
      <c r="L169" s="328"/>
      <c r="M169" s="328"/>
      <c r="N169" s="328"/>
    </row>
    <row r="170" spans="2:14" x14ac:dyDescent="0.25">
      <c r="B170" s="305" t="str">
        <f>B129</f>
        <v>ELECTRODOS  E6011</v>
      </c>
      <c r="C170" s="306" t="s">
        <v>19</v>
      </c>
      <c r="D170" s="307">
        <f>H129</f>
        <v>13.165625000000002</v>
      </c>
      <c r="E170" s="304"/>
      <c r="F170" s="287"/>
      <c r="G170" s="287"/>
      <c r="H170" s="287"/>
      <c r="I170" s="287"/>
      <c r="K170" s="328"/>
      <c r="L170" s="328"/>
      <c r="M170" s="328"/>
      <c r="N170" s="328"/>
    </row>
    <row r="171" spans="2:14" x14ac:dyDescent="0.25">
      <c r="B171" s="305" t="str">
        <f>B134</f>
        <v>ELECTRODOS  E7018</v>
      </c>
      <c r="C171" s="306" t="s">
        <v>19</v>
      </c>
      <c r="D171" s="307">
        <f>H134</f>
        <v>1.6696428571428572</v>
      </c>
      <c r="E171" s="304"/>
      <c r="F171" s="287"/>
      <c r="G171" s="287"/>
      <c r="H171" s="287"/>
      <c r="I171" s="287"/>
      <c r="K171" s="328"/>
      <c r="L171" s="328"/>
      <c r="M171" s="328"/>
      <c r="N171" s="328"/>
    </row>
    <row r="172" spans="2:14" x14ac:dyDescent="0.25">
      <c r="B172" s="305" t="str">
        <f>+B147</f>
        <v>ESMALTE SINTÉTICO</v>
      </c>
      <c r="C172" s="306" t="str">
        <f>+H146</f>
        <v>gln</v>
      </c>
      <c r="D172" s="307">
        <f>H147</f>
        <v>2.7365002666666673</v>
      </c>
      <c r="E172" s="304"/>
      <c r="F172" s="287"/>
      <c r="G172" s="287"/>
      <c r="H172" s="287"/>
      <c r="I172" s="287"/>
    </row>
    <row r="173" spans="2:14" x14ac:dyDescent="0.25">
      <c r="B173" s="305" t="str">
        <f>+B154</f>
        <v>BASE ANTICORROSIVA</v>
      </c>
      <c r="C173" s="306" t="str">
        <f>+C172</f>
        <v>gln</v>
      </c>
      <c r="D173" s="307">
        <f>+H154</f>
        <v>3.5183574857142861</v>
      </c>
      <c r="E173" s="304"/>
      <c r="F173" s="287"/>
      <c r="G173" s="287"/>
      <c r="H173" s="287"/>
      <c r="I173" s="287"/>
    </row>
    <row r="174" spans="2:14" ht="15.75" thickBot="1" x14ac:dyDescent="0.3">
      <c r="B174" s="281" t="str">
        <f>+B161</f>
        <v>DILUYENTE ESTÁNDAR (THINNER)</v>
      </c>
      <c r="C174" s="252" t="str">
        <f>+C173</f>
        <v>gln</v>
      </c>
      <c r="D174" s="308">
        <f>+H161</f>
        <v>1.5637144380952384</v>
      </c>
      <c r="E174" s="309"/>
    </row>
    <row r="175" spans="2:14" ht="15.75" thickBot="1" x14ac:dyDescent="0.3">
      <c r="B175" s="206"/>
      <c r="C175" s="373"/>
      <c r="D175" s="374"/>
      <c r="E175" s="309"/>
    </row>
    <row r="176" spans="2:14" x14ac:dyDescent="0.25">
      <c r="B176" s="583" t="s">
        <v>42</v>
      </c>
      <c r="C176" s="584"/>
      <c r="D176" s="584"/>
      <c r="E176" s="584"/>
      <c r="F176" s="584"/>
      <c r="G176" s="584"/>
      <c r="H176" s="584"/>
      <c r="I176" s="585"/>
    </row>
    <row r="177" spans="2:14" ht="15.75" thickBot="1" x14ac:dyDescent="0.3">
      <c r="B177" s="586" t="str">
        <f>Metrado!D82</f>
        <v>VIGA ENCAJONADA</v>
      </c>
      <c r="C177" s="587"/>
      <c r="D177" s="587"/>
      <c r="E177" s="587"/>
      <c r="F177" s="587"/>
      <c r="G177" s="587"/>
      <c r="H177" s="587"/>
      <c r="I177" s="588"/>
    </row>
    <row r="178" spans="2:14" ht="15.75" thickBot="1" x14ac:dyDescent="0.3">
      <c r="B178" s="166"/>
      <c r="C178" s="167"/>
      <c r="D178" s="167"/>
      <c r="E178" s="168"/>
      <c r="F178" s="167"/>
      <c r="G178" s="167"/>
      <c r="H178" s="167"/>
      <c r="I178" s="167"/>
    </row>
    <row r="179" spans="2:14" ht="15.75" thickBot="1" x14ac:dyDescent="0.3">
      <c r="B179" s="169" t="s">
        <v>59</v>
      </c>
      <c r="C179" s="170"/>
      <c r="D179" s="589" t="s">
        <v>43</v>
      </c>
      <c r="E179" s="590"/>
      <c r="F179" s="591"/>
      <c r="G179" s="167"/>
      <c r="H179" s="171" t="s">
        <v>44</v>
      </c>
      <c r="I179" s="172">
        <v>1.1000000000000001</v>
      </c>
    </row>
    <row r="180" spans="2:14" ht="15.75" thickBot="1" x14ac:dyDescent="0.3">
      <c r="B180" s="176" t="s">
        <v>91</v>
      </c>
      <c r="C180" s="177"/>
      <c r="D180" s="178" t="s">
        <v>45</v>
      </c>
      <c r="E180" s="179">
        <f>IF(D$7=K$3,L$3,(IF(D$7=K$4,L$4,(IF(D$7=K$5,L$5,(IF(D$7=K$6,L$6,"")))))))</f>
        <v>0.22321428571428573</v>
      </c>
      <c r="F180" s="180" t="s">
        <v>20</v>
      </c>
      <c r="G180" s="167"/>
      <c r="H180" s="181"/>
      <c r="I180" s="182"/>
    </row>
    <row r="181" spans="2:14" x14ac:dyDescent="0.25">
      <c r="B181" s="183"/>
      <c r="C181" s="177"/>
      <c r="D181" s="177"/>
      <c r="E181" s="184"/>
      <c r="F181" s="167"/>
      <c r="G181" s="185"/>
      <c r="H181" s="185"/>
      <c r="I181" s="186"/>
    </row>
    <row r="182" spans="2:14" ht="15.75" thickBot="1" x14ac:dyDescent="0.3">
      <c r="B182" s="183"/>
      <c r="C182" s="177"/>
      <c r="D182" s="177"/>
      <c r="E182" s="184"/>
      <c r="F182" s="167"/>
      <c r="G182" s="187"/>
      <c r="H182" s="187"/>
      <c r="I182" s="186"/>
    </row>
    <row r="183" spans="2:14" ht="15.75" thickBot="1" x14ac:dyDescent="0.3">
      <c r="B183" s="576" t="s">
        <v>90</v>
      </c>
      <c r="C183" s="577"/>
      <c r="D183" s="577"/>
      <c r="E183" s="577"/>
      <c r="F183" s="577"/>
      <c r="G183" s="577"/>
      <c r="H183" s="577"/>
      <c r="I183" s="578"/>
    </row>
    <row r="184" spans="2:14" ht="15.75" thickBot="1" x14ac:dyDescent="0.3">
      <c r="B184" s="189"/>
      <c r="H184" s="592"/>
      <c r="I184" s="592"/>
    </row>
    <row r="185" spans="2:14" ht="15.75" thickBot="1" x14ac:dyDescent="0.3">
      <c r="B185" s="191" t="s">
        <v>49</v>
      </c>
      <c r="C185" s="192" t="s">
        <v>50</v>
      </c>
      <c r="D185" s="192" t="s">
        <v>51</v>
      </c>
      <c r="E185" s="193" t="s">
        <v>52</v>
      </c>
      <c r="F185" s="193" t="s">
        <v>53</v>
      </c>
      <c r="G185" s="192" t="s">
        <v>54</v>
      </c>
      <c r="H185" s="192" t="s">
        <v>21</v>
      </c>
      <c r="I185" s="194" t="s">
        <v>22</v>
      </c>
    </row>
    <row r="186" spans="2:14" x14ac:dyDescent="0.25">
      <c r="B186" s="195" t="s">
        <v>75</v>
      </c>
      <c r="C186" s="196"/>
      <c r="D186" s="196"/>
      <c r="E186" s="197"/>
      <c r="F186" s="197"/>
      <c r="G186" s="196"/>
      <c r="H186" s="196"/>
      <c r="I186" s="198"/>
    </row>
    <row r="187" spans="2:14" x14ac:dyDescent="0.25">
      <c r="B187" s="199" t="str">
        <f>Metrado!D83</f>
        <v>Tubo LAC 70x50x2.5 mm</v>
      </c>
      <c r="C187" s="200">
        <v>6</v>
      </c>
      <c r="D187" s="201"/>
      <c r="E187" s="202"/>
      <c r="F187" s="201">
        <f>Metrado!P83</f>
        <v>108.78</v>
      </c>
      <c r="G187" s="203"/>
      <c r="H187" s="204">
        <f>SUM(F187)*$I$179</f>
        <v>119.65800000000002</v>
      </c>
      <c r="I187" s="205">
        <f>H187/C187</f>
        <v>19.943000000000001</v>
      </c>
      <c r="K187" s="328"/>
      <c r="L187" s="328"/>
      <c r="M187" s="328"/>
      <c r="N187" s="328"/>
    </row>
    <row r="188" spans="2:14" ht="15.75" thickBot="1" x14ac:dyDescent="0.3">
      <c r="B188" s="199" t="str">
        <f>Metrado!D84</f>
        <v>Tubo LAC 50x50x2 mm</v>
      </c>
      <c r="C188" s="200">
        <v>6</v>
      </c>
      <c r="D188" s="201"/>
      <c r="E188" s="207"/>
      <c r="F188" s="201">
        <f>Metrado!P84</f>
        <v>158.55000000000001</v>
      </c>
      <c r="G188" s="203"/>
      <c r="H188" s="204">
        <f>SUM(F188)*$I$179</f>
        <v>174.40500000000003</v>
      </c>
      <c r="I188" s="205">
        <f>H188/C188</f>
        <v>29.067500000000006</v>
      </c>
    </row>
    <row r="189" spans="2:14" ht="15.75" thickBot="1" x14ac:dyDescent="0.3">
      <c r="B189" s="191" t="s">
        <v>49</v>
      </c>
      <c r="C189" s="192" t="s">
        <v>55</v>
      </c>
      <c r="D189" s="192" t="s">
        <v>50</v>
      </c>
      <c r="E189" s="192" t="s">
        <v>56</v>
      </c>
      <c r="F189" s="192" t="s">
        <v>57</v>
      </c>
      <c r="G189" s="192" t="s">
        <v>54</v>
      </c>
      <c r="H189" s="192" t="s">
        <v>19</v>
      </c>
      <c r="I189" s="194"/>
    </row>
    <row r="190" spans="2:14" x14ac:dyDescent="0.25">
      <c r="B190" s="211" t="s">
        <v>123</v>
      </c>
      <c r="C190" s="216"/>
      <c r="D190" s="217"/>
      <c r="E190" s="217"/>
      <c r="F190" s="217"/>
      <c r="G190" s="313"/>
      <c r="H190" s="219">
        <f>+SUM(G191:G191)*E180*I179</f>
        <v>14.732142857142859</v>
      </c>
      <c r="I190" s="220"/>
    </row>
    <row r="191" spans="2:14" ht="15.75" thickBot="1" x14ac:dyDescent="0.3">
      <c r="B191" s="329" t="str">
        <f>B188</f>
        <v>Tubo LAC 50x50x2 mm</v>
      </c>
      <c r="C191" s="216">
        <v>300</v>
      </c>
      <c r="D191" s="217">
        <v>0.05</v>
      </c>
      <c r="E191" s="217">
        <v>0.05</v>
      </c>
      <c r="F191" s="214">
        <f>(D191+E191)*2</f>
        <v>0.2</v>
      </c>
      <c r="G191" s="215">
        <f>C191*F191</f>
        <v>60</v>
      </c>
      <c r="H191" s="219"/>
      <c r="I191" s="220"/>
    </row>
    <row r="192" spans="2:14" ht="15.75" thickBot="1" x14ac:dyDescent="0.3">
      <c r="B192" s="576" t="s">
        <v>58</v>
      </c>
      <c r="C192" s="577"/>
      <c r="D192" s="577"/>
      <c r="E192" s="577"/>
      <c r="F192" s="577"/>
      <c r="G192" s="577"/>
      <c r="H192" s="577"/>
      <c r="I192" s="578"/>
    </row>
    <row r="193" spans="2:14" ht="15.75" thickBot="1" x14ac:dyDescent="0.3">
      <c r="B193" s="166"/>
      <c r="C193" s="167"/>
      <c r="D193" s="167"/>
      <c r="E193" s="168"/>
      <c r="F193" s="167"/>
      <c r="G193" s="167"/>
      <c r="H193" s="167"/>
      <c r="I193" s="167"/>
    </row>
    <row r="194" spans="2:14" ht="15.75" thickBot="1" x14ac:dyDescent="0.3">
      <c r="B194" s="221" t="s">
        <v>59</v>
      </c>
      <c r="C194" s="222" t="s">
        <v>60</v>
      </c>
      <c r="D194" s="223" t="s">
        <v>61</v>
      </c>
      <c r="E194" s="172" t="s">
        <v>62</v>
      </c>
      <c r="F194" s="170"/>
      <c r="G194" s="167"/>
      <c r="H194" s="171" t="s">
        <v>44</v>
      </c>
      <c r="I194" s="172">
        <v>1.2</v>
      </c>
    </row>
    <row r="195" spans="2:14" ht="15.75" thickBot="1" x14ac:dyDescent="0.3">
      <c r="B195" s="227" t="s">
        <v>64</v>
      </c>
      <c r="C195" s="228">
        <v>2</v>
      </c>
      <c r="D195" s="229">
        <v>22.5</v>
      </c>
      <c r="E195" s="230">
        <v>4.4444444444444446E-2</v>
      </c>
      <c r="F195" s="231"/>
      <c r="G195" s="167"/>
      <c r="H195" s="167"/>
      <c r="I195" s="167"/>
    </row>
    <row r="196" spans="2:14" ht="15.75" thickBot="1" x14ac:dyDescent="0.3">
      <c r="B196" s="236" t="s">
        <v>65</v>
      </c>
      <c r="C196" s="237">
        <v>2</v>
      </c>
      <c r="D196" s="238">
        <v>17.5</v>
      </c>
      <c r="E196" s="239">
        <v>5.7142857142857141E-2</v>
      </c>
      <c r="F196" s="231"/>
      <c r="G196" s="240"/>
      <c r="H196" s="593" t="s">
        <v>63</v>
      </c>
      <c r="I196" s="594"/>
    </row>
    <row r="197" spans="2:14" ht="15.75" thickBot="1" x14ac:dyDescent="0.3">
      <c r="B197" s="245"/>
      <c r="C197" s="246"/>
      <c r="D197" s="247"/>
      <c r="E197" s="248"/>
      <c r="F197" s="231"/>
      <c r="G197" s="167"/>
      <c r="H197" s="249" t="s">
        <v>66</v>
      </c>
      <c r="I197" s="250">
        <f>25%</f>
        <v>0.25</v>
      </c>
    </row>
    <row r="198" spans="2:14" ht="15.75" thickBot="1" x14ac:dyDescent="0.3">
      <c r="B198" s="189"/>
    </row>
    <row r="199" spans="2:14" ht="39" thickBot="1" x14ac:dyDescent="0.3">
      <c r="B199" s="256" t="s">
        <v>49</v>
      </c>
      <c r="C199" s="257" t="s">
        <v>51</v>
      </c>
      <c r="D199" s="257" t="s">
        <v>67</v>
      </c>
      <c r="E199" s="258" t="s">
        <v>53</v>
      </c>
      <c r="F199" s="257" t="s">
        <v>95</v>
      </c>
      <c r="G199" s="257" t="s">
        <v>68</v>
      </c>
      <c r="H199" s="259" t="s">
        <v>37</v>
      </c>
      <c r="I199" s="260"/>
    </row>
    <row r="200" spans="2:14" x14ac:dyDescent="0.25">
      <c r="B200" s="261" t="s">
        <v>69</v>
      </c>
      <c r="C200" s="262"/>
      <c r="D200" s="262"/>
      <c r="E200" s="262"/>
      <c r="F200" s="262"/>
      <c r="G200" s="262"/>
      <c r="H200" s="263">
        <f>SUM(G201:G202)*E195*I194</f>
        <v>3.5087360000000003</v>
      </c>
      <c r="I200" s="264"/>
    </row>
    <row r="201" spans="2:14" x14ac:dyDescent="0.25">
      <c r="B201" s="212" t="str">
        <f>+B191</f>
        <v>Tubo LAC 50x50x2 mm</v>
      </c>
      <c r="C201" s="266">
        <v>1</v>
      </c>
      <c r="D201" s="266">
        <v>1</v>
      </c>
      <c r="E201" s="267">
        <f>+H187</f>
        <v>119.65800000000002</v>
      </c>
      <c r="F201" s="268">
        <f>F191</f>
        <v>0.2</v>
      </c>
      <c r="G201" s="269">
        <f>PRODUCT(C201:F201)</f>
        <v>23.931600000000003</v>
      </c>
      <c r="H201" s="270"/>
      <c r="I201" s="271"/>
    </row>
    <row r="202" spans="2:14" x14ac:dyDescent="0.25">
      <c r="B202" s="212" t="str">
        <f>B187</f>
        <v>Tubo LAC 70x50x2.5 mm</v>
      </c>
      <c r="C202" s="266">
        <v>1</v>
      </c>
      <c r="D202" s="266">
        <v>1</v>
      </c>
      <c r="E202" s="267">
        <f>+H188</f>
        <v>174.40500000000003</v>
      </c>
      <c r="F202" s="268">
        <v>0.24</v>
      </c>
      <c r="G202" s="269">
        <f>PRODUCT(C202:F202)</f>
        <v>41.857200000000006</v>
      </c>
      <c r="H202" s="270"/>
      <c r="I202" s="311"/>
      <c r="K202" s="328"/>
      <c r="L202" s="328"/>
      <c r="M202" s="328"/>
      <c r="N202" s="328"/>
    </row>
    <row r="203" spans="2:14" x14ac:dyDescent="0.25">
      <c r="B203" s="314" t="s">
        <v>70</v>
      </c>
      <c r="C203" s="234"/>
      <c r="D203" s="234"/>
      <c r="E203" s="234"/>
      <c r="F203" s="234"/>
      <c r="G203" s="234"/>
      <c r="H203" s="310">
        <f>SUM(G204:G205)*E196*I194</f>
        <v>4.5112320000000006</v>
      </c>
      <c r="I203" s="311"/>
    </row>
    <row r="204" spans="2:14" x14ac:dyDescent="0.25">
      <c r="B204" s="212" t="str">
        <f>+B201</f>
        <v>Tubo LAC 50x50x2 mm</v>
      </c>
      <c r="C204" s="244">
        <v>1</v>
      </c>
      <c r="D204" s="244">
        <v>1</v>
      </c>
      <c r="E204" s="278">
        <f>+H187</f>
        <v>119.65800000000002</v>
      </c>
      <c r="F204" s="279">
        <f>F201</f>
        <v>0.2</v>
      </c>
      <c r="G204" s="269">
        <f>PRODUCT(C204:F204)</f>
        <v>23.931600000000003</v>
      </c>
      <c r="H204" s="277"/>
      <c r="I204" s="271"/>
    </row>
    <row r="205" spans="2:14" x14ac:dyDescent="0.25">
      <c r="B205" s="212" t="str">
        <f>B202</f>
        <v>Tubo LAC 70x50x2.5 mm</v>
      </c>
      <c r="C205" s="244">
        <v>1</v>
      </c>
      <c r="D205" s="244">
        <v>1</v>
      </c>
      <c r="E205" s="527">
        <f>E202</f>
        <v>174.40500000000003</v>
      </c>
      <c r="F205" s="528">
        <f t="shared" ref="F205:G205" si="20">F202</f>
        <v>0.24</v>
      </c>
      <c r="G205" s="527">
        <f t="shared" si="20"/>
        <v>41.857200000000006</v>
      </c>
      <c r="H205" s="310"/>
      <c r="I205" s="311"/>
      <c r="K205" s="328"/>
      <c r="L205" s="328"/>
      <c r="M205" s="328"/>
      <c r="N205" s="328"/>
    </row>
    <row r="206" spans="2:14" x14ac:dyDescent="0.25">
      <c r="B206" s="314" t="s">
        <v>71</v>
      </c>
      <c r="C206" s="573" t="s">
        <v>72</v>
      </c>
      <c r="D206" s="574"/>
      <c r="E206" s="574"/>
      <c r="F206" s="575"/>
      <c r="G206" s="315" t="str">
        <f>+H197</f>
        <v>Pistola</v>
      </c>
      <c r="H206" s="310">
        <f>SUM(H200:H204)*I197</f>
        <v>2.0049920000000001</v>
      </c>
      <c r="I206" s="311"/>
    </row>
    <row r="207" spans="2:14" ht="15.75" thickBot="1" x14ac:dyDescent="0.3">
      <c r="B207" s="281"/>
      <c r="C207" s="282"/>
      <c r="D207" s="282"/>
      <c r="E207" s="283"/>
      <c r="F207" s="282"/>
      <c r="G207" s="282"/>
      <c r="H207" s="282"/>
      <c r="I207" s="284"/>
    </row>
    <row r="208" spans="2:14" ht="15.75" thickBot="1" x14ac:dyDescent="0.3">
      <c r="B208" s="576" t="s">
        <v>73</v>
      </c>
      <c r="C208" s="577"/>
      <c r="D208" s="577"/>
      <c r="E208" s="577"/>
      <c r="F208" s="577"/>
      <c r="G208" s="577"/>
      <c r="H208" s="577"/>
      <c r="I208" s="578"/>
    </row>
    <row r="209" spans="2:14" ht="15.75" thickBot="1" x14ac:dyDescent="0.3"/>
    <row r="210" spans="2:14" x14ac:dyDescent="0.25">
      <c r="B210" s="579" t="s">
        <v>49</v>
      </c>
      <c r="C210" s="581" t="s">
        <v>7</v>
      </c>
      <c r="D210" s="285" t="s">
        <v>74</v>
      </c>
      <c r="E210" s="286"/>
      <c r="F210" s="287"/>
      <c r="G210" s="287"/>
      <c r="H210" s="287"/>
      <c r="I210" s="287"/>
    </row>
    <row r="211" spans="2:14" ht="15.75" thickBot="1" x14ac:dyDescent="0.3">
      <c r="B211" s="580"/>
      <c r="C211" s="582"/>
      <c r="D211" s="291" t="s">
        <v>7</v>
      </c>
      <c r="E211" s="292"/>
      <c r="F211" s="287"/>
      <c r="G211" s="287"/>
      <c r="H211" s="287"/>
      <c r="I211" s="287"/>
    </row>
    <row r="212" spans="2:14" x14ac:dyDescent="0.25">
      <c r="B212" s="293" t="str">
        <f>+B177</f>
        <v>VIGA ENCAJONADA</v>
      </c>
      <c r="C212" s="294"/>
      <c r="D212" s="295"/>
      <c r="E212" s="296"/>
      <c r="F212" s="297"/>
      <c r="G212" s="297"/>
      <c r="H212" s="297"/>
      <c r="I212" s="297"/>
    </row>
    <row r="213" spans="2:14" x14ac:dyDescent="0.25">
      <c r="B213" s="301" t="str">
        <f>+B187</f>
        <v>Tubo LAC 70x50x2.5 mm</v>
      </c>
      <c r="C213" s="302" t="s">
        <v>21</v>
      </c>
      <c r="D213" s="303">
        <f>+H187</f>
        <v>119.65800000000002</v>
      </c>
      <c r="E213" s="304"/>
      <c r="F213" s="287"/>
      <c r="G213" s="287"/>
      <c r="H213" s="287"/>
      <c r="I213" s="287"/>
    </row>
    <row r="214" spans="2:14" x14ac:dyDescent="0.25">
      <c r="B214" s="305" t="str">
        <f>B188</f>
        <v>Tubo LAC 50x50x2 mm</v>
      </c>
      <c r="C214" s="302" t="s">
        <v>21</v>
      </c>
      <c r="D214" s="303">
        <f>+H188</f>
        <v>174.40500000000003</v>
      </c>
      <c r="E214" s="304"/>
      <c r="F214" s="287"/>
      <c r="G214" s="287"/>
      <c r="H214" s="287"/>
      <c r="I214" s="287"/>
      <c r="K214" s="328"/>
      <c r="L214" s="328"/>
      <c r="M214" s="328"/>
      <c r="N214" s="328"/>
    </row>
    <row r="215" spans="2:14" x14ac:dyDescent="0.25">
      <c r="B215" s="305" t="str">
        <f>+B190</f>
        <v>ELECTRODOS E6011</v>
      </c>
      <c r="C215" s="306" t="str">
        <f>+H189</f>
        <v>kg</v>
      </c>
      <c r="D215" s="307">
        <f>+H190</f>
        <v>14.732142857142859</v>
      </c>
      <c r="E215" s="304"/>
      <c r="F215" s="287"/>
      <c r="G215" s="287"/>
      <c r="H215" s="287"/>
      <c r="I215" s="287"/>
      <c r="K215" s="328"/>
      <c r="L215" s="328"/>
      <c r="M215" s="328"/>
      <c r="N215" s="328"/>
    </row>
    <row r="216" spans="2:14" x14ac:dyDescent="0.25">
      <c r="B216" s="305" t="str">
        <f>+B200</f>
        <v>ESMALTE SINTÉTICO</v>
      </c>
      <c r="C216" s="306" t="str">
        <f>+H199</f>
        <v>gln</v>
      </c>
      <c r="D216" s="307">
        <f>+H200</f>
        <v>3.5087360000000003</v>
      </c>
      <c r="E216" s="304"/>
      <c r="F216" s="287"/>
      <c r="G216" s="287"/>
      <c r="H216" s="287"/>
      <c r="I216" s="287"/>
    </row>
    <row r="217" spans="2:14" x14ac:dyDescent="0.25">
      <c r="B217" s="305" t="str">
        <f>+B203</f>
        <v>BASE ANTICORROSIVA</v>
      </c>
      <c r="C217" s="306" t="str">
        <f>+C216</f>
        <v>gln</v>
      </c>
      <c r="D217" s="307">
        <f>+H203</f>
        <v>4.5112320000000006</v>
      </c>
      <c r="E217" s="304"/>
      <c r="F217" s="287"/>
      <c r="G217" s="287"/>
      <c r="H217" s="287"/>
      <c r="I217" s="287"/>
    </row>
    <row r="218" spans="2:14" ht="15.75" thickBot="1" x14ac:dyDescent="0.3">
      <c r="B218" s="281" t="str">
        <f>+B206</f>
        <v>DILUYENTE ESTÁNDAR (THINNER)</v>
      </c>
      <c r="C218" s="252" t="str">
        <f>+C217</f>
        <v>gln</v>
      </c>
      <c r="D218" s="308">
        <f>+H206</f>
        <v>2.0049920000000001</v>
      </c>
      <c r="E218" s="309"/>
    </row>
    <row r="219" spans="2:14" ht="15.75" thickBot="1" x14ac:dyDescent="0.3">
      <c r="B219" s="206"/>
      <c r="C219" s="373"/>
      <c r="D219" s="374"/>
      <c r="E219" s="309"/>
    </row>
    <row r="220" spans="2:14" x14ac:dyDescent="0.25">
      <c r="B220" s="583" t="s">
        <v>42</v>
      </c>
      <c r="C220" s="584"/>
      <c r="D220" s="584"/>
      <c r="E220" s="584"/>
      <c r="F220" s="584"/>
      <c r="G220" s="584"/>
      <c r="H220" s="584"/>
      <c r="I220" s="585"/>
      <c r="K220" s="328"/>
      <c r="L220" s="328"/>
      <c r="M220" s="328"/>
      <c r="N220" s="328"/>
    </row>
    <row r="221" spans="2:14" ht="15.75" thickBot="1" x14ac:dyDescent="0.3">
      <c r="B221" s="586" t="str">
        <f>Metrado!D91</f>
        <v>CERCHA LONGITUDINAL L=4.05m</v>
      </c>
      <c r="C221" s="587"/>
      <c r="D221" s="587"/>
      <c r="E221" s="587"/>
      <c r="F221" s="587"/>
      <c r="G221" s="587"/>
      <c r="H221" s="587"/>
      <c r="I221" s="588"/>
      <c r="K221" s="328"/>
      <c r="L221" s="328"/>
      <c r="M221" s="328"/>
      <c r="N221" s="328"/>
    </row>
    <row r="222" spans="2:14" ht="15.75" thickBot="1" x14ac:dyDescent="0.3">
      <c r="B222" s="166"/>
      <c r="C222" s="167"/>
      <c r="D222" s="167"/>
      <c r="E222" s="168"/>
      <c r="F222" s="167"/>
      <c r="G222" s="167"/>
      <c r="H222" s="167"/>
      <c r="I222" s="167"/>
      <c r="K222" s="328"/>
      <c r="L222" s="328"/>
      <c r="M222" s="328"/>
      <c r="N222" s="328"/>
    </row>
    <row r="223" spans="2:14" ht="15.75" thickBot="1" x14ac:dyDescent="0.3">
      <c r="B223" s="169" t="s">
        <v>59</v>
      </c>
      <c r="C223" s="170"/>
      <c r="D223" s="589" t="s">
        <v>43</v>
      </c>
      <c r="E223" s="590"/>
      <c r="F223" s="591"/>
      <c r="G223" s="167"/>
      <c r="H223" s="171" t="s">
        <v>44</v>
      </c>
      <c r="I223" s="172">
        <v>1.1000000000000001</v>
      </c>
      <c r="K223" s="328"/>
      <c r="L223" s="328"/>
      <c r="M223" s="328"/>
      <c r="N223" s="328"/>
    </row>
    <row r="224" spans="2:14" ht="15.75" thickBot="1" x14ac:dyDescent="0.3">
      <c r="B224" s="176" t="s">
        <v>91</v>
      </c>
      <c r="C224" s="177"/>
      <c r="D224" s="178" t="s">
        <v>45</v>
      </c>
      <c r="E224" s="179">
        <f>IF(D$7=K$3,L$3,(IF(D$7=K$4,L$4,(IF(D$7=K$5,L$5,(IF(D$7=K$6,L$6,"")))))))</f>
        <v>0.22321428571428573</v>
      </c>
      <c r="F224" s="180" t="s">
        <v>20</v>
      </c>
      <c r="G224" s="167"/>
      <c r="H224" s="181"/>
      <c r="I224" s="182"/>
      <c r="K224" s="328"/>
      <c r="L224" s="328"/>
      <c r="M224" s="328"/>
      <c r="N224" s="328"/>
    </row>
    <row r="225" spans="2:14" x14ac:dyDescent="0.25">
      <c r="B225" s="183"/>
      <c r="C225" s="177"/>
      <c r="D225" s="177"/>
      <c r="E225" s="184"/>
      <c r="F225" s="167"/>
      <c r="G225" s="185"/>
      <c r="H225" s="185"/>
      <c r="I225" s="186"/>
      <c r="K225" s="328"/>
      <c r="L225" s="328"/>
      <c r="M225" s="328"/>
      <c r="N225" s="328"/>
    </row>
    <row r="226" spans="2:14" ht="15.75" thickBot="1" x14ac:dyDescent="0.3">
      <c r="B226" s="183"/>
      <c r="C226" s="177"/>
      <c r="D226" s="177"/>
      <c r="E226" s="184"/>
      <c r="F226" s="167"/>
      <c r="G226" s="187"/>
      <c r="H226" s="187"/>
      <c r="I226" s="186"/>
      <c r="K226" s="328"/>
      <c r="L226" s="328"/>
      <c r="M226" s="328"/>
      <c r="N226" s="328"/>
    </row>
    <row r="227" spans="2:14" ht="15.75" thickBot="1" x14ac:dyDescent="0.3">
      <c r="B227" s="576" t="s">
        <v>90</v>
      </c>
      <c r="C227" s="577"/>
      <c r="D227" s="577"/>
      <c r="E227" s="577"/>
      <c r="F227" s="577"/>
      <c r="G227" s="577"/>
      <c r="H227" s="577"/>
      <c r="I227" s="578"/>
      <c r="K227" s="328"/>
      <c r="L227" s="328"/>
      <c r="M227" s="328"/>
      <c r="N227" s="328"/>
    </row>
    <row r="228" spans="2:14" ht="15.75" thickBot="1" x14ac:dyDescent="0.3">
      <c r="B228" s="189"/>
      <c r="H228" s="592"/>
      <c r="I228" s="592"/>
      <c r="K228" s="328"/>
      <c r="L228" s="328"/>
      <c r="M228" s="328"/>
      <c r="N228" s="328"/>
    </row>
    <row r="229" spans="2:14" ht="15.75" thickBot="1" x14ac:dyDescent="0.3">
      <c r="B229" s="191" t="s">
        <v>49</v>
      </c>
      <c r="C229" s="192" t="s">
        <v>50</v>
      </c>
      <c r="D229" s="192" t="s">
        <v>51</v>
      </c>
      <c r="E229" s="193" t="s">
        <v>52</v>
      </c>
      <c r="F229" s="193" t="s">
        <v>53</v>
      </c>
      <c r="G229" s="192" t="s">
        <v>54</v>
      </c>
      <c r="H229" s="192" t="s">
        <v>21</v>
      </c>
      <c r="I229" s="194" t="s">
        <v>22</v>
      </c>
      <c r="K229" s="328"/>
      <c r="L229" s="328"/>
      <c r="M229" s="328"/>
      <c r="N229" s="328"/>
    </row>
    <row r="230" spans="2:14" x14ac:dyDescent="0.25">
      <c r="B230" s="195" t="s">
        <v>75</v>
      </c>
      <c r="C230" s="196"/>
      <c r="D230" s="196"/>
      <c r="E230" s="197"/>
      <c r="F230" s="197"/>
      <c r="G230" s="196"/>
      <c r="H230" s="196"/>
      <c r="I230" s="198"/>
      <c r="K230" s="328"/>
      <c r="L230" s="328"/>
      <c r="M230" s="328"/>
      <c r="N230" s="328"/>
    </row>
    <row r="231" spans="2:14" x14ac:dyDescent="0.25">
      <c r="B231" s="199" t="str">
        <f>Metrado!D92</f>
        <v>Tubo LAC 50x50x2 mm</v>
      </c>
      <c r="C231" s="200">
        <v>6</v>
      </c>
      <c r="D231" s="201"/>
      <c r="E231" s="202"/>
      <c r="F231" s="201">
        <f>Metrado!P92</f>
        <v>19.32</v>
      </c>
      <c r="G231" s="203"/>
      <c r="H231" s="204">
        <f>SUM(F231)*I223</f>
        <v>21.252000000000002</v>
      </c>
      <c r="I231" s="205">
        <f>H231/C231</f>
        <v>3.5420000000000003</v>
      </c>
      <c r="K231" s="328"/>
      <c r="L231" s="328"/>
      <c r="M231" s="328"/>
      <c r="N231" s="328"/>
    </row>
    <row r="232" spans="2:14" ht="15.75" thickBot="1" x14ac:dyDescent="0.3">
      <c r="B232" s="199"/>
      <c r="C232" s="200"/>
      <c r="D232" s="201"/>
      <c r="E232" s="207"/>
      <c r="F232" s="201"/>
      <c r="G232" s="203"/>
      <c r="H232" s="204"/>
      <c r="I232" s="205"/>
      <c r="K232" s="328"/>
      <c r="L232" s="328"/>
      <c r="M232" s="328"/>
      <c r="N232" s="328"/>
    </row>
    <row r="233" spans="2:14" ht="15.75" thickBot="1" x14ac:dyDescent="0.3">
      <c r="B233" s="191" t="s">
        <v>49</v>
      </c>
      <c r="C233" s="192" t="s">
        <v>55</v>
      </c>
      <c r="D233" s="192" t="s">
        <v>50</v>
      </c>
      <c r="E233" s="192" t="s">
        <v>56</v>
      </c>
      <c r="F233" s="192" t="s">
        <v>57</v>
      </c>
      <c r="G233" s="192" t="s">
        <v>54</v>
      </c>
      <c r="H233" s="192" t="s">
        <v>19</v>
      </c>
      <c r="I233" s="194"/>
      <c r="K233" s="328"/>
      <c r="L233" s="328"/>
      <c r="M233" s="328"/>
      <c r="N233" s="328"/>
    </row>
    <row r="234" spans="2:14" x14ac:dyDescent="0.25">
      <c r="B234" s="211" t="s">
        <v>123</v>
      </c>
      <c r="C234" s="216"/>
      <c r="D234" s="217"/>
      <c r="E234" s="217"/>
      <c r="F234" s="217"/>
      <c r="G234" s="313"/>
      <c r="H234" s="219">
        <f>+SUM(G235:G235)*E224*I223</f>
        <v>1.473214285714286</v>
      </c>
      <c r="I234" s="220"/>
      <c r="K234" s="328"/>
      <c r="L234" s="328"/>
      <c r="M234" s="328"/>
      <c r="N234" s="328"/>
    </row>
    <row r="235" spans="2:14" ht="15.75" thickBot="1" x14ac:dyDescent="0.3">
      <c r="B235" s="329" t="str">
        <f>+B231</f>
        <v>Tubo LAC 50x50x2 mm</v>
      </c>
      <c r="C235" s="216">
        <v>30</v>
      </c>
      <c r="D235" s="217">
        <v>0.05</v>
      </c>
      <c r="E235" s="217">
        <v>0.05</v>
      </c>
      <c r="F235" s="214">
        <f>(D235+E235)*2</f>
        <v>0.2</v>
      </c>
      <c r="G235" s="215">
        <f>C235*F235</f>
        <v>6</v>
      </c>
      <c r="H235" s="219"/>
      <c r="I235" s="220"/>
      <c r="K235" s="328"/>
      <c r="L235" s="328"/>
      <c r="M235" s="328"/>
      <c r="N235" s="328"/>
    </row>
    <row r="236" spans="2:14" ht="15.75" thickBot="1" x14ac:dyDescent="0.3">
      <c r="B236" s="576" t="s">
        <v>58</v>
      </c>
      <c r="C236" s="577"/>
      <c r="D236" s="577"/>
      <c r="E236" s="577"/>
      <c r="F236" s="577"/>
      <c r="G236" s="577"/>
      <c r="H236" s="577"/>
      <c r="I236" s="578"/>
      <c r="K236" s="328"/>
      <c r="L236" s="328"/>
      <c r="M236" s="328"/>
      <c r="N236" s="328"/>
    </row>
    <row r="237" spans="2:14" ht="15.75" thickBot="1" x14ac:dyDescent="0.3">
      <c r="B237" s="166"/>
      <c r="C237" s="167"/>
      <c r="D237" s="167"/>
      <c r="E237" s="168"/>
      <c r="F237" s="167"/>
      <c r="G237" s="167"/>
      <c r="H237" s="167"/>
      <c r="I237" s="167"/>
      <c r="K237" s="328"/>
      <c r="L237" s="328"/>
      <c r="M237" s="328"/>
      <c r="N237" s="328"/>
    </row>
    <row r="238" spans="2:14" ht="15.75" thickBot="1" x14ac:dyDescent="0.3">
      <c r="B238" s="221" t="s">
        <v>59</v>
      </c>
      <c r="C238" s="222" t="s">
        <v>60</v>
      </c>
      <c r="D238" s="223" t="s">
        <v>61</v>
      </c>
      <c r="E238" s="172" t="s">
        <v>62</v>
      </c>
      <c r="F238" s="170"/>
      <c r="G238" s="167"/>
      <c r="H238" s="171" t="s">
        <v>44</v>
      </c>
      <c r="I238" s="172">
        <v>1.2</v>
      </c>
      <c r="K238" s="328"/>
      <c r="L238" s="328"/>
      <c r="M238" s="328"/>
      <c r="N238" s="328"/>
    </row>
    <row r="239" spans="2:14" ht="15.75" thickBot="1" x14ac:dyDescent="0.3">
      <c r="B239" s="227" t="s">
        <v>64</v>
      </c>
      <c r="C239" s="228">
        <v>2</v>
      </c>
      <c r="D239" s="229">
        <v>22.5</v>
      </c>
      <c r="E239" s="230">
        <v>4.4444444444444446E-2</v>
      </c>
      <c r="F239" s="231"/>
      <c r="G239" s="167"/>
      <c r="H239" s="167"/>
      <c r="I239" s="167"/>
      <c r="K239" s="328"/>
      <c r="L239" s="328"/>
      <c r="M239" s="328"/>
      <c r="N239" s="328"/>
    </row>
    <row r="240" spans="2:14" ht="15.75" thickBot="1" x14ac:dyDescent="0.3">
      <c r="B240" s="236" t="s">
        <v>65</v>
      </c>
      <c r="C240" s="237">
        <v>2</v>
      </c>
      <c r="D240" s="238">
        <v>17.5</v>
      </c>
      <c r="E240" s="239">
        <v>5.7142857142857141E-2</v>
      </c>
      <c r="F240" s="231"/>
      <c r="G240" s="240"/>
      <c r="H240" s="593" t="s">
        <v>63</v>
      </c>
      <c r="I240" s="594"/>
      <c r="K240" s="328"/>
      <c r="L240" s="328"/>
      <c r="M240" s="328"/>
      <c r="N240" s="328"/>
    </row>
    <row r="241" spans="2:14" ht="15.75" thickBot="1" x14ac:dyDescent="0.3">
      <c r="B241" s="245"/>
      <c r="C241" s="246"/>
      <c r="D241" s="247"/>
      <c r="E241" s="248"/>
      <c r="F241" s="231"/>
      <c r="G241" s="167"/>
      <c r="H241" s="249" t="s">
        <v>66</v>
      </c>
      <c r="I241" s="250">
        <f>25%</f>
        <v>0.25</v>
      </c>
      <c r="K241" s="328"/>
      <c r="L241" s="328"/>
      <c r="M241" s="328"/>
      <c r="N241" s="328"/>
    </row>
    <row r="242" spans="2:14" ht="15.75" thickBot="1" x14ac:dyDescent="0.3">
      <c r="B242" s="189"/>
      <c r="K242" s="328"/>
      <c r="L242" s="328"/>
      <c r="M242" s="328"/>
      <c r="N242" s="328"/>
    </row>
    <row r="243" spans="2:14" ht="39" thickBot="1" x14ac:dyDescent="0.3">
      <c r="B243" s="256" t="s">
        <v>49</v>
      </c>
      <c r="C243" s="257" t="s">
        <v>51</v>
      </c>
      <c r="D243" s="257" t="s">
        <v>67</v>
      </c>
      <c r="E243" s="258" t="s">
        <v>53</v>
      </c>
      <c r="F243" s="257" t="s">
        <v>95</v>
      </c>
      <c r="G243" s="257" t="s">
        <v>68</v>
      </c>
      <c r="H243" s="259" t="s">
        <v>37</v>
      </c>
      <c r="I243" s="260"/>
      <c r="K243" s="328"/>
      <c r="L243" s="328"/>
      <c r="M243" s="328"/>
      <c r="N243" s="328"/>
    </row>
    <row r="244" spans="2:14" x14ac:dyDescent="0.25">
      <c r="B244" s="261" t="s">
        <v>69</v>
      </c>
      <c r="C244" s="262"/>
      <c r="D244" s="262"/>
      <c r="E244" s="262"/>
      <c r="F244" s="262"/>
      <c r="G244" s="262"/>
      <c r="H244" s="263">
        <f>SUM(G245:G245)*E239*I238</f>
        <v>0.22668800000000006</v>
      </c>
      <c r="I244" s="264"/>
      <c r="K244" s="328"/>
      <c r="L244" s="328"/>
      <c r="M244" s="328"/>
      <c r="N244" s="328"/>
    </row>
    <row r="245" spans="2:14" x14ac:dyDescent="0.25">
      <c r="B245" s="212" t="str">
        <f>+B235</f>
        <v>Tubo LAC 50x50x2 mm</v>
      </c>
      <c r="C245" s="266">
        <v>1</v>
      </c>
      <c r="D245" s="266">
        <v>1</v>
      </c>
      <c r="E245" s="267">
        <f>+H231</f>
        <v>21.252000000000002</v>
      </c>
      <c r="F245" s="268">
        <f>F235</f>
        <v>0.2</v>
      </c>
      <c r="G245" s="269">
        <f>PRODUCT(C245:F245)</f>
        <v>4.2504000000000008</v>
      </c>
      <c r="H245" s="270"/>
      <c r="I245" s="271"/>
      <c r="K245" s="328"/>
      <c r="L245" s="328"/>
      <c r="M245" s="328"/>
      <c r="N245" s="328"/>
    </row>
    <row r="246" spans="2:14" x14ac:dyDescent="0.25">
      <c r="B246" s="314" t="s">
        <v>70</v>
      </c>
      <c r="C246" s="234"/>
      <c r="D246" s="234"/>
      <c r="E246" s="234"/>
      <c r="F246" s="234"/>
      <c r="G246" s="234"/>
      <c r="H246" s="310">
        <f>SUM(G247:G247)*E240*I238</f>
        <v>0.29145600000000005</v>
      </c>
      <c r="I246" s="311"/>
      <c r="K246" s="328"/>
      <c r="L246" s="328"/>
      <c r="M246" s="328"/>
      <c r="N246" s="328"/>
    </row>
    <row r="247" spans="2:14" x14ac:dyDescent="0.25">
      <c r="B247" s="212" t="str">
        <f>+B245</f>
        <v>Tubo LAC 50x50x2 mm</v>
      </c>
      <c r="C247" s="244">
        <v>1</v>
      </c>
      <c r="D247" s="244">
        <v>1</v>
      </c>
      <c r="E247" s="278">
        <f>+H231</f>
        <v>21.252000000000002</v>
      </c>
      <c r="F247" s="279">
        <f>F245</f>
        <v>0.2</v>
      </c>
      <c r="G247" s="269">
        <f>PRODUCT(C247:F247)</f>
        <v>4.2504000000000008</v>
      </c>
      <c r="H247" s="277"/>
      <c r="I247" s="271"/>
      <c r="K247" s="328"/>
      <c r="L247" s="328"/>
      <c r="M247" s="328"/>
      <c r="N247" s="328"/>
    </row>
    <row r="248" spans="2:14" x14ac:dyDescent="0.25">
      <c r="B248" s="314" t="s">
        <v>71</v>
      </c>
      <c r="C248" s="573" t="s">
        <v>72</v>
      </c>
      <c r="D248" s="574"/>
      <c r="E248" s="574"/>
      <c r="F248" s="575"/>
      <c r="G248" s="315" t="str">
        <f>+H241</f>
        <v>Pistola</v>
      </c>
      <c r="H248" s="310">
        <f>SUM(H244:H247)*I241</f>
        <v>0.12953600000000004</v>
      </c>
      <c r="I248" s="311"/>
      <c r="K248" s="328"/>
      <c r="L248" s="328"/>
      <c r="M248" s="328"/>
      <c r="N248" s="328"/>
    </row>
    <row r="249" spans="2:14" ht="15.75" thickBot="1" x14ac:dyDescent="0.3">
      <c r="B249" s="281"/>
      <c r="C249" s="282"/>
      <c r="D249" s="282"/>
      <c r="E249" s="283"/>
      <c r="F249" s="282"/>
      <c r="G249" s="282"/>
      <c r="H249" s="282"/>
      <c r="I249" s="284"/>
      <c r="K249" s="328"/>
      <c r="L249" s="328"/>
      <c r="M249" s="328"/>
      <c r="N249" s="328"/>
    </row>
    <row r="250" spans="2:14" ht="15.75" thickBot="1" x14ac:dyDescent="0.3">
      <c r="B250" s="576" t="s">
        <v>73</v>
      </c>
      <c r="C250" s="577"/>
      <c r="D250" s="577"/>
      <c r="E250" s="577"/>
      <c r="F250" s="577"/>
      <c r="G250" s="577"/>
      <c r="H250" s="577"/>
      <c r="I250" s="578"/>
      <c r="K250" s="328"/>
      <c r="L250" s="328"/>
      <c r="M250" s="328"/>
      <c r="N250" s="328"/>
    </row>
    <row r="251" spans="2:14" ht="15.75" thickBot="1" x14ac:dyDescent="0.3">
      <c r="K251" s="328"/>
      <c r="L251" s="328"/>
      <c r="M251" s="328"/>
      <c r="N251" s="328"/>
    </row>
    <row r="252" spans="2:14" x14ac:dyDescent="0.25">
      <c r="B252" s="579" t="s">
        <v>49</v>
      </c>
      <c r="C252" s="581" t="s">
        <v>7</v>
      </c>
      <c r="D252" s="285" t="s">
        <v>74</v>
      </c>
      <c r="E252" s="286"/>
      <c r="F252" s="287"/>
      <c r="G252" s="287"/>
      <c r="H252" s="287"/>
      <c r="I252" s="287"/>
      <c r="K252" s="328"/>
      <c r="L252" s="328"/>
      <c r="M252" s="328"/>
      <c r="N252" s="328"/>
    </row>
    <row r="253" spans="2:14" ht="15.75" thickBot="1" x14ac:dyDescent="0.3">
      <c r="B253" s="580"/>
      <c r="C253" s="582"/>
      <c r="D253" s="291" t="s">
        <v>7</v>
      </c>
      <c r="E253" s="292"/>
      <c r="F253" s="287"/>
      <c r="G253" s="287"/>
      <c r="H253" s="287"/>
      <c r="I253" s="287"/>
      <c r="K253" s="328"/>
      <c r="L253" s="328"/>
      <c r="M253" s="328"/>
      <c r="N253" s="328"/>
    </row>
    <row r="254" spans="2:14" x14ac:dyDescent="0.25">
      <c r="B254" s="293" t="str">
        <f>+B221</f>
        <v>CERCHA LONGITUDINAL L=4.05m</v>
      </c>
      <c r="C254" s="294"/>
      <c r="D254" s="295"/>
      <c r="E254" s="296"/>
      <c r="F254" s="297"/>
      <c r="G254" s="297"/>
      <c r="H254" s="297"/>
      <c r="I254" s="297"/>
      <c r="K254" s="328"/>
      <c r="L254" s="328"/>
      <c r="M254" s="328"/>
      <c r="N254" s="328"/>
    </row>
    <row r="255" spans="2:14" x14ac:dyDescent="0.25">
      <c r="B255" s="301" t="str">
        <f>+B231</f>
        <v>Tubo LAC 50x50x2 mm</v>
      </c>
      <c r="C255" s="302" t="s">
        <v>21</v>
      </c>
      <c r="D255" s="303">
        <f>+H231</f>
        <v>21.252000000000002</v>
      </c>
      <c r="E255" s="304"/>
      <c r="F255" s="287"/>
      <c r="G255" s="287"/>
      <c r="H255" s="287"/>
      <c r="I255" s="287"/>
      <c r="K255" s="328"/>
      <c r="L255" s="328"/>
      <c r="M255" s="328"/>
      <c r="N255" s="328"/>
    </row>
    <row r="256" spans="2:14" x14ac:dyDescent="0.25">
      <c r="B256" s="305" t="str">
        <f>+B234</f>
        <v>ELECTRODOS E6011</v>
      </c>
      <c r="C256" s="306" t="str">
        <f>+H233</f>
        <v>kg</v>
      </c>
      <c r="D256" s="307">
        <f>+H234</f>
        <v>1.473214285714286</v>
      </c>
      <c r="E256" s="304"/>
      <c r="F256" s="287"/>
      <c r="G256" s="287"/>
      <c r="H256" s="287"/>
      <c r="I256" s="287"/>
      <c r="K256" s="328"/>
      <c r="L256" s="328"/>
      <c r="M256" s="328"/>
      <c r="N256" s="328"/>
    </row>
    <row r="257" spans="2:14" x14ac:dyDescent="0.25">
      <c r="B257" s="305" t="str">
        <f>+B244</f>
        <v>ESMALTE SINTÉTICO</v>
      </c>
      <c r="C257" s="306" t="str">
        <f>+H243</f>
        <v>gln</v>
      </c>
      <c r="D257" s="307">
        <f>+H244</f>
        <v>0.22668800000000006</v>
      </c>
      <c r="E257" s="304"/>
      <c r="F257" s="287"/>
      <c r="G257" s="287"/>
      <c r="H257" s="287"/>
      <c r="I257" s="287"/>
      <c r="K257" s="328"/>
      <c r="L257" s="328"/>
      <c r="M257" s="328"/>
      <c r="N257" s="328"/>
    </row>
    <row r="258" spans="2:14" x14ac:dyDescent="0.25">
      <c r="B258" s="305" t="str">
        <f>+B246</f>
        <v>BASE ANTICORROSIVA</v>
      </c>
      <c r="C258" s="306" t="str">
        <f>+C257</f>
        <v>gln</v>
      </c>
      <c r="D258" s="307">
        <f>+H246</f>
        <v>0.29145600000000005</v>
      </c>
      <c r="E258" s="304"/>
      <c r="F258" s="287"/>
      <c r="G258" s="287"/>
      <c r="H258" s="287"/>
      <c r="I258" s="287"/>
      <c r="K258" s="328"/>
      <c r="L258" s="328"/>
      <c r="M258" s="328"/>
      <c r="N258" s="328"/>
    </row>
    <row r="259" spans="2:14" ht="15.75" thickBot="1" x14ac:dyDescent="0.3">
      <c r="B259" s="281" t="str">
        <f>+B248</f>
        <v>DILUYENTE ESTÁNDAR (THINNER)</v>
      </c>
      <c r="C259" s="252" t="str">
        <f>+C258</f>
        <v>gln</v>
      </c>
      <c r="D259" s="308">
        <f>+H248</f>
        <v>0.12953600000000004</v>
      </c>
      <c r="E259" s="309"/>
      <c r="K259" s="328"/>
      <c r="L259" s="328"/>
      <c r="M259" s="328"/>
      <c r="N259" s="328"/>
    </row>
    <row r="260" spans="2:14" ht="15.75" thickBot="1" x14ac:dyDescent="0.3">
      <c r="B260" s="206"/>
      <c r="C260" s="466"/>
      <c r="D260" s="374"/>
      <c r="E260" s="309"/>
      <c r="K260" s="328"/>
      <c r="L260" s="328"/>
      <c r="M260" s="328"/>
      <c r="N260" s="328"/>
    </row>
    <row r="261" spans="2:14" x14ac:dyDescent="0.25">
      <c r="B261" s="583" t="s">
        <v>42</v>
      </c>
      <c r="C261" s="584"/>
      <c r="D261" s="584"/>
      <c r="E261" s="584"/>
      <c r="F261" s="584"/>
      <c r="G261" s="584"/>
      <c r="H261" s="584"/>
      <c r="I261" s="585"/>
    </row>
    <row r="262" spans="2:14" ht="15.75" thickBot="1" x14ac:dyDescent="0.3">
      <c r="B262" s="586" t="str">
        <f>+Metrado!D94</f>
        <v xml:space="preserve">CORREAS METALICAS </v>
      </c>
      <c r="C262" s="587"/>
      <c r="D262" s="587"/>
      <c r="E262" s="587"/>
      <c r="F262" s="587"/>
      <c r="G262" s="587"/>
      <c r="H262" s="587"/>
      <c r="I262" s="588"/>
    </row>
    <row r="263" spans="2:14" ht="15.75" thickBot="1" x14ac:dyDescent="0.3">
      <c r="B263" s="166"/>
      <c r="C263" s="167"/>
      <c r="D263" s="167"/>
      <c r="E263" s="168"/>
      <c r="F263" s="167"/>
      <c r="G263" s="167"/>
      <c r="H263" s="167"/>
      <c r="I263" s="167"/>
    </row>
    <row r="264" spans="2:14" ht="15.75" thickBot="1" x14ac:dyDescent="0.3">
      <c r="B264" s="169" t="s">
        <v>59</v>
      </c>
      <c r="C264" s="170"/>
      <c r="D264" s="589" t="s">
        <v>43</v>
      </c>
      <c r="E264" s="590"/>
      <c r="F264" s="591"/>
      <c r="G264" s="167"/>
      <c r="H264" s="171" t="s">
        <v>44</v>
      </c>
      <c r="I264" s="172">
        <v>1.1000000000000001</v>
      </c>
    </row>
    <row r="265" spans="2:14" ht="15.75" thickBot="1" x14ac:dyDescent="0.3">
      <c r="B265" s="176" t="s">
        <v>91</v>
      </c>
      <c r="C265" s="177"/>
      <c r="D265" s="178" t="s">
        <v>45</v>
      </c>
      <c r="E265" s="179">
        <f>IF(D$7=K$3,L$3,(IF(D$7=K$4,L$4,(IF(D$7=K$5,L$5,(IF(D$7=K$6,L$6,"")))))))</f>
        <v>0.22321428571428573</v>
      </c>
      <c r="F265" s="180" t="s">
        <v>20</v>
      </c>
      <c r="G265" s="167"/>
      <c r="H265" s="181"/>
      <c r="I265" s="182"/>
    </row>
    <row r="266" spans="2:14" x14ac:dyDescent="0.25">
      <c r="B266" s="183"/>
      <c r="C266" s="177"/>
      <c r="D266" s="177"/>
      <c r="E266" s="184"/>
      <c r="F266" s="167"/>
      <c r="G266" s="185"/>
      <c r="H266" s="185"/>
      <c r="I266" s="186"/>
    </row>
    <row r="267" spans="2:14" ht="15.75" thickBot="1" x14ac:dyDescent="0.3">
      <c r="B267" s="183"/>
      <c r="C267" s="177"/>
      <c r="D267" s="177"/>
      <c r="E267" s="184"/>
      <c r="F267" s="167"/>
      <c r="G267" s="187"/>
      <c r="H267" s="187"/>
      <c r="I267" s="186"/>
    </row>
    <row r="268" spans="2:14" ht="15.75" thickBot="1" x14ac:dyDescent="0.3">
      <c r="B268" s="576" t="s">
        <v>90</v>
      </c>
      <c r="C268" s="577"/>
      <c r="D268" s="577"/>
      <c r="E268" s="577"/>
      <c r="F268" s="577"/>
      <c r="G268" s="577"/>
      <c r="H268" s="577"/>
      <c r="I268" s="578"/>
    </row>
    <row r="269" spans="2:14" ht="15.75" thickBot="1" x14ac:dyDescent="0.3">
      <c r="B269" s="189"/>
      <c r="H269" s="592"/>
      <c r="I269" s="592"/>
    </row>
    <row r="270" spans="2:14" ht="15.75" thickBot="1" x14ac:dyDescent="0.3">
      <c r="B270" s="191" t="s">
        <v>49</v>
      </c>
      <c r="C270" s="192" t="s">
        <v>50</v>
      </c>
      <c r="D270" s="192" t="s">
        <v>51</v>
      </c>
      <c r="E270" s="193" t="s">
        <v>52</v>
      </c>
      <c r="F270" s="193" t="s">
        <v>53</v>
      </c>
      <c r="G270" s="192" t="s">
        <v>54</v>
      </c>
      <c r="H270" s="192" t="s">
        <v>21</v>
      </c>
      <c r="I270" s="194" t="s">
        <v>22</v>
      </c>
    </row>
    <row r="271" spans="2:14" x14ac:dyDescent="0.25">
      <c r="B271" s="195" t="s">
        <v>75</v>
      </c>
      <c r="C271" s="196"/>
      <c r="D271" s="196"/>
      <c r="E271" s="197"/>
      <c r="F271" s="197"/>
      <c r="G271" s="196"/>
      <c r="H271" s="196"/>
      <c r="I271" s="198"/>
    </row>
    <row r="272" spans="2:14" x14ac:dyDescent="0.25">
      <c r="B272" s="199" t="str">
        <f>Metrado!D95</f>
        <v>Tubo  LAC 80x40x2 mm</v>
      </c>
      <c r="C272" s="200">
        <v>6</v>
      </c>
      <c r="D272" s="201"/>
      <c r="E272" s="202"/>
      <c r="F272" s="201">
        <f>Metrado!Q94</f>
        <v>625.24</v>
      </c>
      <c r="G272" s="203"/>
      <c r="H272" s="204">
        <f>SUM(F272)*I264</f>
        <v>687.76400000000001</v>
      </c>
      <c r="I272" s="205">
        <f>H272/C272</f>
        <v>114.62733333333334</v>
      </c>
    </row>
    <row r="273" spans="2:14" ht="15.75" thickBot="1" x14ac:dyDescent="0.3">
      <c r="B273" s="199" t="str">
        <f>Metrado!D96</f>
        <v>Plancha met. ASTM A1008 LAF, e=1/32", tapas</v>
      </c>
      <c r="C273" s="200">
        <v>6</v>
      </c>
      <c r="D273" s="201"/>
      <c r="E273" s="207"/>
      <c r="F273" s="201">
        <f>Metrado!K96</f>
        <v>0</v>
      </c>
      <c r="G273" s="203"/>
      <c r="H273" s="204">
        <f>SUM(F273)*I264</f>
        <v>0</v>
      </c>
      <c r="I273" s="205">
        <f>H273/C273</f>
        <v>0</v>
      </c>
    </row>
    <row r="274" spans="2:14" ht="15.75" thickBot="1" x14ac:dyDescent="0.3">
      <c r="B274" s="191" t="s">
        <v>49</v>
      </c>
      <c r="C274" s="192" t="s">
        <v>55</v>
      </c>
      <c r="D274" s="192" t="s">
        <v>50</v>
      </c>
      <c r="E274" s="192" t="s">
        <v>56</v>
      </c>
      <c r="F274" s="192" t="s">
        <v>57</v>
      </c>
      <c r="G274" s="192" t="s">
        <v>54</v>
      </c>
      <c r="H274" s="192" t="s">
        <v>19</v>
      </c>
      <c r="I274" s="194"/>
    </row>
    <row r="275" spans="2:14" x14ac:dyDescent="0.25">
      <c r="B275" s="211" t="s">
        <v>123</v>
      </c>
      <c r="C275" s="216"/>
      <c r="D275" s="217"/>
      <c r="E275" s="217"/>
      <c r="F275" s="217"/>
      <c r="G275" s="313"/>
      <c r="H275" s="219">
        <f>+SUM(G276:G277)*E265*I264/F272</f>
        <v>2.3405298079823066E-2</v>
      </c>
      <c r="I275" s="220"/>
    </row>
    <row r="276" spans="2:14" x14ac:dyDescent="0.25">
      <c r="B276" s="329" t="str">
        <f>+B272</f>
        <v>Tubo  LAC 80x40x2 mm</v>
      </c>
      <c r="C276" s="216">
        <v>176</v>
      </c>
      <c r="D276" s="217">
        <v>0.1</v>
      </c>
      <c r="E276" s="217">
        <v>0</v>
      </c>
      <c r="F276" s="214">
        <f>(D276+E276)</f>
        <v>0.1</v>
      </c>
      <c r="G276" s="215">
        <f>C276*F276</f>
        <v>17.600000000000001</v>
      </c>
      <c r="H276" s="219"/>
      <c r="I276" s="220"/>
    </row>
    <row r="277" spans="2:14" ht="15.75" thickBot="1" x14ac:dyDescent="0.3">
      <c r="B277" s="329" t="str">
        <f>Metrado!D96</f>
        <v>Plancha met. ASTM A1008 LAF, e=1/32", tapas</v>
      </c>
      <c r="C277" s="216">
        <v>140</v>
      </c>
      <c r="D277" s="217">
        <v>0.1</v>
      </c>
      <c r="E277" s="217">
        <v>0.05</v>
      </c>
      <c r="F277" s="214">
        <f>(D277+E277)*2</f>
        <v>0.30000000000000004</v>
      </c>
      <c r="G277" s="215">
        <f>C277*F277</f>
        <v>42.000000000000007</v>
      </c>
      <c r="H277" s="219"/>
      <c r="I277" s="220"/>
      <c r="K277" s="328"/>
      <c r="L277" s="328"/>
      <c r="M277" s="328"/>
      <c r="N277" s="328"/>
    </row>
    <row r="278" spans="2:14" ht="15.75" thickBot="1" x14ac:dyDescent="0.3">
      <c r="B278" s="576" t="s">
        <v>58</v>
      </c>
      <c r="C278" s="577"/>
      <c r="D278" s="577"/>
      <c r="E278" s="577"/>
      <c r="F278" s="577"/>
      <c r="G278" s="577"/>
      <c r="H278" s="577"/>
      <c r="I278" s="578"/>
    </row>
    <row r="279" spans="2:14" ht="15.75" thickBot="1" x14ac:dyDescent="0.3">
      <c r="B279" s="166"/>
      <c r="C279" s="167"/>
      <c r="D279" s="167"/>
      <c r="E279" s="168"/>
      <c r="F279" s="167"/>
      <c r="G279" s="167"/>
      <c r="H279" s="167"/>
      <c r="I279" s="167"/>
    </row>
    <row r="280" spans="2:14" ht="15.75" thickBot="1" x14ac:dyDescent="0.3">
      <c r="B280" s="221" t="s">
        <v>59</v>
      </c>
      <c r="C280" s="222" t="s">
        <v>60</v>
      </c>
      <c r="D280" s="223" t="s">
        <v>61</v>
      </c>
      <c r="E280" s="172" t="s">
        <v>62</v>
      </c>
      <c r="F280" s="170"/>
      <c r="G280" s="167"/>
      <c r="H280" s="171" t="s">
        <v>44</v>
      </c>
      <c r="I280" s="172">
        <v>1.2</v>
      </c>
    </row>
    <row r="281" spans="2:14" ht="15.75" thickBot="1" x14ac:dyDescent="0.3">
      <c r="B281" s="227" t="s">
        <v>64</v>
      </c>
      <c r="C281" s="228">
        <v>2</v>
      </c>
      <c r="D281" s="229">
        <v>22.5</v>
      </c>
      <c r="E281" s="230">
        <v>4.4444444444444446E-2</v>
      </c>
      <c r="F281" s="231"/>
      <c r="G281" s="167"/>
      <c r="H281" s="167"/>
      <c r="I281" s="167"/>
    </row>
    <row r="282" spans="2:14" ht="15.75" thickBot="1" x14ac:dyDescent="0.3">
      <c r="B282" s="236" t="s">
        <v>65</v>
      </c>
      <c r="C282" s="237">
        <v>2</v>
      </c>
      <c r="D282" s="238">
        <v>17.5</v>
      </c>
      <c r="E282" s="239">
        <v>5.7142857142857141E-2</v>
      </c>
      <c r="F282" s="231"/>
      <c r="G282" s="240"/>
      <c r="H282" s="593" t="s">
        <v>63</v>
      </c>
      <c r="I282" s="594"/>
    </row>
    <row r="283" spans="2:14" ht="15.75" thickBot="1" x14ac:dyDescent="0.3">
      <c r="B283" s="245"/>
      <c r="C283" s="246"/>
      <c r="D283" s="247"/>
      <c r="E283" s="248"/>
      <c r="F283" s="231"/>
      <c r="G283" s="167"/>
      <c r="H283" s="249" t="s">
        <v>66</v>
      </c>
      <c r="I283" s="250">
        <f>25%</f>
        <v>0.25</v>
      </c>
    </row>
    <row r="284" spans="2:14" x14ac:dyDescent="0.25">
      <c r="B284" s="167"/>
      <c r="C284" s="167"/>
      <c r="D284" s="167"/>
      <c r="E284" s="167"/>
      <c r="F284" s="167"/>
      <c r="G284" s="167"/>
      <c r="H284" s="255"/>
      <c r="I284" s="167"/>
    </row>
    <row r="285" spans="2:14" ht="15.75" thickBot="1" x14ac:dyDescent="0.3">
      <c r="B285" s="189"/>
    </row>
    <row r="286" spans="2:14" ht="39" thickBot="1" x14ac:dyDescent="0.3">
      <c r="B286" s="256" t="s">
        <v>49</v>
      </c>
      <c r="C286" s="257" t="s">
        <v>51</v>
      </c>
      <c r="D286" s="257" t="s">
        <v>67</v>
      </c>
      <c r="E286" s="258" t="s">
        <v>53</v>
      </c>
      <c r="F286" s="257" t="s">
        <v>95</v>
      </c>
      <c r="G286" s="257" t="s">
        <v>68</v>
      </c>
      <c r="H286" s="259" t="s">
        <v>37</v>
      </c>
      <c r="I286" s="260"/>
    </row>
    <row r="287" spans="2:14" x14ac:dyDescent="0.25">
      <c r="B287" s="261" t="s">
        <v>69</v>
      </c>
      <c r="C287" s="262"/>
      <c r="D287" s="262"/>
      <c r="E287" s="262"/>
      <c r="F287" s="262"/>
      <c r="G287" s="262"/>
      <c r="H287" s="263">
        <f>SUM(G288:G289)*E281*I280/F272</f>
        <v>3.0506666666666668E-2</v>
      </c>
      <c r="I287" s="264"/>
    </row>
    <row r="288" spans="2:14" x14ac:dyDescent="0.25">
      <c r="B288" s="212" t="str">
        <f>+B276</f>
        <v>Tubo  LAC 80x40x2 mm</v>
      </c>
      <c r="C288" s="266">
        <v>1</v>
      </c>
      <c r="D288" s="266">
        <v>2</v>
      </c>
      <c r="E288" s="267">
        <f>+H272</f>
        <v>687.76400000000001</v>
      </c>
      <c r="F288" s="268">
        <v>0.26</v>
      </c>
      <c r="G288" s="269">
        <f>PRODUCT(C288:F288)</f>
        <v>357.63728000000003</v>
      </c>
      <c r="H288" s="270"/>
      <c r="I288" s="271"/>
    </row>
    <row r="289" spans="2:14" x14ac:dyDescent="0.25">
      <c r="B289" s="212" t="str">
        <f>B273</f>
        <v>Plancha met. ASTM A1008 LAF, e=1/32", tapas</v>
      </c>
      <c r="C289" s="507">
        <v>1</v>
      </c>
      <c r="D289" s="507">
        <v>1</v>
      </c>
      <c r="E289" s="273">
        <f>H273</f>
        <v>0</v>
      </c>
      <c r="F289" s="274">
        <f>F277</f>
        <v>0.30000000000000004</v>
      </c>
      <c r="G289" s="269">
        <f>PRODUCT(C289:F289)</f>
        <v>0</v>
      </c>
      <c r="H289" s="270"/>
      <c r="I289" s="311"/>
      <c r="K289" s="328"/>
      <c r="L289" s="328"/>
      <c r="M289" s="328"/>
      <c r="N289" s="328"/>
    </row>
    <row r="290" spans="2:14" x14ac:dyDescent="0.25">
      <c r="B290" s="314" t="s">
        <v>70</v>
      </c>
      <c r="C290" s="234"/>
      <c r="D290" s="234"/>
      <c r="E290" s="234"/>
      <c r="F290" s="234"/>
      <c r="G290" s="234"/>
      <c r="H290" s="310">
        <f>SUM(G291:G292)*E282*I280/F272</f>
        <v>1.9611428571428571E-2</v>
      </c>
      <c r="I290" s="311"/>
    </row>
    <row r="291" spans="2:14" x14ac:dyDescent="0.25">
      <c r="B291" s="212" t="str">
        <f>+B288</f>
        <v>Tubo  LAC 80x40x2 mm</v>
      </c>
      <c r="C291" s="244">
        <v>1</v>
      </c>
      <c r="D291" s="244">
        <v>1</v>
      </c>
      <c r="E291" s="278">
        <f>+H272</f>
        <v>687.76400000000001</v>
      </c>
      <c r="F291" s="279">
        <f>F288</f>
        <v>0.26</v>
      </c>
      <c r="G291" s="269">
        <f>PRODUCT(C291:F291)</f>
        <v>178.81864000000002</v>
      </c>
      <c r="H291" s="277"/>
      <c r="I291" s="271"/>
    </row>
    <row r="292" spans="2:14" x14ac:dyDescent="0.25">
      <c r="B292" s="212" t="str">
        <f>B289</f>
        <v>Plancha met. ASTM A1008 LAF, e=1/32", tapas</v>
      </c>
      <c r="C292" s="507">
        <v>1</v>
      </c>
      <c r="D292" s="507">
        <v>1</v>
      </c>
      <c r="E292" s="273">
        <f>E289</f>
        <v>0</v>
      </c>
      <c r="F292" s="273">
        <f t="shared" ref="F292:G292" si="21">F289</f>
        <v>0.30000000000000004</v>
      </c>
      <c r="G292" s="273">
        <f t="shared" si="21"/>
        <v>0</v>
      </c>
      <c r="H292" s="310"/>
      <c r="I292" s="311"/>
      <c r="K292" s="328"/>
      <c r="L292" s="328"/>
      <c r="M292" s="328"/>
      <c r="N292" s="328"/>
    </row>
    <row r="293" spans="2:14" x14ac:dyDescent="0.25">
      <c r="B293" s="314" t="s">
        <v>71</v>
      </c>
      <c r="C293" s="573" t="s">
        <v>72</v>
      </c>
      <c r="D293" s="574"/>
      <c r="E293" s="574"/>
      <c r="F293" s="575"/>
      <c r="G293" s="315" t="str">
        <f>+H283</f>
        <v>Pistola</v>
      </c>
      <c r="H293" s="310">
        <f>SUM(H287:H291)*I283</f>
        <v>1.252952380952381E-2</v>
      </c>
      <c r="I293" s="311"/>
    </row>
    <row r="294" spans="2:14" ht="15.75" thickBot="1" x14ac:dyDescent="0.3">
      <c r="B294" s="281"/>
      <c r="C294" s="282"/>
      <c r="D294" s="282"/>
      <c r="E294" s="283"/>
      <c r="F294" s="282"/>
      <c r="G294" s="282"/>
      <c r="H294" s="282"/>
      <c r="I294" s="284"/>
    </row>
    <row r="295" spans="2:14" ht="15.75" thickBot="1" x14ac:dyDescent="0.3">
      <c r="B295" s="576" t="s">
        <v>73</v>
      </c>
      <c r="C295" s="577"/>
      <c r="D295" s="577"/>
      <c r="E295" s="577"/>
      <c r="F295" s="577"/>
      <c r="G295" s="577"/>
      <c r="H295" s="577"/>
      <c r="I295" s="578"/>
    </row>
    <row r="296" spans="2:14" ht="15.75" thickBot="1" x14ac:dyDescent="0.3"/>
    <row r="297" spans="2:14" x14ac:dyDescent="0.25">
      <c r="B297" s="579" t="s">
        <v>49</v>
      </c>
      <c r="C297" s="581" t="s">
        <v>7</v>
      </c>
      <c r="D297" s="285" t="s">
        <v>74</v>
      </c>
      <c r="E297" s="286"/>
      <c r="F297" s="287"/>
      <c r="G297" s="287"/>
      <c r="H297" s="287"/>
      <c r="I297" s="287"/>
    </row>
    <row r="298" spans="2:14" ht="15.75" thickBot="1" x14ac:dyDescent="0.3">
      <c r="B298" s="580"/>
      <c r="C298" s="582"/>
      <c r="D298" s="291" t="s">
        <v>7</v>
      </c>
      <c r="E298" s="292"/>
      <c r="F298" s="287"/>
      <c r="G298" s="287"/>
      <c r="H298" s="287"/>
      <c r="I298" s="287"/>
    </row>
    <row r="299" spans="2:14" x14ac:dyDescent="0.25">
      <c r="B299" s="293" t="str">
        <f>+B262</f>
        <v xml:space="preserve">CORREAS METALICAS </v>
      </c>
      <c r="C299" s="294"/>
      <c r="D299" s="295"/>
      <c r="E299" s="296"/>
      <c r="F299" s="297"/>
      <c r="G299" s="297"/>
      <c r="H299" s="297"/>
      <c r="I299" s="297"/>
    </row>
    <row r="300" spans="2:14" x14ac:dyDescent="0.25">
      <c r="B300" s="301" t="str">
        <f>+B272</f>
        <v>Tubo  LAC 80x40x2 mm</v>
      </c>
      <c r="C300" s="302" t="s">
        <v>21</v>
      </c>
      <c r="D300" s="303">
        <f>+H272</f>
        <v>687.76400000000001</v>
      </c>
      <c r="E300" s="304"/>
      <c r="F300" s="287"/>
      <c r="G300" s="287"/>
      <c r="H300" s="287"/>
      <c r="I300" s="287"/>
    </row>
    <row r="301" spans="2:14" x14ac:dyDescent="0.25">
      <c r="B301" s="305" t="str">
        <f>B273</f>
        <v>Plancha met. ASTM A1008 LAF, e=1/32", tapas</v>
      </c>
      <c r="C301" s="306" t="s">
        <v>21</v>
      </c>
      <c r="D301" s="307">
        <f>H273</f>
        <v>0</v>
      </c>
      <c r="E301" s="304"/>
      <c r="F301" s="287"/>
      <c r="G301" s="287"/>
      <c r="H301" s="287"/>
      <c r="I301" s="287"/>
      <c r="K301" s="328"/>
      <c r="L301" s="328"/>
      <c r="M301" s="328"/>
      <c r="N301" s="328"/>
    </row>
    <row r="302" spans="2:14" x14ac:dyDescent="0.25">
      <c r="B302" s="305" t="str">
        <f>+B275</f>
        <v>ELECTRODOS E6011</v>
      </c>
      <c r="C302" s="306" t="str">
        <f>+H274</f>
        <v>kg</v>
      </c>
      <c r="D302" s="307">
        <f>+H275</f>
        <v>2.3405298079823066E-2</v>
      </c>
      <c r="E302" s="304"/>
      <c r="F302" s="287"/>
      <c r="G302" s="287"/>
      <c r="H302" s="287"/>
      <c r="I302" s="287"/>
    </row>
    <row r="303" spans="2:14" x14ac:dyDescent="0.25">
      <c r="B303" s="305" t="str">
        <f>+B287</f>
        <v>ESMALTE SINTÉTICO</v>
      </c>
      <c r="C303" s="306" t="str">
        <f>+H286</f>
        <v>gln</v>
      </c>
      <c r="D303" s="307">
        <f>+H287</f>
        <v>3.0506666666666668E-2</v>
      </c>
      <c r="E303" s="304"/>
      <c r="F303" s="287"/>
      <c r="G303" s="287"/>
      <c r="H303" s="287"/>
      <c r="I303" s="287"/>
    </row>
    <row r="304" spans="2:14" x14ac:dyDescent="0.25">
      <c r="B304" s="305" t="str">
        <f>+B290</f>
        <v>BASE ANTICORROSIVA</v>
      </c>
      <c r="C304" s="306" t="str">
        <f>+C303</f>
        <v>gln</v>
      </c>
      <c r="D304" s="307">
        <f>+H290</f>
        <v>1.9611428571428571E-2</v>
      </c>
      <c r="E304" s="304"/>
      <c r="F304" s="287"/>
      <c r="G304" s="287"/>
      <c r="H304" s="287"/>
      <c r="I304" s="287"/>
    </row>
    <row r="305" spans="2:9" ht="15.75" thickBot="1" x14ac:dyDescent="0.3">
      <c r="B305" s="281" t="str">
        <f>+B293</f>
        <v>DILUYENTE ESTÁNDAR (THINNER)</v>
      </c>
      <c r="C305" s="252" t="str">
        <f>+C304</f>
        <v>gln</v>
      </c>
      <c r="D305" s="308">
        <f>+H293</f>
        <v>1.252952380952381E-2</v>
      </c>
      <c r="E305" s="309"/>
    </row>
    <row r="306" spans="2:9" ht="15.75" thickBot="1" x14ac:dyDescent="0.3"/>
    <row r="307" spans="2:9" x14ac:dyDescent="0.25">
      <c r="B307" s="583" t="s">
        <v>42</v>
      </c>
      <c r="C307" s="584"/>
      <c r="D307" s="584"/>
      <c r="E307" s="584"/>
      <c r="F307" s="584"/>
      <c r="G307" s="584"/>
      <c r="H307" s="584"/>
      <c r="I307" s="585"/>
    </row>
    <row r="308" spans="2:9" ht="15.75" thickBot="1" x14ac:dyDescent="0.3">
      <c r="B308" s="586" t="str">
        <f>[1]Metrado!D100</f>
        <v>Arandela  Ø=3/4"</v>
      </c>
      <c r="C308" s="587"/>
      <c r="D308" s="587"/>
      <c r="E308" s="587"/>
      <c r="F308" s="587"/>
      <c r="G308" s="587"/>
      <c r="H308" s="587"/>
      <c r="I308" s="588"/>
    </row>
    <row r="309" spans="2:9" ht="15.75" thickBot="1" x14ac:dyDescent="0.3">
      <c r="B309" s="166"/>
      <c r="C309" s="167"/>
      <c r="D309" s="167"/>
      <c r="E309" s="168"/>
      <c r="F309" s="167"/>
      <c r="G309" s="167"/>
      <c r="H309" s="167"/>
      <c r="I309" s="167"/>
    </row>
    <row r="310" spans="2:9" ht="15.75" thickBot="1" x14ac:dyDescent="0.3">
      <c r="B310" s="169" t="s">
        <v>59</v>
      </c>
      <c r="C310" s="534"/>
      <c r="D310" s="589" t="s">
        <v>43</v>
      </c>
      <c r="E310" s="590"/>
      <c r="F310" s="591"/>
      <c r="G310" s="167"/>
      <c r="H310" s="171" t="s">
        <v>44</v>
      </c>
      <c r="I310" s="172">
        <v>1.1000000000000001</v>
      </c>
    </row>
    <row r="311" spans="2:9" ht="15.75" thickBot="1" x14ac:dyDescent="0.3">
      <c r="B311" s="176" t="s">
        <v>91</v>
      </c>
      <c r="C311" s="535"/>
      <c r="D311" s="178" t="s">
        <v>45</v>
      </c>
      <c r="E311" s="179">
        <f>IF(D$7=K$3,L$3,(IF(D$7=K$4,L$4,(IF(D$7=K$5,L$5,(IF(D$7=K$6,L$6,"")))))))</f>
        <v>0.22321428571428573</v>
      </c>
      <c r="F311" s="180" t="s">
        <v>20</v>
      </c>
      <c r="G311" s="167"/>
      <c r="H311" s="181"/>
      <c r="I311" s="182"/>
    </row>
    <row r="312" spans="2:9" x14ac:dyDescent="0.25">
      <c r="B312" s="536"/>
      <c r="C312" s="535"/>
      <c r="D312" s="535"/>
      <c r="E312" s="537"/>
      <c r="F312" s="167"/>
      <c r="G312" s="538"/>
      <c r="H312" s="538"/>
      <c r="I312" s="539"/>
    </row>
    <row r="313" spans="2:9" ht="15.75" thickBot="1" x14ac:dyDescent="0.3">
      <c r="B313" s="536"/>
      <c r="C313" s="535"/>
      <c r="D313" s="535"/>
      <c r="E313" s="537"/>
      <c r="F313" s="167"/>
      <c r="G313" s="540"/>
      <c r="H313" s="540"/>
      <c r="I313" s="539"/>
    </row>
    <row r="314" spans="2:9" ht="15.75" thickBot="1" x14ac:dyDescent="0.3">
      <c r="B314" s="576" t="s">
        <v>90</v>
      </c>
      <c r="C314" s="577"/>
      <c r="D314" s="577"/>
      <c r="E314" s="577"/>
      <c r="F314" s="577"/>
      <c r="G314" s="577"/>
      <c r="H314" s="577"/>
      <c r="I314" s="578"/>
    </row>
    <row r="315" spans="2:9" ht="15.75" thickBot="1" x14ac:dyDescent="0.3">
      <c r="B315" s="189"/>
      <c r="H315" s="606"/>
      <c r="I315" s="606"/>
    </row>
    <row r="316" spans="2:9" ht="15.75" thickBot="1" x14ac:dyDescent="0.3">
      <c r="B316" s="191" t="s">
        <v>49</v>
      </c>
      <c r="C316" s="192" t="s">
        <v>50</v>
      </c>
      <c r="D316" s="192" t="s">
        <v>51</v>
      </c>
      <c r="E316" s="193" t="s">
        <v>52</v>
      </c>
      <c r="F316" s="193" t="s">
        <v>53</v>
      </c>
      <c r="G316" s="192" t="s">
        <v>54</v>
      </c>
      <c r="H316" s="192" t="s">
        <v>21</v>
      </c>
      <c r="I316" s="194" t="s">
        <v>22</v>
      </c>
    </row>
    <row r="317" spans="2:9" x14ac:dyDescent="0.25">
      <c r="B317" s="195" t="s">
        <v>282</v>
      </c>
      <c r="C317" s="196"/>
      <c r="D317" s="196"/>
      <c r="E317" s="197"/>
      <c r="F317" s="197"/>
      <c r="G317" s="196"/>
      <c r="H317" s="196"/>
      <c r="I317" s="198"/>
    </row>
    <row r="318" spans="2:9" x14ac:dyDescent="0.25">
      <c r="B318" s="199" t="str">
        <f>Metrado!D99</f>
        <v>Angular 4", e=1/4"</v>
      </c>
      <c r="C318" s="200">
        <v>6</v>
      </c>
      <c r="D318" s="201"/>
      <c r="E318" s="202"/>
      <c r="F318" s="201">
        <f>Metrado!Q98</f>
        <v>64.199999999999989</v>
      </c>
      <c r="G318" s="203"/>
      <c r="H318" s="204">
        <f>SUM(F318)*I310</f>
        <v>70.61999999999999</v>
      </c>
      <c r="I318" s="205">
        <f>H318/C318</f>
        <v>11.769999999999998</v>
      </c>
    </row>
    <row r="319" spans="2:9" ht="15.75" thickBot="1" x14ac:dyDescent="0.3">
      <c r="B319" s="199"/>
      <c r="C319" s="200"/>
      <c r="D319" s="201"/>
      <c r="E319" s="202"/>
      <c r="F319" s="201"/>
      <c r="G319" s="203"/>
      <c r="H319" s="204"/>
      <c r="I319" s="205"/>
    </row>
    <row r="320" spans="2:9" ht="15.75" thickBot="1" x14ac:dyDescent="0.3">
      <c r="B320" s="191" t="s">
        <v>49</v>
      </c>
      <c r="C320" s="192" t="s">
        <v>55</v>
      </c>
      <c r="D320" s="192" t="s">
        <v>50</v>
      </c>
      <c r="E320" s="192" t="s">
        <v>56</v>
      </c>
      <c r="F320" s="192" t="s">
        <v>57</v>
      </c>
      <c r="G320" s="192" t="s">
        <v>54</v>
      </c>
      <c r="H320" s="192" t="s">
        <v>19</v>
      </c>
      <c r="I320" s="194"/>
    </row>
    <row r="321" spans="2:9" x14ac:dyDescent="0.25">
      <c r="B321" s="541" t="s">
        <v>123</v>
      </c>
      <c r="C321" s="542"/>
      <c r="D321" s="217"/>
      <c r="E321" s="217"/>
      <c r="F321" s="217"/>
      <c r="G321" s="543"/>
      <c r="H321" s="544">
        <f>+SUM(G322:G322)*E311*I310/F318</f>
        <v>2.1111481975967961E-2</v>
      </c>
      <c r="I321" s="545"/>
    </row>
    <row r="322" spans="2:9" ht="15.75" thickBot="1" x14ac:dyDescent="0.3">
      <c r="B322" s="546" t="str">
        <f>+B318</f>
        <v>Angular 4", e=1/4"</v>
      </c>
      <c r="C322" s="542">
        <v>12</v>
      </c>
      <c r="D322" s="217">
        <f>0.23*2</f>
        <v>0.46</v>
      </c>
      <c r="E322" s="217"/>
      <c r="F322" s="214">
        <f>(D322+E322)</f>
        <v>0.46</v>
      </c>
      <c r="G322" s="215">
        <f>C322*F322</f>
        <v>5.5200000000000005</v>
      </c>
      <c r="H322" s="544"/>
      <c r="I322" s="545"/>
    </row>
    <row r="323" spans="2:9" ht="15.75" thickBot="1" x14ac:dyDescent="0.3">
      <c r="B323" s="576" t="s">
        <v>58</v>
      </c>
      <c r="C323" s="577"/>
      <c r="D323" s="577"/>
      <c r="E323" s="577"/>
      <c r="F323" s="577"/>
      <c r="G323" s="577"/>
      <c r="H323" s="577"/>
      <c r="I323" s="578"/>
    </row>
    <row r="324" spans="2:9" ht="15.75" thickBot="1" x14ac:dyDescent="0.3">
      <c r="B324" s="166"/>
      <c r="C324" s="167"/>
      <c r="D324" s="167"/>
      <c r="E324" s="168"/>
      <c r="F324" s="167"/>
      <c r="G324" s="167"/>
      <c r="H324" s="167"/>
      <c r="I324" s="167"/>
    </row>
    <row r="325" spans="2:9" ht="15.75" thickBot="1" x14ac:dyDescent="0.3">
      <c r="B325" s="221" t="s">
        <v>59</v>
      </c>
      <c r="C325" s="222" t="s">
        <v>60</v>
      </c>
      <c r="D325" s="223" t="s">
        <v>61</v>
      </c>
      <c r="E325" s="172" t="s">
        <v>62</v>
      </c>
      <c r="F325" s="534"/>
      <c r="G325" s="167"/>
      <c r="H325" s="171" t="s">
        <v>44</v>
      </c>
      <c r="I325" s="172">
        <v>1.2</v>
      </c>
    </row>
    <row r="326" spans="2:9" ht="15.75" thickBot="1" x14ac:dyDescent="0.3">
      <c r="B326" s="227" t="s">
        <v>64</v>
      </c>
      <c r="C326" s="228">
        <v>2</v>
      </c>
      <c r="D326" s="229">
        <v>22.5</v>
      </c>
      <c r="E326" s="230">
        <v>4.4444444444444446E-2</v>
      </c>
      <c r="F326" s="255"/>
      <c r="G326" s="167"/>
      <c r="H326" s="167"/>
      <c r="I326" s="167"/>
    </row>
    <row r="327" spans="2:9" ht="15.75" thickBot="1" x14ac:dyDescent="0.3">
      <c r="B327" s="236" t="s">
        <v>65</v>
      </c>
      <c r="C327" s="237">
        <v>2</v>
      </c>
      <c r="D327" s="238">
        <v>17.5</v>
      </c>
      <c r="E327" s="239">
        <v>5.7142857142857141E-2</v>
      </c>
      <c r="F327" s="255"/>
      <c r="G327" s="240"/>
      <c r="H327" s="593" t="s">
        <v>63</v>
      </c>
      <c r="I327" s="594"/>
    </row>
    <row r="328" spans="2:9" ht="15.75" thickBot="1" x14ac:dyDescent="0.3">
      <c r="B328" s="166"/>
      <c r="C328" s="547"/>
      <c r="D328" s="167"/>
      <c r="E328" s="548"/>
      <c r="F328" s="255"/>
      <c r="G328" s="167"/>
      <c r="H328" s="249" t="s">
        <v>66</v>
      </c>
      <c r="I328" s="250">
        <f>25%</f>
        <v>0.25</v>
      </c>
    </row>
    <row r="329" spans="2:9" x14ac:dyDescent="0.25">
      <c r="B329" s="167"/>
      <c r="C329" s="167"/>
      <c r="D329" s="167"/>
      <c r="E329" s="167"/>
      <c r="F329" s="167"/>
      <c r="G329" s="167"/>
      <c r="H329" s="255"/>
      <c r="I329" s="167"/>
    </row>
    <row r="330" spans="2:9" ht="15.75" thickBot="1" x14ac:dyDescent="0.3">
      <c r="B330" s="189"/>
    </row>
    <row r="331" spans="2:9" ht="39" thickBot="1" x14ac:dyDescent="0.3">
      <c r="B331" s="256" t="s">
        <v>49</v>
      </c>
      <c r="C331" s="257" t="s">
        <v>51</v>
      </c>
      <c r="D331" s="257" t="s">
        <v>67</v>
      </c>
      <c r="E331" s="258" t="s">
        <v>53</v>
      </c>
      <c r="F331" s="257" t="s">
        <v>95</v>
      </c>
      <c r="G331" s="257" t="s">
        <v>68</v>
      </c>
      <c r="H331" s="259" t="s">
        <v>37</v>
      </c>
      <c r="I331" s="260"/>
    </row>
    <row r="332" spans="2:9" x14ac:dyDescent="0.25">
      <c r="B332" s="261" t="s">
        <v>69</v>
      </c>
      <c r="C332" s="262"/>
      <c r="D332" s="262"/>
      <c r="E332" s="262"/>
      <c r="F332" s="262"/>
      <c r="G332" s="262"/>
      <c r="H332" s="263">
        <f>SUM(G333:G333)*E326*I325/F318</f>
        <v>1.1733333333333333E-2</v>
      </c>
      <c r="I332" s="264"/>
    </row>
    <row r="333" spans="2:9" x14ac:dyDescent="0.25">
      <c r="B333" s="212" t="str">
        <f>+B322</f>
        <v>Angular 4", e=1/4"</v>
      </c>
      <c r="C333" s="266">
        <v>1</v>
      </c>
      <c r="D333" s="266">
        <v>2</v>
      </c>
      <c r="E333" s="267">
        <f>+H318</f>
        <v>70.61999999999999</v>
      </c>
      <c r="F333" s="268">
        <f>0.1</f>
        <v>0.1</v>
      </c>
      <c r="G333" s="269">
        <f>PRODUCT(C333:F333)</f>
        <v>14.123999999999999</v>
      </c>
      <c r="H333" s="270"/>
      <c r="I333" s="271"/>
    </row>
    <row r="334" spans="2:9" x14ac:dyDescent="0.25">
      <c r="B334" s="314" t="s">
        <v>70</v>
      </c>
      <c r="C334" s="234"/>
      <c r="D334" s="234"/>
      <c r="E334" s="234"/>
      <c r="F334" s="234"/>
      <c r="G334" s="234"/>
      <c r="H334" s="310">
        <f>SUM(G335:G335)*E327*I325/F318</f>
        <v>1.5085714285714286E-2</v>
      </c>
      <c r="I334" s="311"/>
    </row>
    <row r="335" spans="2:9" x14ac:dyDescent="0.25">
      <c r="B335" s="212" t="str">
        <f>+B333</f>
        <v>Angular 4", e=1/4"</v>
      </c>
      <c r="C335" s="244">
        <v>1</v>
      </c>
      <c r="D335" s="244">
        <v>2</v>
      </c>
      <c r="E335" s="278">
        <f>+H318</f>
        <v>70.61999999999999</v>
      </c>
      <c r="F335" s="279">
        <f>F333</f>
        <v>0.1</v>
      </c>
      <c r="G335" s="269">
        <f>PRODUCT(C335:F335)</f>
        <v>14.123999999999999</v>
      </c>
      <c r="H335" s="277"/>
      <c r="I335" s="271"/>
    </row>
    <row r="336" spans="2:9" x14ac:dyDescent="0.25">
      <c r="B336" s="314" t="s">
        <v>71</v>
      </c>
      <c r="C336" s="573" t="s">
        <v>72</v>
      </c>
      <c r="D336" s="574"/>
      <c r="E336" s="574"/>
      <c r="F336" s="575"/>
      <c r="G336" s="315" t="str">
        <f>+H328</f>
        <v>Pistola</v>
      </c>
      <c r="H336" s="310">
        <f>SUM(H332:H335)*I328</f>
        <v>6.7047619047619043E-3</v>
      </c>
      <c r="I336" s="311"/>
    </row>
    <row r="337" spans="2:9" ht="15.75" thickBot="1" x14ac:dyDescent="0.3">
      <c r="B337" s="281"/>
      <c r="C337" s="282"/>
      <c r="D337" s="282"/>
      <c r="E337" s="283"/>
      <c r="F337" s="282"/>
      <c r="G337" s="282"/>
      <c r="H337" s="282"/>
      <c r="I337" s="284"/>
    </row>
    <row r="338" spans="2:9" ht="15.75" thickBot="1" x14ac:dyDescent="0.3">
      <c r="B338" s="576" t="s">
        <v>73</v>
      </c>
      <c r="C338" s="577"/>
      <c r="D338" s="577"/>
      <c r="E338" s="577"/>
      <c r="F338" s="577"/>
      <c r="G338" s="577"/>
      <c r="H338" s="577"/>
      <c r="I338" s="578"/>
    </row>
    <row r="339" spans="2:9" ht="15.75" thickBot="1" x14ac:dyDescent="0.3"/>
    <row r="340" spans="2:9" x14ac:dyDescent="0.25">
      <c r="B340" s="607" t="s">
        <v>49</v>
      </c>
      <c r="C340" s="609" t="s">
        <v>7</v>
      </c>
      <c r="D340" s="549" t="s">
        <v>74</v>
      </c>
      <c r="E340" s="550"/>
    </row>
    <row r="341" spans="2:9" ht="15.75" thickBot="1" x14ac:dyDescent="0.3">
      <c r="B341" s="608"/>
      <c r="C341" s="610"/>
      <c r="D341" s="551" t="s">
        <v>7</v>
      </c>
      <c r="E341" s="552"/>
    </row>
    <row r="342" spans="2:9" x14ac:dyDescent="0.25">
      <c r="B342" s="553" t="str">
        <f>+B308</f>
        <v>Arandela  Ø=3/4"</v>
      </c>
      <c r="C342" s="554"/>
      <c r="D342" s="555"/>
      <c r="E342" s="556"/>
      <c r="F342" s="189"/>
      <c r="G342" s="189"/>
      <c r="H342" s="189"/>
      <c r="I342" s="189"/>
    </row>
    <row r="343" spans="2:9" x14ac:dyDescent="0.25">
      <c r="B343" s="557" t="str">
        <f>+B318</f>
        <v>Angular 4", e=1/4"</v>
      </c>
      <c r="C343" s="244" t="s">
        <v>21</v>
      </c>
      <c r="D343" s="558">
        <f>+H318</f>
        <v>70.61999999999999</v>
      </c>
      <c r="E343" s="559"/>
    </row>
    <row r="344" spans="2:9" x14ac:dyDescent="0.25">
      <c r="B344" s="560" t="str">
        <f>+B321</f>
        <v>ELECTRODOS E6011</v>
      </c>
      <c r="C344" s="561" t="str">
        <f>+H320</f>
        <v>kg</v>
      </c>
      <c r="D344" s="562">
        <f>+H321</f>
        <v>2.1111481975967961E-2</v>
      </c>
      <c r="E344" s="559"/>
    </row>
    <row r="345" spans="2:9" x14ac:dyDescent="0.25">
      <c r="B345" s="560" t="str">
        <f>+B332</f>
        <v>ESMALTE SINTÉTICO</v>
      </c>
      <c r="C345" s="561" t="str">
        <f>+H331</f>
        <v>gln</v>
      </c>
      <c r="D345" s="562">
        <f>+H332</f>
        <v>1.1733333333333333E-2</v>
      </c>
      <c r="E345" s="559"/>
    </row>
    <row r="346" spans="2:9" x14ac:dyDescent="0.25">
      <c r="B346" s="560" t="str">
        <f>+B334</f>
        <v>BASE ANTICORROSIVA</v>
      </c>
      <c r="C346" s="561" t="str">
        <f>+C345</f>
        <v>gln</v>
      </c>
      <c r="D346" s="562">
        <f>+H334</f>
        <v>1.5085714285714286E-2</v>
      </c>
      <c r="E346" s="559"/>
    </row>
    <row r="347" spans="2:9" ht="15.75" thickBot="1" x14ac:dyDescent="0.3">
      <c r="B347" s="281" t="str">
        <f>+B336</f>
        <v>DILUYENTE ESTÁNDAR (THINNER)</v>
      </c>
      <c r="C347" s="252" t="str">
        <f>+C346</f>
        <v>gln</v>
      </c>
      <c r="D347" s="308">
        <f>+H336</f>
        <v>6.7047619047619043E-3</v>
      </c>
      <c r="E347" s="559"/>
    </row>
  </sheetData>
  <mergeCells count="80">
    <mergeCell ref="B323:I323"/>
    <mergeCell ref="H327:I327"/>
    <mergeCell ref="C336:F336"/>
    <mergeCell ref="B338:I338"/>
    <mergeCell ref="B340:B341"/>
    <mergeCell ref="C340:C341"/>
    <mergeCell ref="B307:I307"/>
    <mergeCell ref="B308:I308"/>
    <mergeCell ref="D310:F310"/>
    <mergeCell ref="B314:I314"/>
    <mergeCell ref="H315:I315"/>
    <mergeCell ref="C210:C211"/>
    <mergeCell ref="B192:I192"/>
    <mergeCell ref="B250:I250"/>
    <mergeCell ref="B252:B253"/>
    <mergeCell ref="C252:C253"/>
    <mergeCell ref="B227:I227"/>
    <mergeCell ref="H228:I228"/>
    <mergeCell ref="B236:I236"/>
    <mergeCell ref="H240:I240"/>
    <mergeCell ref="C248:F248"/>
    <mergeCell ref="H196:I196"/>
    <mergeCell ref="H123:I123"/>
    <mergeCell ref="B138:I138"/>
    <mergeCell ref="B220:I220"/>
    <mergeCell ref="B221:I221"/>
    <mergeCell ref="D223:F223"/>
    <mergeCell ref="B163:I163"/>
    <mergeCell ref="B165:B166"/>
    <mergeCell ref="C165:C166"/>
    <mergeCell ref="B176:I176"/>
    <mergeCell ref="B177:I177"/>
    <mergeCell ref="D179:F179"/>
    <mergeCell ref="B183:I183"/>
    <mergeCell ref="H184:I184"/>
    <mergeCell ref="C206:F206"/>
    <mergeCell ref="B208:I208"/>
    <mergeCell ref="B210:B211"/>
    <mergeCell ref="C105:C106"/>
    <mergeCell ref="B116:I116"/>
    <mergeCell ref="D118:F118"/>
    <mergeCell ref="B122:I122"/>
    <mergeCell ref="B115:I115"/>
    <mergeCell ref="K2:M2"/>
    <mergeCell ref="K20:L20"/>
    <mergeCell ref="H28:I28"/>
    <mergeCell ref="B2:I2"/>
    <mergeCell ref="B47:I47"/>
    <mergeCell ref="B3:I3"/>
    <mergeCell ref="B4:I4"/>
    <mergeCell ref="D6:F6"/>
    <mergeCell ref="H11:I11"/>
    <mergeCell ref="B24:I24"/>
    <mergeCell ref="B10:I10"/>
    <mergeCell ref="C45:F45"/>
    <mergeCell ref="B49:B50"/>
    <mergeCell ref="C49:C50"/>
    <mergeCell ref="B278:I278"/>
    <mergeCell ref="H282:I282"/>
    <mergeCell ref="H142:I142"/>
    <mergeCell ref="C161:F161"/>
    <mergeCell ref="B59:I59"/>
    <mergeCell ref="B60:I60"/>
    <mergeCell ref="D62:F62"/>
    <mergeCell ref="B66:I66"/>
    <mergeCell ref="H67:I67"/>
    <mergeCell ref="B80:I80"/>
    <mergeCell ref="H84:I84"/>
    <mergeCell ref="C101:F101"/>
    <mergeCell ref="B103:I103"/>
    <mergeCell ref="B105:B106"/>
    <mergeCell ref="C293:F293"/>
    <mergeCell ref="B295:I295"/>
    <mergeCell ref="B297:B298"/>
    <mergeCell ref="C297:C298"/>
    <mergeCell ref="B261:I261"/>
    <mergeCell ref="B262:I262"/>
    <mergeCell ref="D264:F264"/>
    <mergeCell ref="B268:I268"/>
    <mergeCell ref="H269:I269"/>
  </mergeCells>
  <dataValidations disablePrompts="1" count="4">
    <dataValidation type="list" allowBlank="1" showInputMessage="1" showErrorMessage="1" sqref="H29 H197 H143 H283 H85 H241 H328" xr:uid="{00000000-0002-0000-0000-000000000000}">
      <formula1>$K$24:$K$24</formula1>
    </dataValidation>
    <dataValidation type="list" allowBlank="1" showInputMessage="1" showErrorMessage="1" sqref="C28 C196 C282 C142 C84 C240 C327" xr:uid="{00000000-0002-0000-0000-000001000000}">
      <formula1>$O$27:$O$29</formula1>
    </dataValidation>
    <dataValidation type="list" allowBlank="1" showInputMessage="1" showErrorMessage="1" sqref="C27 C195 C281 C141 C83 C239 C326" xr:uid="{00000000-0002-0000-0000-000002000000}">
      <formula1>$O$24:$O$25</formula1>
    </dataValidation>
    <dataValidation type="list" allowBlank="1" showInputMessage="1" showErrorMessage="1" sqref="D7 D180 D119 D265 D63 D224 D311" xr:uid="{00000000-0002-0000-0000-000003000000}">
      <formula1>$K$3:$K$6</formula1>
    </dataValidation>
  </dataValidations>
  <pageMargins left="0.70866141732283472" right="0.70866141732283472" top="0.74803149606299213" bottom="0.74803149606299213" header="0.31496062992125984" footer="0.31496062992125984"/>
  <pageSetup paperSize="9" scale="49" orientation="portrait" r:id="rId1"/>
  <rowBreaks count="6" manualBreakCount="6">
    <brk id="58" min="1" max="9" man="1"/>
    <brk id="114" min="1" max="9" man="1"/>
    <brk id="175" min="1" max="9" man="1"/>
    <brk id="219" min="1" max="9" man="1"/>
    <brk id="260" min="1" max="9" man="1"/>
    <brk id="306" min="1" max="9" man="1"/>
  </rowBreaks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etrado"/>
  <dimension ref="A1:X166"/>
  <sheetViews>
    <sheetView tabSelected="1" view="pageBreakPreview" topLeftCell="A95" zoomScale="85" zoomScaleNormal="85" zoomScaleSheetLayoutView="85" workbookViewId="0">
      <selection activeCell="L152" sqref="L152"/>
    </sheetView>
  </sheetViews>
  <sheetFormatPr baseColWidth="10" defaultColWidth="11.42578125" defaultRowHeight="12.6" customHeight="1" x14ac:dyDescent="0.25"/>
  <cols>
    <col min="1" max="1" width="4.5703125" style="142" customWidth="1"/>
    <col min="2" max="2" width="2.28515625" style="55" customWidth="1"/>
    <col min="3" max="3" width="10.140625" style="143" customWidth="1"/>
    <col min="4" max="4" width="42.140625" style="144" customWidth="1"/>
    <col min="5" max="5" width="5.42578125" style="103" customWidth="1"/>
    <col min="6" max="6" width="5.28515625" style="103" customWidth="1"/>
    <col min="7" max="7" width="8.42578125" style="145" customWidth="1"/>
    <col min="8" max="8" width="5.7109375" style="145" customWidth="1"/>
    <col min="9" max="9" width="3.5703125" style="145" customWidth="1"/>
    <col min="10" max="10" width="4.42578125" style="146" customWidth="1"/>
    <col min="11" max="11" width="8" style="147" customWidth="1"/>
    <col min="12" max="12" width="7.7109375" style="147" customWidth="1"/>
    <col min="13" max="13" width="4.7109375" style="145" customWidth="1"/>
    <col min="14" max="14" width="6.7109375" style="145" customWidth="1"/>
    <col min="15" max="15" width="5.140625" style="148" customWidth="1"/>
    <col min="16" max="16" width="8.28515625" style="153" customWidth="1"/>
    <col min="17" max="17" width="8.85546875" style="149" customWidth="1"/>
    <col min="18" max="18" width="9.42578125" style="55" customWidth="1"/>
    <col min="19" max="19" width="5.42578125" style="55" customWidth="1"/>
    <col min="20" max="20" width="30.5703125" style="55" customWidth="1"/>
    <col min="21" max="22" width="5" style="55" customWidth="1"/>
    <col min="23" max="23" width="3.85546875" style="55" bestFit="1" customWidth="1"/>
    <col min="24" max="24" width="5" style="55" customWidth="1"/>
    <col min="25" max="16384" width="11.42578125" style="55"/>
  </cols>
  <sheetData>
    <row r="1" spans="1:24" s="53" customFormat="1" ht="12.75" hidden="1" x14ac:dyDescent="0.2">
      <c r="A1" s="42"/>
      <c r="B1" s="43"/>
      <c r="C1" s="44"/>
      <c r="D1" s="45"/>
      <c r="E1" s="46"/>
      <c r="F1" s="46"/>
      <c r="G1" s="47"/>
      <c r="H1" s="47"/>
      <c r="I1" s="47"/>
      <c r="J1" s="48"/>
      <c r="K1" s="49" t="s">
        <v>105</v>
      </c>
      <c r="L1" s="49"/>
      <c r="M1" s="47"/>
      <c r="N1" s="47"/>
      <c r="O1" s="50"/>
      <c r="P1" s="44"/>
      <c r="Q1" s="44"/>
      <c r="R1" s="42"/>
      <c r="S1" s="42"/>
      <c r="T1" s="51"/>
      <c r="U1" s="52"/>
      <c r="V1" s="52"/>
      <c r="W1" s="52"/>
      <c r="X1" s="53">
        <f>SUM(W1:W1)</f>
        <v>0</v>
      </c>
    </row>
    <row r="2" spans="1:24" s="53" customFormat="1" ht="13.5" thickBot="1" x14ac:dyDescent="0.3">
      <c r="A2" s="42"/>
      <c r="C2" s="44"/>
      <c r="D2" s="45"/>
      <c r="E2" s="46"/>
      <c r="F2" s="46"/>
      <c r="G2" s="47"/>
      <c r="H2" s="47"/>
      <c r="I2" s="47"/>
      <c r="J2" s="48"/>
      <c r="K2" s="49"/>
      <c r="L2" s="49"/>
      <c r="M2" s="47"/>
      <c r="N2" s="47"/>
      <c r="O2" s="50"/>
      <c r="P2" s="44"/>
      <c r="Q2" s="44"/>
      <c r="R2" s="42"/>
      <c r="S2" s="42"/>
      <c r="T2" s="51"/>
      <c r="U2" s="52"/>
      <c r="V2" s="52"/>
      <c r="W2" s="52"/>
    </row>
    <row r="3" spans="1:24" ht="15.75" thickBot="1" x14ac:dyDescent="0.3">
      <c r="A3" s="54"/>
      <c r="C3" s="611" t="s">
        <v>36</v>
      </c>
      <c r="D3" s="612"/>
      <c r="E3" s="612"/>
      <c r="F3" s="612"/>
      <c r="G3" s="612"/>
      <c r="H3" s="612"/>
      <c r="I3" s="612"/>
      <c r="J3" s="612"/>
      <c r="K3" s="612"/>
      <c r="L3" s="612"/>
      <c r="M3" s="612"/>
      <c r="N3" s="612"/>
      <c r="O3" s="612"/>
      <c r="P3" s="612"/>
      <c r="Q3" s="613"/>
      <c r="R3" s="54"/>
      <c r="S3" s="54"/>
      <c r="T3" s="51"/>
      <c r="U3" s="56"/>
      <c r="V3" s="56"/>
      <c r="W3" s="52"/>
    </row>
    <row r="4" spans="1:24" ht="13.5" thickBot="1" x14ac:dyDescent="0.3">
      <c r="A4" s="54"/>
      <c r="C4" s="57"/>
      <c r="D4" s="58"/>
      <c r="E4" s="59"/>
      <c r="F4" s="59"/>
      <c r="G4" s="60"/>
      <c r="H4" s="60"/>
      <c r="I4" s="60"/>
      <c r="J4" s="61"/>
      <c r="K4" s="62"/>
      <c r="L4" s="62"/>
      <c r="M4" s="60"/>
      <c r="N4" s="60"/>
      <c r="O4" s="61"/>
      <c r="P4" s="61"/>
      <c r="Q4" s="63"/>
      <c r="R4" s="54"/>
      <c r="S4" s="54"/>
      <c r="T4" s="51"/>
      <c r="U4" s="56"/>
      <c r="V4" s="56"/>
      <c r="W4" s="56"/>
    </row>
    <row r="5" spans="1:24" ht="12.75" x14ac:dyDescent="0.25">
      <c r="A5" s="54"/>
      <c r="C5" s="64"/>
      <c r="D5" s="65"/>
      <c r="E5" s="66"/>
      <c r="F5" s="66"/>
      <c r="G5" s="67"/>
      <c r="H5" s="67"/>
      <c r="I5" s="67"/>
      <c r="J5" s="68"/>
      <c r="K5" s="69"/>
      <c r="L5" s="69"/>
      <c r="M5" s="67"/>
      <c r="N5" s="67"/>
      <c r="O5" s="70"/>
      <c r="P5" s="151"/>
      <c r="Q5" s="71"/>
      <c r="R5" s="54"/>
      <c r="S5" s="54"/>
      <c r="T5" s="51"/>
      <c r="U5" s="56"/>
      <c r="V5" s="56"/>
      <c r="W5" s="56"/>
    </row>
    <row r="6" spans="1:24" ht="12.75" x14ac:dyDescent="0.25">
      <c r="A6" s="54"/>
      <c r="C6" s="72" t="s">
        <v>155</v>
      </c>
      <c r="D6" s="614" t="s">
        <v>251</v>
      </c>
      <c r="E6" s="614"/>
      <c r="F6" s="614"/>
      <c r="G6" s="614"/>
      <c r="H6" s="614"/>
      <c r="I6" s="614"/>
      <c r="J6" s="614"/>
      <c r="K6" s="614"/>
      <c r="L6" s="614"/>
      <c r="M6" s="614"/>
      <c r="N6" s="614"/>
      <c r="O6" s="614"/>
      <c r="P6" s="614"/>
      <c r="Q6" s="615"/>
      <c r="R6" s="54"/>
      <c r="S6" s="54"/>
      <c r="T6" s="51"/>
      <c r="U6" s="56"/>
      <c r="V6" s="56"/>
      <c r="W6" s="56"/>
    </row>
    <row r="7" spans="1:24" ht="12.75" x14ac:dyDescent="0.25">
      <c r="A7" s="54"/>
      <c r="C7" s="72"/>
      <c r="D7" s="614"/>
      <c r="E7" s="614"/>
      <c r="F7" s="614"/>
      <c r="G7" s="614"/>
      <c r="H7" s="614"/>
      <c r="I7" s="614"/>
      <c r="J7" s="614"/>
      <c r="K7" s="614"/>
      <c r="L7" s="614"/>
      <c r="M7" s="614"/>
      <c r="N7" s="614"/>
      <c r="O7" s="614"/>
      <c r="P7" s="614"/>
      <c r="Q7" s="615"/>
      <c r="R7" s="54"/>
      <c r="S7" s="54"/>
    </row>
    <row r="8" spans="1:24" ht="12.75" x14ac:dyDescent="0.25">
      <c r="A8" s="54"/>
      <c r="C8" s="72" t="s">
        <v>0</v>
      </c>
      <c r="D8" s="73" t="s">
        <v>1</v>
      </c>
      <c r="E8" s="59"/>
      <c r="F8" s="59"/>
      <c r="G8" s="74"/>
      <c r="H8" s="74"/>
      <c r="I8" s="75"/>
      <c r="J8" s="46"/>
      <c r="K8" s="76"/>
      <c r="L8" s="74" t="s">
        <v>2</v>
      </c>
      <c r="M8" s="77"/>
      <c r="N8" s="75"/>
      <c r="O8" s="78" t="s">
        <v>92</v>
      </c>
      <c r="P8" s="78"/>
      <c r="Q8" s="79"/>
      <c r="R8" s="54"/>
      <c r="S8" s="54"/>
    </row>
    <row r="9" spans="1:24" ht="12.75" x14ac:dyDescent="0.25">
      <c r="A9" s="54"/>
      <c r="C9" s="72" t="s">
        <v>87</v>
      </c>
      <c r="D9" s="80">
        <v>44650</v>
      </c>
      <c r="E9" s="81"/>
      <c r="F9" s="81"/>
      <c r="G9" s="74"/>
      <c r="H9" s="74"/>
      <c r="I9" s="82"/>
      <c r="J9" s="83"/>
      <c r="K9" s="82"/>
      <c r="L9" s="74" t="s">
        <v>3</v>
      </c>
      <c r="M9" s="77"/>
      <c r="N9" s="77"/>
      <c r="O9" s="78"/>
      <c r="P9" s="78"/>
      <c r="Q9" s="79"/>
      <c r="R9" s="54"/>
      <c r="S9" s="54"/>
    </row>
    <row r="10" spans="1:24" ht="12.75" x14ac:dyDescent="0.25">
      <c r="A10" s="54"/>
      <c r="C10" s="72" t="s">
        <v>4</v>
      </c>
      <c r="D10" s="77" t="s">
        <v>156</v>
      </c>
      <c r="E10" s="59"/>
      <c r="F10" s="59"/>
      <c r="G10" s="76"/>
      <c r="H10" s="76"/>
      <c r="I10" s="76"/>
      <c r="J10" s="46"/>
      <c r="K10" s="76"/>
      <c r="L10" s="77"/>
      <c r="M10" s="77"/>
      <c r="N10" s="77"/>
      <c r="O10" s="78"/>
      <c r="P10" s="78"/>
      <c r="Q10" s="79"/>
      <c r="R10" s="54"/>
      <c r="S10" s="54"/>
    </row>
    <row r="11" spans="1:24" ht="12.75" x14ac:dyDescent="0.25">
      <c r="A11" s="54"/>
      <c r="C11" s="72" t="s">
        <v>88</v>
      </c>
      <c r="D11" s="73" t="s">
        <v>297</v>
      </c>
      <c r="E11" s="59"/>
      <c r="F11" s="59"/>
      <c r="G11" s="76"/>
      <c r="H11" s="76"/>
      <c r="I11" s="76"/>
      <c r="J11" s="46"/>
      <c r="K11" s="76"/>
      <c r="L11" s="77"/>
      <c r="M11" s="77"/>
      <c r="N11" s="84"/>
      <c r="O11" s="85"/>
      <c r="P11" s="83"/>
      <c r="Q11" s="79"/>
      <c r="R11" s="54"/>
      <c r="S11" s="54"/>
    </row>
    <row r="12" spans="1:24" ht="13.5" thickBot="1" x14ac:dyDescent="0.3">
      <c r="A12" s="54"/>
      <c r="C12" s="86"/>
      <c r="D12" s="87"/>
      <c r="E12" s="88"/>
      <c r="F12" s="88"/>
      <c r="G12" s="89"/>
      <c r="H12" s="90"/>
      <c r="I12" s="91"/>
      <c r="J12" s="92"/>
      <c r="K12" s="93"/>
      <c r="L12" s="93"/>
      <c r="M12" s="91"/>
      <c r="N12" s="91"/>
      <c r="O12" s="94"/>
      <c r="P12" s="152"/>
      <c r="Q12" s="95"/>
      <c r="R12" s="54"/>
      <c r="S12" s="54"/>
    </row>
    <row r="13" spans="1:24" ht="13.5" thickBot="1" x14ac:dyDescent="0.3">
      <c r="A13" s="54"/>
      <c r="C13" s="96"/>
      <c r="D13" s="73"/>
      <c r="E13" s="59"/>
      <c r="F13" s="59"/>
      <c r="G13" s="74"/>
      <c r="H13" s="74"/>
      <c r="I13" s="74"/>
      <c r="J13" s="97"/>
      <c r="K13" s="98"/>
      <c r="L13" s="98"/>
      <c r="M13" s="74"/>
      <c r="N13" s="74"/>
      <c r="O13" s="85"/>
      <c r="P13" s="83"/>
      <c r="Q13" s="82"/>
      <c r="R13" s="54"/>
      <c r="S13" s="54"/>
      <c r="T13" s="99" t="s">
        <v>89</v>
      </c>
      <c r="U13" s="99">
        <v>1</v>
      </c>
    </row>
    <row r="14" spans="1:24" ht="20.45" customHeight="1" x14ac:dyDescent="0.25">
      <c r="A14" s="54"/>
      <c r="C14" s="616" t="s">
        <v>5</v>
      </c>
      <c r="D14" s="618" t="s">
        <v>6</v>
      </c>
      <c r="E14" s="620" t="s">
        <v>7</v>
      </c>
      <c r="F14" s="622" t="s">
        <v>8</v>
      </c>
      <c r="G14" s="624" t="s">
        <v>9</v>
      </c>
      <c r="H14" s="624"/>
      <c r="I14" s="624"/>
      <c r="J14" s="622" t="s">
        <v>10</v>
      </c>
      <c r="K14" s="618" t="s">
        <v>11</v>
      </c>
      <c r="L14" s="618"/>
      <c r="M14" s="618"/>
      <c r="N14" s="618"/>
      <c r="O14" s="625"/>
      <c r="P14" s="628" t="s">
        <v>35</v>
      </c>
      <c r="Q14" s="626" t="s">
        <v>12</v>
      </c>
      <c r="R14" s="54"/>
      <c r="S14" s="54"/>
      <c r="T14" s="99" t="s">
        <v>41</v>
      </c>
      <c r="U14" s="99">
        <v>1.05</v>
      </c>
    </row>
    <row r="15" spans="1:24" ht="30.6" customHeight="1" thickBot="1" x14ac:dyDescent="0.3">
      <c r="A15" s="54"/>
      <c r="C15" s="617"/>
      <c r="D15" s="619"/>
      <c r="E15" s="621"/>
      <c r="F15" s="623"/>
      <c r="G15" s="100" t="s">
        <v>13</v>
      </c>
      <c r="H15" s="100" t="s">
        <v>14</v>
      </c>
      <c r="I15" s="312" t="s">
        <v>94</v>
      </c>
      <c r="J15" s="623"/>
      <c r="K15" s="100" t="s">
        <v>15</v>
      </c>
      <c r="L15" s="312" t="s">
        <v>150</v>
      </c>
      <c r="M15" s="100" t="s">
        <v>34</v>
      </c>
      <c r="N15" s="100" t="s">
        <v>16</v>
      </c>
      <c r="O15" s="101" t="s">
        <v>17</v>
      </c>
      <c r="P15" s="629"/>
      <c r="Q15" s="627"/>
      <c r="R15" s="54"/>
      <c r="S15" s="54"/>
      <c r="T15" s="99" t="s">
        <v>76</v>
      </c>
      <c r="U15" s="99">
        <v>0.1</v>
      </c>
    </row>
    <row r="16" spans="1:24" ht="14.45" customHeight="1" x14ac:dyDescent="0.25">
      <c r="A16" s="54"/>
      <c r="C16" s="424"/>
      <c r="D16" s="425"/>
      <c r="E16" s="417"/>
      <c r="F16" s="418"/>
      <c r="G16" s="419"/>
      <c r="H16" s="419"/>
      <c r="I16" s="420"/>
      <c r="J16" s="418"/>
      <c r="K16" s="419"/>
      <c r="L16" s="419"/>
      <c r="M16" s="419"/>
      <c r="N16" s="419"/>
      <c r="O16" s="421"/>
      <c r="P16" s="422"/>
      <c r="Q16" s="423"/>
      <c r="R16" s="54"/>
      <c r="S16" s="54"/>
      <c r="T16" s="113"/>
      <c r="U16" s="113"/>
    </row>
    <row r="17" spans="1:20" s="111" customFormat="1" ht="12.75" customHeight="1" x14ac:dyDescent="0.25">
      <c r="A17" s="104"/>
      <c r="B17" s="105"/>
      <c r="C17" s="393" t="s">
        <v>107</v>
      </c>
      <c r="D17" s="366" t="s">
        <v>125</v>
      </c>
      <c r="E17" s="106"/>
      <c r="F17" s="107"/>
      <c r="G17" s="108"/>
      <c r="H17" s="108"/>
      <c r="I17" s="108"/>
      <c r="J17" s="109"/>
      <c r="K17" s="110"/>
      <c r="L17" s="110"/>
      <c r="M17" s="110"/>
      <c r="N17" s="110"/>
      <c r="O17" s="110"/>
      <c r="P17" s="110"/>
      <c r="Q17" s="110"/>
    </row>
    <row r="18" spans="1:20" s="111" customFormat="1" ht="12.75" customHeight="1" x14ac:dyDescent="0.25">
      <c r="A18" s="104"/>
      <c r="B18" s="105"/>
      <c r="C18" s="394" t="s">
        <v>108</v>
      </c>
      <c r="D18" s="383" t="s">
        <v>99</v>
      </c>
      <c r="E18" s="106"/>
      <c r="F18" s="368"/>
      <c r="G18" s="369"/>
      <c r="H18" s="369"/>
      <c r="I18" s="369"/>
      <c r="J18" s="370"/>
      <c r="K18" s="371"/>
      <c r="L18" s="371"/>
      <c r="M18" s="371"/>
      <c r="N18" s="371"/>
      <c r="O18" s="371"/>
      <c r="P18" s="371"/>
      <c r="Q18" s="371"/>
    </row>
    <row r="19" spans="1:20" s="111" customFormat="1" ht="12.75" customHeight="1" x14ac:dyDescent="0.25">
      <c r="A19" s="104"/>
      <c r="B19" s="105"/>
      <c r="C19" s="395" t="s">
        <v>109</v>
      </c>
      <c r="D19" s="384" t="s">
        <v>100</v>
      </c>
      <c r="E19" s="156" t="s">
        <v>18</v>
      </c>
      <c r="F19" s="322">
        <v>1</v>
      </c>
      <c r="G19" s="323">
        <v>24.7</v>
      </c>
      <c r="H19" s="323">
        <v>22</v>
      </c>
      <c r="I19" s="323"/>
      <c r="J19" s="320">
        <v>1</v>
      </c>
      <c r="K19" s="319"/>
      <c r="L19" s="318">
        <f>+PRODUCT(F19:J19)</f>
        <v>543.4</v>
      </c>
      <c r="M19" s="319"/>
      <c r="N19" s="319"/>
      <c r="O19" s="319"/>
      <c r="P19" s="319"/>
      <c r="Q19" s="321">
        <f>PRODUCT(F19:J19)</f>
        <v>543.4</v>
      </c>
    </row>
    <row r="20" spans="1:20" s="111" customFormat="1" ht="12.75" customHeight="1" x14ac:dyDescent="0.25">
      <c r="A20" s="104"/>
      <c r="B20" s="105"/>
      <c r="C20" s="394" t="s">
        <v>110</v>
      </c>
      <c r="D20" s="383" t="s">
        <v>141</v>
      </c>
      <c r="E20" s="156"/>
      <c r="F20" s="322"/>
      <c r="G20" s="323"/>
      <c r="H20" s="323"/>
      <c r="I20" s="323"/>
      <c r="J20" s="320"/>
      <c r="K20" s="319"/>
      <c r="L20" s="318"/>
      <c r="M20" s="319"/>
      <c r="N20" s="319"/>
      <c r="O20" s="319"/>
      <c r="P20" s="319"/>
      <c r="Q20" s="321"/>
    </row>
    <row r="21" spans="1:20" s="111" customFormat="1" ht="12.75" x14ac:dyDescent="0.25">
      <c r="A21" s="104"/>
      <c r="B21" s="105"/>
      <c r="C21" s="395" t="s">
        <v>111</v>
      </c>
      <c r="D21" s="390" t="s">
        <v>142</v>
      </c>
      <c r="E21" s="115"/>
      <c r="F21" s="567"/>
      <c r="G21" s="568"/>
      <c r="H21" s="568"/>
      <c r="I21" s="568"/>
      <c r="J21" s="569"/>
      <c r="K21" s="570"/>
      <c r="L21" s="122"/>
      <c r="M21" s="570"/>
      <c r="N21" s="570"/>
      <c r="O21" s="570"/>
      <c r="P21" s="570"/>
      <c r="Q21" s="116"/>
    </row>
    <row r="22" spans="1:20" s="111" customFormat="1" ht="12.75" x14ac:dyDescent="0.25">
      <c r="A22" s="104"/>
      <c r="B22" s="105"/>
      <c r="C22" s="395"/>
      <c r="D22" s="385" t="s">
        <v>143</v>
      </c>
      <c r="E22" s="115" t="s">
        <v>144</v>
      </c>
      <c r="F22" s="571">
        <v>8</v>
      </c>
      <c r="G22" s="568">
        <v>1.2</v>
      </c>
      <c r="H22" s="568">
        <v>1.2</v>
      </c>
      <c r="I22" s="568">
        <v>0.5</v>
      </c>
      <c r="J22" s="572">
        <v>1</v>
      </c>
      <c r="K22" s="570"/>
      <c r="L22" s="653">
        <f>+PRODUCT(F22:J22)</f>
        <v>5.76</v>
      </c>
      <c r="M22" s="570"/>
      <c r="N22" s="570"/>
      <c r="O22" s="570"/>
      <c r="P22" s="570"/>
      <c r="Q22" s="116">
        <f>+L22</f>
        <v>5.76</v>
      </c>
      <c r="T22" s="651"/>
    </row>
    <row r="23" spans="1:20" s="111" customFormat="1" ht="12.75" x14ac:dyDescent="0.25">
      <c r="A23" s="104"/>
      <c r="B23" s="105"/>
      <c r="C23" s="395"/>
      <c r="D23" s="385" t="s">
        <v>145</v>
      </c>
      <c r="E23" s="115" t="s">
        <v>19</v>
      </c>
      <c r="F23" s="571">
        <v>8</v>
      </c>
      <c r="G23" s="568">
        <v>1.7</v>
      </c>
      <c r="H23" s="568"/>
      <c r="I23" s="568">
        <v>1.55</v>
      </c>
      <c r="J23" s="572">
        <v>7</v>
      </c>
      <c r="K23" s="570"/>
      <c r="L23" s="122"/>
      <c r="M23" s="570"/>
      <c r="N23" s="568">
        <f>+PRODUCT(F23:J23)</f>
        <v>147.56</v>
      </c>
      <c r="O23" s="570"/>
      <c r="P23" s="570"/>
      <c r="Q23" s="116">
        <f>+SUM(N23:N24)</f>
        <v>295.12</v>
      </c>
    </row>
    <row r="24" spans="1:20" s="111" customFormat="1" ht="12.75" x14ac:dyDescent="0.25">
      <c r="A24" s="104"/>
      <c r="B24" s="105"/>
      <c r="C24" s="395"/>
      <c r="D24" s="385"/>
      <c r="E24" s="115"/>
      <c r="F24" s="571">
        <v>8</v>
      </c>
      <c r="G24" s="568">
        <v>1.7</v>
      </c>
      <c r="H24" s="568"/>
      <c r="I24" s="568">
        <v>1.55</v>
      </c>
      <c r="J24" s="572">
        <v>7</v>
      </c>
      <c r="K24" s="570"/>
      <c r="L24" s="122"/>
      <c r="M24" s="570"/>
      <c r="N24" s="568">
        <f>+PRODUCT(F24:J24)</f>
        <v>147.56</v>
      </c>
      <c r="O24" s="570"/>
      <c r="P24" s="570"/>
      <c r="Q24" s="116"/>
      <c r="R24" s="652"/>
    </row>
    <row r="25" spans="1:20" s="111" customFormat="1" ht="12.75" x14ac:dyDescent="0.25">
      <c r="A25" s="104"/>
      <c r="B25" s="105"/>
      <c r="C25" s="395" t="s">
        <v>112</v>
      </c>
      <c r="D25" s="390" t="s">
        <v>146</v>
      </c>
      <c r="E25" s="115"/>
      <c r="F25" s="571"/>
      <c r="G25" s="568"/>
      <c r="H25" s="568"/>
      <c r="I25" s="568"/>
      <c r="J25" s="572"/>
      <c r="K25" s="570"/>
      <c r="L25" s="122"/>
      <c r="M25" s="570"/>
      <c r="N25" s="570"/>
      <c r="O25" s="570"/>
      <c r="P25" s="570"/>
      <c r="Q25" s="116"/>
    </row>
    <row r="26" spans="1:20" s="111" customFormat="1" ht="12.75" x14ac:dyDescent="0.25">
      <c r="A26" s="104"/>
      <c r="B26" s="105"/>
      <c r="C26" s="395"/>
      <c r="D26" s="385" t="s">
        <v>147</v>
      </c>
      <c r="E26" s="115" t="s">
        <v>144</v>
      </c>
      <c r="F26" s="571">
        <v>8</v>
      </c>
      <c r="G26" s="568">
        <v>2.7</v>
      </c>
      <c r="H26" s="568">
        <v>0.12565999999999999</v>
      </c>
      <c r="I26" s="568"/>
      <c r="J26" s="572">
        <v>1</v>
      </c>
      <c r="K26" s="570"/>
      <c r="L26" s="122">
        <f>+PRODUCT(F26:J26)</f>
        <v>2.7142560000000002</v>
      </c>
      <c r="M26" s="570"/>
      <c r="N26" s="570"/>
      <c r="O26" s="570"/>
      <c r="P26" s="570"/>
      <c r="Q26" s="116">
        <f>+L26</f>
        <v>2.7142560000000002</v>
      </c>
    </row>
    <row r="27" spans="1:20" s="111" customFormat="1" ht="12.75" x14ac:dyDescent="0.25">
      <c r="A27" s="104"/>
      <c r="B27" s="105"/>
      <c r="C27" s="395"/>
      <c r="D27" s="385" t="s">
        <v>148</v>
      </c>
      <c r="E27" s="115" t="s">
        <v>18</v>
      </c>
      <c r="F27" s="571">
        <v>8</v>
      </c>
      <c r="G27" s="568">
        <v>2.7</v>
      </c>
      <c r="H27" s="568">
        <v>1.2565999999999999</v>
      </c>
      <c r="I27" s="568"/>
      <c r="J27" s="572">
        <v>1</v>
      </c>
      <c r="K27" s="570"/>
      <c r="L27" s="122">
        <f>+PRODUCT(F27:J27)</f>
        <v>27.14256</v>
      </c>
      <c r="M27" s="570"/>
      <c r="N27" s="570"/>
      <c r="O27" s="570"/>
      <c r="P27" s="570"/>
      <c r="Q27" s="116">
        <f>+L27</f>
        <v>27.14256</v>
      </c>
    </row>
    <row r="28" spans="1:20" s="111" customFormat="1" ht="12.75" x14ac:dyDescent="0.25">
      <c r="A28" s="104"/>
      <c r="B28" s="105"/>
      <c r="C28" s="395"/>
      <c r="D28" s="385" t="s">
        <v>149</v>
      </c>
      <c r="E28" s="115" t="s">
        <v>19</v>
      </c>
      <c r="F28" s="571">
        <v>8</v>
      </c>
      <c r="G28" s="568">
        <v>3.55</v>
      </c>
      <c r="H28" s="568">
        <v>2.2400000000000002</v>
      </c>
      <c r="I28" s="568"/>
      <c r="J28" s="572">
        <v>6</v>
      </c>
      <c r="K28" s="570"/>
      <c r="L28" s="122"/>
      <c r="M28" s="570"/>
      <c r="N28" s="568">
        <f>+PRODUCT(F28:J28)</f>
        <v>381.69600000000003</v>
      </c>
      <c r="O28" s="570"/>
      <c r="P28" s="570"/>
      <c r="Q28" s="116">
        <f>+SUM(N28:N29)</f>
        <v>473.08800000000002</v>
      </c>
    </row>
    <row r="29" spans="1:20" s="111" customFormat="1" ht="12.75" x14ac:dyDescent="0.25">
      <c r="A29" s="104"/>
      <c r="B29" s="105"/>
      <c r="C29" s="395"/>
      <c r="D29" s="385"/>
      <c r="E29" s="115"/>
      <c r="F29" s="571">
        <v>8</v>
      </c>
      <c r="G29" s="568">
        <v>1.2</v>
      </c>
      <c r="H29" s="568">
        <v>0.56000000000000005</v>
      </c>
      <c r="I29" s="568"/>
      <c r="J29" s="572">
        <v>17</v>
      </c>
      <c r="K29" s="570"/>
      <c r="L29" s="122"/>
      <c r="M29" s="570"/>
      <c r="N29" s="568">
        <f>+PRODUCT(F29:J29)</f>
        <v>91.39200000000001</v>
      </c>
      <c r="O29" s="570"/>
      <c r="P29" s="570"/>
      <c r="Q29" s="116"/>
    </row>
    <row r="30" spans="1:20" s="111" customFormat="1" ht="12.75" customHeight="1" x14ac:dyDescent="0.25">
      <c r="A30" s="104"/>
      <c r="B30" s="105"/>
      <c r="C30" s="394" t="s">
        <v>113</v>
      </c>
      <c r="D30" s="383" t="s">
        <v>151</v>
      </c>
      <c r="E30" s="654"/>
      <c r="F30" s="654"/>
      <c r="G30" s="654"/>
      <c r="H30" s="654"/>
      <c r="I30" s="654"/>
      <c r="J30" s="654"/>
      <c r="K30" s="654"/>
      <c r="L30" s="654"/>
      <c r="M30" s="654"/>
      <c r="N30" s="654"/>
      <c r="O30" s="654"/>
      <c r="P30" s="654"/>
      <c r="Q30" s="654"/>
    </row>
    <row r="31" spans="1:20" s="111" customFormat="1" ht="12.75" customHeight="1" x14ac:dyDescent="0.25">
      <c r="A31" s="104"/>
      <c r="B31" s="105"/>
      <c r="C31" s="399" t="s">
        <v>114</v>
      </c>
      <c r="D31" s="448" t="s">
        <v>137</v>
      </c>
      <c r="E31" s="655" t="s">
        <v>19</v>
      </c>
      <c r="F31" s="655">
        <v>1</v>
      </c>
      <c r="G31" s="654"/>
      <c r="H31" s="654"/>
      <c r="I31" s="654"/>
      <c r="J31" s="654"/>
      <c r="K31" s="654"/>
      <c r="L31" s="654"/>
      <c r="M31" s="654"/>
      <c r="N31" s="654">
        <v>40</v>
      </c>
      <c r="O31" s="654"/>
      <c r="P31" s="455">
        <f>N31</f>
        <v>40</v>
      </c>
      <c r="Q31" s="456">
        <f>+P31</f>
        <v>40</v>
      </c>
    </row>
    <row r="32" spans="1:20" s="111" customFormat="1" ht="12.75" customHeight="1" x14ac:dyDescent="0.25">
      <c r="A32" s="104"/>
      <c r="B32" s="105"/>
      <c r="C32" s="399" t="s">
        <v>115</v>
      </c>
      <c r="D32" s="448" t="s">
        <v>257</v>
      </c>
      <c r="E32" s="655" t="s">
        <v>19</v>
      </c>
      <c r="F32" s="655">
        <v>1</v>
      </c>
      <c r="G32" s="656"/>
      <c r="H32" s="656"/>
      <c r="I32" s="656"/>
      <c r="J32" s="657"/>
      <c r="K32" s="658"/>
      <c r="L32" s="658"/>
      <c r="M32" s="656"/>
      <c r="N32" s="659">
        <v>30</v>
      </c>
      <c r="O32" s="660"/>
      <c r="P32" s="455">
        <f>N32</f>
        <v>30</v>
      </c>
      <c r="Q32" s="456">
        <f>+P32</f>
        <v>30</v>
      </c>
    </row>
    <row r="33" spans="1:17" s="111" customFormat="1" ht="12.75" customHeight="1" x14ac:dyDescent="0.25">
      <c r="A33" s="104"/>
      <c r="B33" s="105"/>
      <c r="C33" s="394" t="s">
        <v>116</v>
      </c>
      <c r="D33" s="383" t="s">
        <v>179</v>
      </c>
      <c r="E33" s="654"/>
      <c r="F33" s="654"/>
      <c r="G33" s="654"/>
      <c r="H33" s="654"/>
      <c r="I33" s="654"/>
      <c r="J33" s="654"/>
      <c r="K33" s="654"/>
      <c r="L33" s="654"/>
      <c r="M33" s="654"/>
      <c r="N33" s="654"/>
      <c r="O33" s="654"/>
      <c r="P33" s="654"/>
      <c r="Q33" s="654"/>
    </row>
    <row r="34" spans="1:17" s="111" customFormat="1" ht="12.75" customHeight="1" x14ac:dyDescent="0.25">
      <c r="A34" s="104"/>
      <c r="B34" s="105"/>
      <c r="C34" s="399" t="s">
        <v>117</v>
      </c>
      <c r="D34" s="448" t="s">
        <v>180</v>
      </c>
      <c r="E34" s="655" t="s">
        <v>22</v>
      </c>
      <c r="F34" s="655">
        <v>1</v>
      </c>
      <c r="G34" s="654"/>
      <c r="H34" s="654"/>
      <c r="I34" s="654"/>
      <c r="J34" s="654"/>
      <c r="K34" s="654"/>
      <c r="L34" s="654"/>
      <c r="M34" s="654"/>
      <c r="N34" s="654"/>
      <c r="O34" s="654">
        <v>15</v>
      </c>
      <c r="P34" s="455">
        <v>20</v>
      </c>
      <c r="Q34" s="456">
        <f>+P34</f>
        <v>20</v>
      </c>
    </row>
    <row r="35" spans="1:17" s="111" customFormat="1" ht="12.75" customHeight="1" x14ac:dyDescent="0.25">
      <c r="A35" s="104"/>
      <c r="B35" s="105"/>
      <c r="C35" s="399" t="s">
        <v>134</v>
      </c>
      <c r="D35" s="448" t="s">
        <v>181</v>
      </c>
      <c r="E35" s="655" t="s">
        <v>22</v>
      </c>
      <c r="F35" s="655">
        <v>1</v>
      </c>
      <c r="G35" s="656"/>
      <c r="H35" s="656"/>
      <c r="I35" s="656"/>
      <c r="J35" s="657"/>
      <c r="K35" s="658"/>
      <c r="L35" s="658"/>
      <c r="M35" s="656"/>
      <c r="N35" s="659"/>
      <c r="O35" s="660">
        <v>50</v>
      </c>
      <c r="P35" s="455">
        <v>60</v>
      </c>
      <c r="Q35" s="456">
        <f>+P35</f>
        <v>60</v>
      </c>
    </row>
    <row r="36" spans="1:17" s="111" customFormat="1" ht="12.75" customHeight="1" x14ac:dyDescent="0.25">
      <c r="A36" s="104"/>
      <c r="B36" s="105"/>
      <c r="C36" s="399" t="s">
        <v>259</v>
      </c>
      <c r="D36" s="448" t="s">
        <v>258</v>
      </c>
      <c r="E36" s="661" t="s">
        <v>22</v>
      </c>
      <c r="F36" s="661">
        <v>1</v>
      </c>
      <c r="G36" s="662"/>
      <c r="H36" s="662"/>
      <c r="I36" s="662"/>
      <c r="J36" s="663"/>
      <c r="K36" s="664"/>
      <c r="L36" s="664"/>
      <c r="M36" s="662"/>
      <c r="N36" s="665"/>
      <c r="O36" s="666">
        <v>10</v>
      </c>
      <c r="P36" s="455">
        <f>O36*F36</f>
        <v>10</v>
      </c>
      <c r="Q36" s="456">
        <f>+P36</f>
        <v>10</v>
      </c>
    </row>
    <row r="37" spans="1:17" s="123" customFormat="1" ht="12.75" customHeight="1" x14ac:dyDescent="0.2">
      <c r="A37" s="118"/>
      <c r="B37" s="119"/>
      <c r="C37" s="394" t="s">
        <v>118</v>
      </c>
      <c r="D37" s="383" t="s">
        <v>33</v>
      </c>
      <c r="E37" s="154"/>
      <c r="F37" s="120"/>
      <c r="G37" s="121"/>
      <c r="H37" s="121"/>
      <c r="I37" s="121"/>
      <c r="J37" s="120"/>
      <c r="K37" s="121"/>
      <c r="L37" s="122"/>
      <c r="M37" s="122"/>
      <c r="N37" s="121"/>
      <c r="O37" s="121"/>
      <c r="P37" s="132"/>
      <c r="Q37" s="121"/>
    </row>
    <row r="38" spans="1:17" s="113" customFormat="1" ht="12.6" customHeight="1" x14ac:dyDescent="0.2">
      <c r="A38" s="124"/>
      <c r="B38" s="125"/>
      <c r="C38" s="395" t="s">
        <v>119</v>
      </c>
      <c r="D38" s="386" t="s">
        <v>101</v>
      </c>
      <c r="E38" s="127" t="s">
        <v>22</v>
      </c>
      <c r="F38" s="128">
        <v>8</v>
      </c>
      <c r="G38" s="150"/>
      <c r="H38" s="150"/>
      <c r="I38" s="150"/>
      <c r="J38" s="128">
        <v>1</v>
      </c>
      <c r="K38" s="112"/>
      <c r="L38" s="129"/>
      <c r="M38" s="130"/>
      <c r="N38" s="112"/>
      <c r="O38" s="112"/>
      <c r="P38" s="112"/>
      <c r="Q38" s="129">
        <f>PRODUCT(F38:J38)</f>
        <v>8</v>
      </c>
    </row>
    <row r="39" spans="1:17" s="123" customFormat="1" ht="15" customHeight="1" x14ac:dyDescent="0.2">
      <c r="A39" s="118"/>
      <c r="B39" s="119"/>
      <c r="C39" s="396"/>
      <c r="D39" s="385" t="s">
        <v>174</v>
      </c>
      <c r="E39" s="372" t="s">
        <v>18</v>
      </c>
      <c r="F39" s="316">
        <v>1</v>
      </c>
      <c r="G39" s="317">
        <f>0.4/2</f>
        <v>0.2</v>
      </c>
      <c r="H39" s="317">
        <f>3.14</f>
        <v>3.14</v>
      </c>
      <c r="I39" s="317"/>
      <c r="J39" s="316">
        <v>1</v>
      </c>
      <c r="K39" s="317"/>
      <c r="L39" s="318">
        <f>+H39*(G39*G39)</f>
        <v>0.12560000000000002</v>
      </c>
      <c r="M39" s="318"/>
      <c r="N39" s="317"/>
      <c r="O39" s="317"/>
      <c r="P39" s="319">
        <f>+L39*$U$14</f>
        <v>0.13188000000000002</v>
      </c>
      <c r="Q39" s="476">
        <f>P39*$Q$38</f>
        <v>1.0550400000000002</v>
      </c>
    </row>
    <row r="40" spans="1:17" s="123" customFormat="1" ht="12.75" x14ac:dyDescent="0.2">
      <c r="A40" s="118"/>
      <c r="B40" s="119"/>
      <c r="C40" s="396"/>
      <c r="D40" s="387" t="s">
        <v>126</v>
      </c>
      <c r="E40" s="131" t="s">
        <v>21</v>
      </c>
      <c r="F40" s="120">
        <v>6</v>
      </c>
      <c r="G40" s="121">
        <v>1</v>
      </c>
      <c r="H40" s="121"/>
      <c r="I40" s="121"/>
      <c r="J40" s="120">
        <v>1</v>
      </c>
      <c r="K40" s="122">
        <f>+PRODUCT(F40:J40)</f>
        <v>6</v>
      </c>
      <c r="L40" s="122"/>
      <c r="M40" s="122"/>
      <c r="N40" s="121"/>
      <c r="O40" s="121"/>
      <c r="P40" s="132">
        <f>+K40*$U$14</f>
        <v>6.3000000000000007</v>
      </c>
      <c r="Q40" s="476">
        <f>P40*$Q$38</f>
        <v>50.400000000000006</v>
      </c>
    </row>
    <row r="41" spans="1:17" s="123" customFormat="1" ht="12.75" x14ac:dyDescent="0.2">
      <c r="A41" s="118"/>
      <c r="B41" s="119"/>
      <c r="C41" s="396"/>
      <c r="D41" s="387" t="s">
        <v>175</v>
      </c>
      <c r="E41" s="131" t="s">
        <v>93</v>
      </c>
      <c r="F41" s="120">
        <v>12</v>
      </c>
      <c r="G41" s="121"/>
      <c r="H41" s="121"/>
      <c r="I41" s="121"/>
      <c r="J41" s="120">
        <v>1</v>
      </c>
      <c r="K41" s="122"/>
      <c r="L41" s="122"/>
      <c r="M41" s="122"/>
      <c r="N41" s="121"/>
      <c r="O41" s="121"/>
      <c r="P41" s="132">
        <f>+PRODUCT(F41:J41)</f>
        <v>12</v>
      </c>
      <c r="Q41" s="476">
        <f>P41*$Q$38</f>
        <v>96</v>
      </c>
    </row>
    <row r="42" spans="1:17" s="123" customFormat="1" ht="12.75" x14ac:dyDescent="0.2">
      <c r="A42" s="118"/>
      <c r="B42" s="119"/>
      <c r="C42" s="396"/>
      <c r="D42" s="387" t="s">
        <v>212</v>
      </c>
      <c r="E42" s="131" t="s">
        <v>93</v>
      </c>
      <c r="F42" s="120">
        <v>6</v>
      </c>
      <c r="G42" s="121"/>
      <c r="H42" s="121"/>
      <c r="I42" s="121"/>
      <c r="J42" s="120">
        <v>1</v>
      </c>
      <c r="K42" s="122"/>
      <c r="L42" s="122"/>
      <c r="M42" s="122"/>
      <c r="N42" s="121"/>
      <c r="O42" s="121"/>
      <c r="P42" s="132">
        <f>+PRODUCT(F42:J42)</f>
        <v>6</v>
      </c>
      <c r="Q42" s="476">
        <f>P42*$Q$38</f>
        <v>48</v>
      </c>
    </row>
    <row r="43" spans="1:17" s="123" customFormat="1" ht="12.75" x14ac:dyDescent="0.2">
      <c r="A43" s="118"/>
      <c r="B43" s="119"/>
      <c r="C43" s="396"/>
      <c r="D43" s="392" t="s">
        <v>262</v>
      </c>
      <c r="E43" s="372" t="s">
        <v>19</v>
      </c>
      <c r="F43" s="316">
        <v>1</v>
      </c>
      <c r="G43" s="317"/>
      <c r="H43" s="317"/>
      <c r="I43" s="317"/>
      <c r="J43" s="316">
        <v>1</v>
      </c>
      <c r="K43" s="318"/>
      <c r="L43" s="318">
        <f>1400*0.00377</f>
        <v>5.2779999999999996</v>
      </c>
      <c r="M43" s="318"/>
      <c r="N43" s="317"/>
      <c r="O43" s="317"/>
      <c r="P43" s="319">
        <f>+PRODUCT(F43:J43)*L43*1.1</f>
        <v>5.8057999999999996</v>
      </c>
      <c r="Q43" s="478">
        <f t="shared" ref="Q43" si="0">P43*$Q$38</f>
        <v>46.446399999999997</v>
      </c>
    </row>
    <row r="44" spans="1:17" s="117" customFormat="1" ht="12.75" x14ac:dyDescent="0.2">
      <c r="A44" s="133"/>
      <c r="B44" s="134"/>
      <c r="C44" s="395" t="s">
        <v>138</v>
      </c>
      <c r="D44" s="390" t="s">
        <v>267</v>
      </c>
      <c r="E44" s="115" t="s">
        <v>22</v>
      </c>
      <c r="F44" s="135">
        <v>4</v>
      </c>
      <c r="G44" s="121"/>
      <c r="H44" s="121"/>
      <c r="I44" s="121"/>
      <c r="J44" s="135">
        <v>1</v>
      </c>
      <c r="K44" s="132"/>
      <c r="L44" s="116"/>
      <c r="M44" s="136"/>
      <c r="N44" s="132"/>
      <c r="O44" s="132"/>
      <c r="P44" s="132"/>
      <c r="Q44" s="116">
        <f>PRODUCT(F44:J44)</f>
        <v>4</v>
      </c>
    </row>
    <row r="45" spans="1:17" s="117" customFormat="1" ht="12.75" x14ac:dyDescent="0.2">
      <c r="A45" s="133"/>
      <c r="B45" s="134"/>
      <c r="C45" s="395"/>
      <c r="D45" s="388" t="s">
        <v>127</v>
      </c>
      <c r="E45" s="375" t="s">
        <v>21</v>
      </c>
      <c r="F45" s="120">
        <v>1</v>
      </c>
      <c r="G45" s="121">
        <v>8.3699999999999992</v>
      </c>
      <c r="H45" s="121"/>
      <c r="I45" s="121"/>
      <c r="J45" s="135">
        <v>1</v>
      </c>
      <c r="K45" s="122">
        <f>+PRODUCT(F45:J45)</f>
        <v>8.3699999999999992</v>
      </c>
      <c r="L45" s="116"/>
      <c r="M45" s="136"/>
      <c r="N45" s="132"/>
      <c r="O45" s="132"/>
      <c r="P45" s="132">
        <f>+K45*$U$14</f>
        <v>8.7884999999999991</v>
      </c>
      <c r="Q45" s="477">
        <f>P45*$Q$44</f>
        <v>35.153999999999996</v>
      </c>
    </row>
    <row r="46" spans="1:17" s="123" customFormat="1" ht="12.75" customHeight="1" x14ac:dyDescent="0.2">
      <c r="A46" s="118"/>
      <c r="B46" s="119"/>
      <c r="C46" s="397"/>
      <c r="D46" s="387" t="s">
        <v>129</v>
      </c>
      <c r="E46" s="372" t="s">
        <v>18</v>
      </c>
      <c r="F46" s="316">
        <v>1</v>
      </c>
      <c r="G46" s="317"/>
      <c r="H46" s="317"/>
      <c r="I46" s="317"/>
      <c r="J46" s="316">
        <v>1</v>
      </c>
      <c r="K46" s="317"/>
      <c r="L46" s="122"/>
      <c r="M46" s="122"/>
      <c r="N46" s="121"/>
      <c r="O46" s="121"/>
      <c r="P46" s="132">
        <f>+SUM(L47:L50)*$U$14</f>
        <v>0.44950500000000004</v>
      </c>
      <c r="Q46" s="477">
        <f>P46*$Q$44</f>
        <v>1.7980200000000002</v>
      </c>
    </row>
    <row r="47" spans="1:17" s="123" customFormat="1" ht="12.75" customHeight="1" x14ac:dyDescent="0.2">
      <c r="A47" s="118"/>
      <c r="B47" s="119"/>
      <c r="C47" s="397"/>
      <c r="D47" s="401" t="s">
        <v>128</v>
      </c>
      <c r="E47" s="372" t="s">
        <v>18</v>
      </c>
      <c r="F47" s="120">
        <v>1</v>
      </c>
      <c r="G47" s="121">
        <v>0.6</v>
      </c>
      <c r="H47" s="121">
        <v>0.4</v>
      </c>
      <c r="I47" s="121"/>
      <c r="J47" s="120">
        <v>1</v>
      </c>
      <c r="K47" s="122"/>
      <c r="L47" s="122">
        <f>+PRODUCT(F47:J47)</f>
        <v>0.24</v>
      </c>
      <c r="M47" s="122"/>
      <c r="N47" s="121"/>
      <c r="O47" s="121"/>
      <c r="P47" s="132"/>
      <c r="Q47" s="476"/>
    </row>
    <row r="48" spans="1:17" s="123" customFormat="1" ht="12.75" customHeight="1" x14ac:dyDescent="0.2">
      <c r="A48" s="118"/>
      <c r="B48" s="119"/>
      <c r="C48" s="397"/>
      <c r="D48" s="401" t="s">
        <v>130</v>
      </c>
      <c r="E48" s="372" t="s">
        <v>18</v>
      </c>
      <c r="F48" s="120">
        <v>3</v>
      </c>
      <c r="G48" s="121">
        <v>0.17</v>
      </c>
      <c r="H48" s="121">
        <v>0.11</v>
      </c>
      <c r="I48" s="121"/>
      <c r="J48" s="120">
        <v>1</v>
      </c>
      <c r="K48" s="122"/>
      <c r="L48" s="122">
        <f>+PRODUCT(F48:J48)</f>
        <v>5.6100000000000004E-2</v>
      </c>
      <c r="M48" s="122"/>
      <c r="N48" s="121"/>
      <c r="O48" s="121"/>
      <c r="P48" s="132"/>
      <c r="Q48" s="476"/>
    </row>
    <row r="49" spans="1:17" s="123" customFormat="1" ht="12.75" customHeight="1" x14ac:dyDescent="0.2">
      <c r="A49" s="118"/>
      <c r="B49" s="119"/>
      <c r="C49" s="397"/>
      <c r="D49" s="401" t="s">
        <v>122</v>
      </c>
      <c r="E49" s="372" t="s">
        <v>18</v>
      </c>
      <c r="F49" s="120">
        <v>2</v>
      </c>
      <c r="G49" s="121">
        <v>0.27</v>
      </c>
      <c r="H49" s="121">
        <v>0.2</v>
      </c>
      <c r="I49" s="121"/>
      <c r="J49" s="120">
        <v>1</v>
      </c>
      <c r="K49" s="122"/>
      <c r="L49" s="122">
        <f>+PRODUCT(F49:J49)</f>
        <v>0.10800000000000001</v>
      </c>
      <c r="M49" s="122"/>
      <c r="N49" s="121"/>
      <c r="O49" s="121"/>
      <c r="P49" s="132"/>
      <c r="Q49" s="476"/>
    </row>
    <row r="50" spans="1:17" s="123" customFormat="1" ht="12.75" customHeight="1" x14ac:dyDescent="0.2">
      <c r="A50" s="118"/>
      <c r="B50" s="119"/>
      <c r="C50" s="397"/>
      <c r="D50" s="401" t="s">
        <v>131</v>
      </c>
      <c r="E50" s="372" t="s">
        <v>18</v>
      </c>
      <c r="F50" s="120">
        <v>1</v>
      </c>
      <c r="G50" s="121">
        <v>0.2</v>
      </c>
      <c r="H50" s="121">
        <v>0.12</v>
      </c>
      <c r="I50" s="121"/>
      <c r="J50" s="120">
        <v>1</v>
      </c>
      <c r="K50" s="122"/>
      <c r="L50" s="122">
        <f>+PRODUCT(F50:J50)</f>
        <v>2.4E-2</v>
      </c>
      <c r="M50" s="122"/>
      <c r="N50" s="121"/>
      <c r="O50" s="121"/>
      <c r="P50" s="132"/>
      <c r="Q50" s="476"/>
    </row>
    <row r="51" spans="1:17" s="123" customFormat="1" ht="12.75" customHeight="1" x14ac:dyDescent="0.2">
      <c r="A51" s="118"/>
      <c r="B51" s="119"/>
      <c r="C51" s="397"/>
      <c r="D51" s="387" t="s">
        <v>183</v>
      </c>
      <c r="E51" s="372" t="s">
        <v>18</v>
      </c>
      <c r="F51" s="120">
        <v>1</v>
      </c>
      <c r="G51" s="121">
        <v>0.6</v>
      </c>
      <c r="H51" s="121">
        <v>0.4</v>
      </c>
      <c r="I51" s="121"/>
      <c r="J51" s="120">
        <v>1</v>
      </c>
      <c r="K51" s="122"/>
      <c r="L51" s="122">
        <f>+PRODUCT(F51:J51)</f>
        <v>0.24</v>
      </c>
      <c r="M51" s="122"/>
      <c r="N51" s="121"/>
      <c r="O51" s="121"/>
      <c r="P51" s="132">
        <f>L51</f>
        <v>0.24</v>
      </c>
      <c r="Q51" s="477">
        <f>P51*$Q$44</f>
        <v>0.96</v>
      </c>
    </row>
    <row r="52" spans="1:17" s="123" customFormat="1" ht="12.75" customHeight="1" x14ac:dyDescent="0.2">
      <c r="A52" s="118"/>
      <c r="B52" s="119"/>
      <c r="C52" s="397"/>
      <c r="D52" s="509" t="s">
        <v>254</v>
      </c>
      <c r="E52" s="402" t="s">
        <v>22</v>
      </c>
      <c r="F52" s="518">
        <v>8</v>
      </c>
      <c r="G52" s="519"/>
      <c r="H52" s="519"/>
      <c r="I52" s="519"/>
      <c r="J52" s="518">
        <v>1</v>
      </c>
      <c r="K52" s="520"/>
      <c r="L52" s="520"/>
      <c r="M52" s="520"/>
      <c r="N52" s="519"/>
      <c r="O52" s="519">
        <f>+PRODUCT(F52:J52)</f>
        <v>8</v>
      </c>
      <c r="P52" s="521">
        <f>+O52</f>
        <v>8</v>
      </c>
      <c r="Q52" s="522">
        <f>P52*$Q$44</f>
        <v>32</v>
      </c>
    </row>
    <row r="53" spans="1:17" s="123" customFormat="1" ht="12.75" customHeight="1" x14ac:dyDescent="0.2">
      <c r="A53" s="118"/>
      <c r="B53" s="119"/>
      <c r="C53" s="397"/>
      <c r="D53" s="509" t="s">
        <v>213</v>
      </c>
      <c r="E53" s="402" t="s">
        <v>22</v>
      </c>
      <c r="F53" s="518">
        <v>8</v>
      </c>
      <c r="G53" s="519"/>
      <c r="H53" s="519"/>
      <c r="I53" s="519"/>
      <c r="J53" s="518">
        <v>1</v>
      </c>
      <c r="K53" s="520"/>
      <c r="L53" s="520"/>
      <c r="M53" s="520"/>
      <c r="N53" s="519"/>
      <c r="O53" s="519">
        <f>+PRODUCT(F53:J53)</f>
        <v>8</v>
      </c>
      <c r="P53" s="521">
        <f>+O53</f>
        <v>8</v>
      </c>
      <c r="Q53" s="522">
        <f>P53*$Q$44</f>
        <v>32</v>
      </c>
    </row>
    <row r="54" spans="1:17" s="123" customFormat="1" ht="12.75" customHeight="1" x14ac:dyDescent="0.2">
      <c r="A54" s="118"/>
      <c r="B54" s="119"/>
      <c r="C54" s="397"/>
      <c r="D54" s="389" t="s">
        <v>102</v>
      </c>
      <c r="E54" s="131" t="s">
        <v>19</v>
      </c>
      <c r="F54" s="120"/>
      <c r="G54" s="121"/>
      <c r="H54" s="121"/>
      <c r="I54" s="121"/>
      <c r="J54" s="120"/>
      <c r="K54" s="121"/>
      <c r="L54" s="122"/>
      <c r="M54" s="122"/>
      <c r="N54" s="121"/>
      <c r="O54" s="121"/>
      <c r="P54" s="132">
        <f>Anexo!D53</f>
        <v>2.8932150000000001</v>
      </c>
      <c r="Q54" s="477">
        <f>P54*$Q$44</f>
        <v>11.57286</v>
      </c>
    </row>
    <row r="55" spans="1:17" s="123" customFormat="1" ht="12.75" customHeight="1" x14ac:dyDescent="0.2">
      <c r="A55" s="118"/>
      <c r="B55" s="119"/>
      <c r="C55" s="397"/>
      <c r="D55" s="389" t="s">
        <v>124</v>
      </c>
      <c r="E55" s="131" t="s">
        <v>19</v>
      </c>
      <c r="F55" s="120"/>
      <c r="G55" s="121"/>
      <c r="H55" s="121"/>
      <c r="I55" s="121"/>
      <c r="J55" s="120"/>
      <c r="K55" s="121"/>
      <c r="L55" s="122"/>
      <c r="M55" s="122"/>
      <c r="N55" s="121"/>
      <c r="O55" s="121"/>
      <c r="P55" s="132">
        <f>Anexo!D54</f>
        <v>0.44862750000000001</v>
      </c>
      <c r="Q55" s="477">
        <f>P55*$Q$44</f>
        <v>1.79451</v>
      </c>
    </row>
    <row r="56" spans="1:17" s="123" customFormat="1" ht="12.75" customHeight="1" x14ac:dyDescent="0.2">
      <c r="A56" s="118"/>
      <c r="B56" s="119"/>
      <c r="C56" s="395" t="s">
        <v>157</v>
      </c>
      <c r="D56" s="390" t="s">
        <v>268</v>
      </c>
      <c r="E56" s="115" t="s">
        <v>22</v>
      </c>
      <c r="F56" s="135">
        <v>4</v>
      </c>
      <c r="G56" s="121"/>
      <c r="H56" s="121"/>
      <c r="I56" s="121"/>
      <c r="J56" s="135">
        <v>1</v>
      </c>
      <c r="K56" s="132"/>
      <c r="L56" s="116"/>
      <c r="M56" s="136"/>
      <c r="N56" s="132"/>
      <c r="O56" s="132"/>
      <c r="P56" s="132"/>
      <c r="Q56" s="116">
        <f>PRODUCT(F56:J56)</f>
        <v>4</v>
      </c>
    </row>
    <row r="57" spans="1:17" s="123" customFormat="1" ht="12.75" customHeight="1" x14ac:dyDescent="0.2">
      <c r="A57" s="118"/>
      <c r="B57" s="119"/>
      <c r="C57" s="395"/>
      <c r="D57" s="388" t="s">
        <v>127</v>
      </c>
      <c r="E57" s="375" t="s">
        <v>21</v>
      </c>
      <c r="F57" s="120">
        <v>1</v>
      </c>
      <c r="G57" s="121">
        <v>4.87</v>
      </c>
      <c r="H57" s="121"/>
      <c r="I57" s="121"/>
      <c r="J57" s="135">
        <v>1</v>
      </c>
      <c r="K57" s="122">
        <f>+PRODUCT(F57:J57)</f>
        <v>4.87</v>
      </c>
      <c r="L57" s="116"/>
      <c r="M57" s="136"/>
      <c r="N57" s="132"/>
      <c r="O57" s="132"/>
      <c r="P57" s="132">
        <f>+K57*$U$14</f>
        <v>5.1135000000000002</v>
      </c>
      <c r="Q57" s="477">
        <f>P57*$Q$56</f>
        <v>20.454000000000001</v>
      </c>
    </row>
    <row r="58" spans="1:17" s="123" customFormat="1" ht="12.75" customHeight="1" x14ac:dyDescent="0.2">
      <c r="A58" s="118"/>
      <c r="B58" s="119"/>
      <c r="C58" s="397"/>
      <c r="D58" s="387" t="s">
        <v>129</v>
      </c>
      <c r="E58" s="372" t="s">
        <v>18</v>
      </c>
      <c r="F58" s="316">
        <v>1</v>
      </c>
      <c r="G58" s="317"/>
      <c r="H58" s="317"/>
      <c r="I58" s="317"/>
      <c r="J58" s="316">
        <v>1</v>
      </c>
      <c r="K58" s="317"/>
      <c r="L58" s="122"/>
      <c r="M58" s="122"/>
      <c r="N58" s="121"/>
      <c r="O58" s="121"/>
      <c r="P58" s="132">
        <f>+SUM(L59:L62)*$U$14</f>
        <v>0.44950500000000004</v>
      </c>
      <c r="Q58" s="477">
        <f>P58*$Q$56</f>
        <v>1.7980200000000002</v>
      </c>
    </row>
    <row r="59" spans="1:17" s="123" customFormat="1" ht="12.75" customHeight="1" x14ac:dyDescent="0.2">
      <c r="A59" s="118"/>
      <c r="B59" s="119"/>
      <c r="C59" s="397"/>
      <c r="D59" s="401" t="s">
        <v>128</v>
      </c>
      <c r="E59" s="372" t="s">
        <v>18</v>
      </c>
      <c r="F59" s="120">
        <v>1</v>
      </c>
      <c r="G59" s="121">
        <v>0.6</v>
      </c>
      <c r="H59" s="121">
        <v>0.4</v>
      </c>
      <c r="I59" s="121"/>
      <c r="J59" s="120">
        <v>1</v>
      </c>
      <c r="K59" s="122"/>
      <c r="L59" s="122">
        <f>+PRODUCT(F59:J59)</f>
        <v>0.24</v>
      </c>
      <c r="M59" s="122"/>
      <c r="N59" s="121"/>
      <c r="O59" s="121"/>
      <c r="P59" s="132"/>
      <c r="Q59" s="476"/>
    </row>
    <row r="60" spans="1:17" s="123" customFormat="1" ht="12.75" customHeight="1" x14ac:dyDescent="0.2">
      <c r="A60" s="118"/>
      <c r="B60" s="119"/>
      <c r="C60" s="397"/>
      <c r="D60" s="401" t="s">
        <v>130</v>
      </c>
      <c r="E60" s="372" t="s">
        <v>18</v>
      </c>
      <c r="F60" s="120">
        <v>3</v>
      </c>
      <c r="G60" s="121">
        <v>0.17</v>
      </c>
      <c r="H60" s="121">
        <v>0.11</v>
      </c>
      <c r="I60" s="121"/>
      <c r="J60" s="120">
        <v>1</v>
      </c>
      <c r="K60" s="122"/>
      <c r="L60" s="122">
        <f>+PRODUCT(F60:J60)</f>
        <v>5.6100000000000004E-2</v>
      </c>
      <c r="M60" s="122"/>
      <c r="N60" s="121"/>
      <c r="O60" s="121"/>
      <c r="P60" s="132"/>
      <c r="Q60" s="476"/>
    </row>
    <row r="61" spans="1:17" s="123" customFormat="1" ht="12.75" customHeight="1" x14ac:dyDescent="0.2">
      <c r="A61" s="118"/>
      <c r="B61" s="119"/>
      <c r="C61" s="397"/>
      <c r="D61" s="401" t="s">
        <v>122</v>
      </c>
      <c r="E61" s="372" t="s">
        <v>18</v>
      </c>
      <c r="F61" s="120">
        <v>2</v>
      </c>
      <c r="G61" s="121">
        <v>0.27</v>
      </c>
      <c r="H61" s="121">
        <v>0.2</v>
      </c>
      <c r="I61" s="121"/>
      <c r="J61" s="120">
        <v>1</v>
      </c>
      <c r="K61" s="122"/>
      <c r="L61" s="122">
        <f>+PRODUCT(F61:J61)</f>
        <v>0.10800000000000001</v>
      </c>
      <c r="M61" s="122"/>
      <c r="N61" s="121"/>
      <c r="O61" s="121"/>
      <c r="P61" s="132"/>
      <c r="Q61" s="476"/>
    </row>
    <row r="62" spans="1:17" s="123" customFormat="1" ht="12.75" customHeight="1" x14ac:dyDescent="0.2">
      <c r="A62" s="118"/>
      <c r="B62" s="119"/>
      <c r="C62" s="397"/>
      <c r="D62" s="401" t="s">
        <v>131</v>
      </c>
      <c r="E62" s="372" t="s">
        <v>18</v>
      </c>
      <c r="F62" s="120">
        <v>1</v>
      </c>
      <c r="G62" s="121">
        <v>0.2</v>
      </c>
      <c r="H62" s="121">
        <v>0.12</v>
      </c>
      <c r="I62" s="121"/>
      <c r="J62" s="120">
        <v>1</v>
      </c>
      <c r="K62" s="122"/>
      <c r="L62" s="122">
        <f>+PRODUCT(F62:J62)</f>
        <v>2.4E-2</v>
      </c>
      <c r="M62" s="122"/>
      <c r="N62" s="121"/>
      <c r="O62" s="121"/>
      <c r="P62" s="132"/>
      <c r="Q62" s="476"/>
    </row>
    <row r="63" spans="1:17" s="123" customFormat="1" ht="12.75" customHeight="1" x14ac:dyDescent="0.2">
      <c r="A63" s="118"/>
      <c r="B63" s="119"/>
      <c r="C63" s="397"/>
      <c r="D63" s="387" t="s">
        <v>183</v>
      </c>
      <c r="E63" s="372" t="s">
        <v>18</v>
      </c>
      <c r="F63" s="120">
        <v>1</v>
      </c>
      <c r="G63" s="121">
        <v>0.6</v>
      </c>
      <c r="H63" s="121">
        <v>0.4</v>
      </c>
      <c r="I63" s="121"/>
      <c r="J63" s="120">
        <v>1</v>
      </c>
      <c r="K63" s="122"/>
      <c r="L63" s="122">
        <f>+PRODUCT(F63:J63)</f>
        <v>0.24</v>
      </c>
      <c r="M63" s="122"/>
      <c r="N63" s="121"/>
      <c r="O63" s="121"/>
      <c r="P63" s="132">
        <f>L63</f>
        <v>0.24</v>
      </c>
      <c r="Q63" s="477">
        <f>P63*$Q$56</f>
        <v>0.96</v>
      </c>
    </row>
    <row r="64" spans="1:17" s="123" customFormat="1" ht="12.75" customHeight="1" x14ac:dyDescent="0.2">
      <c r="A64" s="118"/>
      <c r="B64" s="119"/>
      <c r="C64" s="397"/>
      <c r="D64" s="509" t="s">
        <v>254</v>
      </c>
      <c r="E64" s="402" t="s">
        <v>22</v>
      </c>
      <c r="F64" s="518">
        <v>8</v>
      </c>
      <c r="G64" s="519"/>
      <c r="H64" s="519"/>
      <c r="I64" s="519"/>
      <c r="J64" s="518">
        <v>1</v>
      </c>
      <c r="K64" s="520"/>
      <c r="L64" s="520"/>
      <c r="M64" s="520"/>
      <c r="N64" s="519"/>
      <c r="O64" s="519">
        <f>+PRODUCT(F64:J64)</f>
        <v>8</v>
      </c>
      <c r="P64" s="521">
        <f>+O64</f>
        <v>8</v>
      </c>
      <c r="Q64" s="522">
        <f>P64*$Q$56</f>
        <v>32</v>
      </c>
    </row>
    <row r="65" spans="1:17" s="123" customFormat="1" ht="12.75" customHeight="1" x14ac:dyDescent="0.2">
      <c r="A65" s="118"/>
      <c r="B65" s="119"/>
      <c r="C65" s="397"/>
      <c r="D65" s="509" t="s">
        <v>213</v>
      </c>
      <c r="E65" s="402" t="s">
        <v>22</v>
      </c>
      <c r="F65" s="518">
        <v>8</v>
      </c>
      <c r="G65" s="519"/>
      <c r="H65" s="519"/>
      <c r="I65" s="519"/>
      <c r="J65" s="518">
        <v>1</v>
      </c>
      <c r="K65" s="520"/>
      <c r="L65" s="520"/>
      <c r="M65" s="520"/>
      <c r="N65" s="519"/>
      <c r="O65" s="519">
        <f>+PRODUCT(F65:J65)</f>
        <v>8</v>
      </c>
      <c r="P65" s="521">
        <f>+O65</f>
        <v>8</v>
      </c>
      <c r="Q65" s="522">
        <f>P65*$Q$56</f>
        <v>32</v>
      </c>
    </row>
    <row r="66" spans="1:17" s="123" customFormat="1" ht="12.75" customHeight="1" x14ac:dyDescent="0.2">
      <c r="A66" s="118"/>
      <c r="B66" s="119"/>
      <c r="C66" s="397"/>
      <c r="D66" s="389" t="s">
        <v>102</v>
      </c>
      <c r="E66" s="131" t="s">
        <v>19</v>
      </c>
      <c r="F66" s="120"/>
      <c r="G66" s="121"/>
      <c r="H66" s="121"/>
      <c r="I66" s="121"/>
      <c r="J66" s="120"/>
      <c r="K66" s="121"/>
      <c r="L66" s="122"/>
      <c r="M66" s="122"/>
      <c r="N66" s="121"/>
      <c r="O66" s="121"/>
      <c r="P66" s="132">
        <f>Anexo!D109</f>
        <v>2.2950450000000004</v>
      </c>
      <c r="Q66" s="477">
        <f>P66*$Q$56</f>
        <v>9.1801800000000018</v>
      </c>
    </row>
    <row r="67" spans="1:17" s="123" customFormat="1" ht="12.75" customHeight="1" x14ac:dyDescent="0.2">
      <c r="A67" s="118"/>
      <c r="B67" s="119"/>
      <c r="C67" s="397"/>
      <c r="D67" s="389" t="s">
        <v>124</v>
      </c>
      <c r="E67" s="131" t="s">
        <v>19</v>
      </c>
      <c r="F67" s="120"/>
      <c r="G67" s="121"/>
      <c r="H67" s="121"/>
      <c r="I67" s="121"/>
      <c r="J67" s="120"/>
      <c r="K67" s="121"/>
      <c r="L67" s="122"/>
      <c r="M67" s="122"/>
      <c r="N67" s="121"/>
      <c r="O67" s="121"/>
      <c r="P67" s="132">
        <f>Anexo!D110</f>
        <v>0.29908499999999999</v>
      </c>
      <c r="Q67" s="477">
        <f>P67*$Q$44</f>
        <v>1.19634</v>
      </c>
    </row>
    <row r="68" spans="1:17" s="123" customFormat="1" ht="12.75" customHeight="1" x14ac:dyDescent="0.2">
      <c r="A68" s="118"/>
      <c r="B68" s="119"/>
      <c r="C68" s="395" t="s">
        <v>158</v>
      </c>
      <c r="D68" s="390" t="s">
        <v>176</v>
      </c>
      <c r="E68" s="115" t="s">
        <v>22</v>
      </c>
      <c r="F68" s="135">
        <v>7</v>
      </c>
      <c r="G68" s="121"/>
      <c r="H68" s="121"/>
      <c r="I68" s="121"/>
      <c r="J68" s="135">
        <v>1</v>
      </c>
      <c r="K68" s="132"/>
      <c r="L68" s="116"/>
      <c r="M68" s="136"/>
      <c r="N68" s="132"/>
      <c r="O68" s="132"/>
      <c r="P68" s="132"/>
      <c r="Q68" s="116">
        <f>PRODUCT(F68:J68)</f>
        <v>7</v>
      </c>
    </row>
    <row r="69" spans="1:17" s="123" customFormat="1" ht="12.75" customHeight="1" x14ac:dyDescent="0.2">
      <c r="A69" s="118"/>
      <c r="B69" s="119"/>
      <c r="C69" s="396"/>
      <c r="D69" s="392" t="s">
        <v>269</v>
      </c>
      <c r="E69" s="131" t="s">
        <v>21</v>
      </c>
      <c r="F69" s="120">
        <v>1</v>
      </c>
      <c r="G69" s="121">
        <v>55.3</v>
      </c>
      <c r="H69" s="121"/>
      <c r="I69" s="121"/>
      <c r="J69" s="120">
        <v>1</v>
      </c>
      <c r="K69" s="122">
        <f>+PRODUCT(F69:J69)</f>
        <v>55.3</v>
      </c>
      <c r="L69" s="122"/>
      <c r="M69" s="122"/>
      <c r="N69" s="121"/>
      <c r="O69" s="121"/>
      <c r="P69" s="132">
        <f>+SUM(K69)*1.18</f>
        <v>65.253999999999991</v>
      </c>
      <c r="Q69" s="476">
        <f>P69*$Q$68</f>
        <v>456.77799999999991</v>
      </c>
    </row>
    <row r="70" spans="1:17" s="123" customFormat="1" ht="12.75" customHeight="1" x14ac:dyDescent="0.2">
      <c r="A70" s="118"/>
      <c r="B70" s="119"/>
      <c r="C70" s="396"/>
      <c r="D70" s="392" t="s">
        <v>270</v>
      </c>
      <c r="E70" s="131" t="s">
        <v>21</v>
      </c>
      <c r="F70" s="120">
        <v>1</v>
      </c>
      <c r="G70" s="121">
        <v>71.61</v>
      </c>
      <c r="H70" s="121"/>
      <c r="I70" s="121"/>
      <c r="J70" s="120">
        <v>1</v>
      </c>
      <c r="K70" s="122">
        <f>+PRODUCT(F70:J70)</f>
        <v>71.61</v>
      </c>
      <c r="L70" s="122"/>
      <c r="M70" s="122"/>
      <c r="N70" s="121"/>
      <c r="O70" s="121"/>
      <c r="P70" s="132">
        <f>+SUM(K70)*1.1</f>
        <v>78.771000000000001</v>
      </c>
      <c r="Q70" s="476">
        <f>P70*$Q$68</f>
        <v>551.39700000000005</v>
      </c>
    </row>
    <row r="71" spans="1:17" s="123" customFormat="1" ht="12.75" customHeight="1" x14ac:dyDescent="0.2">
      <c r="A71" s="118"/>
      <c r="B71" s="119"/>
      <c r="C71" s="396"/>
      <c r="D71" s="387" t="s">
        <v>129</v>
      </c>
      <c r="E71" s="372" t="s">
        <v>18</v>
      </c>
      <c r="F71" s="316">
        <v>1</v>
      </c>
      <c r="G71" s="317"/>
      <c r="H71" s="317"/>
      <c r="I71" s="317"/>
      <c r="J71" s="316">
        <v>1</v>
      </c>
      <c r="K71" s="317"/>
      <c r="L71" s="122"/>
      <c r="M71" s="122"/>
      <c r="N71" s="121"/>
      <c r="O71" s="121"/>
      <c r="P71" s="132">
        <f>+SUM(L72:L73)*$U$14</f>
        <v>0.72239999999999993</v>
      </c>
      <c r="Q71" s="476">
        <f>P71*$Q$68</f>
        <v>5.0567999999999991</v>
      </c>
    </row>
    <row r="72" spans="1:17" s="123" customFormat="1" ht="12.75" customHeight="1" x14ac:dyDescent="0.2">
      <c r="A72" s="118"/>
      <c r="B72" s="119"/>
      <c r="C72" s="396"/>
      <c r="D72" s="401" t="s">
        <v>132</v>
      </c>
      <c r="E72" s="372" t="s">
        <v>18</v>
      </c>
      <c r="F72" s="120">
        <v>2</v>
      </c>
      <c r="G72" s="121">
        <v>0.6</v>
      </c>
      <c r="H72" s="121">
        <v>0.4</v>
      </c>
      <c r="I72" s="121"/>
      <c r="J72" s="120">
        <v>1</v>
      </c>
      <c r="K72" s="122"/>
      <c r="L72" s="122">
        <f>+PRODUCT(F72:J72)</f>
        <v>0.48</v>
      </c>
      <c r="M72" s="122"/>
      <c r="N72" s="121"/>
      <c r="O72" s="121"/>
      <c r="P72" s="132"/>
      <c r="Q72" s="476"/>
    </row>
    <row r="73" spans="1:17" s="123" customFormat="1" ht="12.75" customHeight="1" x14ac:dyDescent="0.2">
      <c r="A73" s="118"/>
      <c r="B73" s="119"/>
      <c r="C73" s="396"/>
      <c r="D73" s="401" t="s">
        <v>121</v>
      </c>
      <c r="E73" s="372" t="s">
        <v>18</v>
      </c>
      <c r="F73" s="120">
        <v>10</v>
      </c>
      <c r="G73" s="121">
        <v>0.13</v>
      </c>
      <c r="H73" s="121">
        <v>0.16</v>
      </c>
      <c r="I73" s="121"/>
      <c r="J73" s="120">
        <v>1</v>
      </c>
      <c r="K73" s="122"/>
      <c r="L73" s="122">
        <f>+PRODUCT(F73:J73)</f>
        <v>0.20800000000000002</v>
      </c>
      <c r="M73" s="122"/>
      <c r="N73" s="121"/>
      <c r="O73" s="121"/>
      <c r="P73" s="132"/>
      <c r="Q73" s="476"/>
    </row>
    <row r="74" spans="1:17" s="123" customFormat="1" ht="12.75" customHeight="1" x14ac:dyDescent="0.2">
      <c r="A74" s="118"/>
      <c r="B74" s="119"/>
      <c r="C74" s="396"/>
      <c r="D74" s="387" t="s">
        <v>120</v>
      </c>
      <c r="E74" s="372" t="s">
        <v>18</v>
      </c>
      <c r="F74" s="316">
        <v>1</v>
      </c>
      <c r="G74" s="317"/>
      <c r="H74" s="317"/>
      <c r="I74" s="317"/>
      <c r="J74" s="316">
        <v>1</v>
      </c>
      <c r="K74" s="317"/>
      <c r="L74" s="122"/>
      <c r="M74" s="122"/>
      <c r="N74" s="121"/>
      <c r="O74" s="121"/>
      <c r="P74" s="132">
        <f>+SUM(L75:L76)*$U$14</f>
        <v>2.1524999999999999</v>
      </c>
      <c r="Q74" s="476">
        <f>P74*$Q$68</f>
        <v>15.067499999999999</v>
      </c>
    </row>
    <row r="75" spans="1:17" s="123" customFormat="1" ht="12.75" customHeight="1" x14ac:dyDescent="0.2">
      <c r="A75" s="118"/>
      <c r="B75" s="119"/>
      <c r="C75" s="396"/>
      <c r="D75" s="401" t="s">
        <v>177</v>
      </c>
      <c r="E75" s="372" t="s">
        <v>18</v>
      </c>
      <c r="F75" s="120">
        <v>2</v>
      </c>
      <c r="G75" s="121">
        <v>0.5</v>
      </c>
      <c r="H75" s="121">
        <v>0.95</v>
      </c>
      <c r="I75" s="121"/>
      <c r="J75" s="120">
        <v>1</v>
      </c>
      <c r="K75" s="122"/>
      <c r="L75" s="122">
        <f>+PRODUCT(F75:J75)</f>
        <v>0.95</v>
      </c>
      <c r="M75" s="122"/>
      <c r="N75" s="121"/>
      <c r="O75" s="121"/>
      <c r="P75" s="132"/>
      <c r="Q75" s="476"/>
    </row>
    <row r="76" spans="1:17" s="123" customFormat="1" ht="12.75" customHeight="1" x14ac:dyDescent="0.2">
      <c r="A76" s="118"/>
      <c r="B76" s="119"/>
      <c r="C76" s="396"/>
      <c r="D76" s="401" t="s">
        <v>178</v>
      </c>
      <c r="E76" s="372" t="s">
        <v>18</v>
      </c>
      <c r="F76" s="120">
        <v>2</v>
      </c>
      <c r="G76" s="121">
        <v>0.5</v>
      </c>
      <c r="H76" s="121">
        <v>1.1000000000000001</v>
      </c>
      <c r="I76" s="121"/>
      <c r="J76" s="120">
        <v>1</v>
      </c>
      <c r="K76" s="122"/>
      <c r="L76" s="122">
        <f>+PRODUCT(F76:J76)</f>
        <v>1.1000000000000001</v>
      </c>
      <c r="M76" s="122"/>
      <c r="N76" s="121"/>
      <c r="O76" s="121"/>
      <c r="P76" s="132"/>
      <c r="Q76" s="476"/>
    </row>
    <row r="77" spans="1:17" s="123" customFormat="1" ht="12.75" customHeight="1" x14ac:dyDescent="0.2">
      <c r="A77" s="118"/>
      <c r="B77" s="119"/>
      <c r="C77" s="396"/>
      <c r="D77" s="392" t="s">
        <v>183</v>
      </c>
      <c r="E77" s="372" t="s">
        <v>18</v>
      </c>
      <c r="F77" s="316">
        <v>2</v>
      </c>
      <c r="G77" s="317">
        <v>0.6</v>
      </c>
      <c r="H77" s="317">
        <v>0.4</v>
      </c>
      <c r="I77" s="317"/>
      <c r="J77" s="316">
        <v>1</v>
      </c>
      <c r="K77" s="318"/>
      <c r="L77" s="318">
        <f>+PRODUCT(F77:J77)</f>
        <v>0.48</v>
      </c>
      <c r="M77" s="318"/>
      <c r="N77" s="317"/>
      <c r="O77" s="317"/>
      <c r="P77" s="319">
        <f>L77</f>
        <v>0.48</v>
      </c>
      <c r="Q77" s="523">
        <f>P77*$Q$68</f>
        <v>3.36</v>
      </c>
    </row>
    <row r="78" spans="1:17" s="123" customFormat="1" ht="25.5" x14ac:dyDescent="0.2">
      <c r="A78" s="118"/>
      <c r="B78" s="119"/>
      <c r="C78" s="396"/>
      <c r="D78" s="509" t="s">
        <v>254</v>
      </c>
      <c r="E78" s="402" t="s">
        <v>22</v>
      </c>
      <c r="F78" s="403">
        <v>16</v>
      </c>
      <c r="G78" s="404"/>
      <c r="H78" s="404"/>
      <c r="I78" s="404"/>
      <c r="J78" s="403">
        <v>1</v>
      </c>
      <c r="K78" s="405"/>
      <c r="L78" s="405"/>
      <c r="M78" s="405"/>
      <c r="N78" s="404"/>
      <c r="O78" s="404">
        <f>+PRODUCT(F78:J78)</f>
        <v>16</v>
      </c>
      <c r="P78" s="406">
        <f>+O78</f>
        <v>16</v>
      </c>
      <c r="Q78" s="476">
        <f>P78*$Q$68</f>
        <v>112</v>
      </c>
    </row>
    <row r="79" spans="1:17" s="123" customFormat="1" ht="12.75" x14ac:dyDescent="0.2">
      <c r="A79" s="118"/>
      <c r="B79" s="119"/>
      <c r="C79" s="396"/>
      <c r="D79" s="407" t="s">
        <v>213</v>
      </c>
      <c r="E79" s="402" t="s">
        <v>22</v>
      </c>
      <c r="F79" s="403">
        <v>16</v>
      </c>
      <c r="G79" s="404"/>
      <c r="H79" s="404"/>
      <c r="I79" s="404"/>
      <c r="J79" s="403">
        <v>1</v>
      </c>
      <c r="K79" s="405"/>
      <c r="L79" s="405"/>
      <c r="M79" s="405"/>
      <c r="N79" s="404"/>
      <c r="O79" s="404">
        <f>+PRODUCT(F79:J79)</f>
        <v>16</v>
      </c>
      <c r="P79" s="406">
        <f>+O79</f>
        <v>16</v>
      </c>
      <c r="Q79" s="476">
        <f>P79*$Q$68</f>
        <v>112</v>
      </c>
    </row>
    <row r="80" spans="1:17" s="123" customFormat="1" ht="12.75" customHeight="1" x14ac:dyDescent="0.2">
      <c r="A80" s="118"/>
      <c r="B80" s="119"/>
      <c r="C80" s="396"/>
      <c r="D80" s="389" t="s">
        <v>133</v>
      </c>
      <c r="E80" s="131" t="s">
        <v>19</v>
      </c>
      <c r="F80" s="120"/>
      <c r="G80" s="121"/>
      <c r="H80" s="121"/>
      <c r="I80" s="121"/>
      <c r="J80" s="120"/>
      <c r="K80" s="121"/>
      <c r="L80" s="122"/>
      <c r="M80" s="122"/>
      <c r="N80" s="121"/>
      <c r="O80" s="121"/>
      <c r="P80" s="132">
        <f>Anexo!D170</f>
        <v>13.165625000000002</v>
      </c>
      <c r="Q80" s="476">
        <f>P80*$Q$68</f>
        <v>92.159375000000011</v>
      </c>
    </row>
    <row r="81" spans="1:17" s="123" customFormat="1" ht="12.75" customHeight="1" x14ac:dyDescent="0.2">
      <c r="A81" s="118"/>
      <c r="B81" s="119"/>
      <c r="C81" s="396"/>
      <c r="D81" s="389" t="s">
        <v>201</v>
      </c>
      <c r="E81" s="131" t="s">
        <v>19</v>
      </c>
      <c r="F81" s="120"/>
      <c r="G81" s="121"/>
      <c r="H81" s="121"/>
      <c r="I81" s="121"/>
      <c r="J81" s="120"/>
      <c r="K81" s="121"/>
      <c r="L81" s="122"/>
      <c r="M81" s="122"/>
      <c r="N81" s="121"/>
      <c r="O81" s="121"/>
      <c r="P81" s="132">
        <f>Anexo!D171</f>
        <v>1.6696428571428572</v>
      </c>
      <c r="Q81" s="121">
        <f>P81*$Q$68</f>
        <v>11.6875</v>
      </c>
    </row>
    <row r="82" spans="1:17" s="123" customFormat="1" ht="12.75" customHeight="1" x14ac:dyDescent="0.2">
      <c r="A82" s="118"/>
      <c r="B82" s="119"/>
      <c r="C82" s="395" t="s">
        <v>159</v>
      </c>
      <c r="D82" s="384" t="s">
        <v>271</v>
      </c>
      <c r="E82" s="156" t="s">
        <v>22</v>
      </c>
      <c r="F82" s="320">
        <v>2</v>
      </c>
      <c r="G82" s="317"/>
      <c r="H82" s="317"/>
      <c r="I82" s="317"/>
      <c r="J82" s="320">
        <v>1</v>
      </c>
      <c r="K82" s="319"/>
      <c r="L82" s="321"/>
      <c r="M82" s="524"/>
      <c r="N82" s="319"/>
      <c r="O82" s="319"/>
      <c r="P82" s="319"/>
      <c r="Q82" s="525">
        <f>PRODUCT(F82:J82)</f>
        <v>2</v>
      </c>
    </row>
    <row r="83" spans="1:17" s="123" customFormat="1" ht="12.75" customHeight="1" x14ac:dyDescent="0.2">
      <c r="A83" s="118"/>
      <c r="B83" s="119"/>
      <c r="C83" s="396"/>
      <c r="D83" s="392" t="s">
        <v>272</v>
      </c>
      <c r="E83" s="372" t="s">
        <v>21</v>
      </c>
      <c r="F83" s="316">
        <v>1</v>
      </c>
      <c r="G83" s="317">
        <v>103.6</v>
      </c>
      <c r="H83" s="317"/>
      <c r="I83" s="317"/>
      <c r="J83" s="316">
        <v>1</v>
      </c>
      <c r="K83" s="318">
        <f>+PRODUCT(F83:J83)</f>
        <v>103.6</v>
      </c>
      <c r="L83" s="318"/>
      <c r="M83" s="318"/>
      <c r="N83" s="317"/>
      <c r="O83" s="317"/>
      <c r="P83" s="319">
        <f>+SUM(K83)*$U$14</f>
        <v>108.78</v>
      </c>
      <c r="Q83" s="522">
        <f>P83*$Q$82</f>
        <v>217.56</v>
      </c>
    </row>
    <row r="84" spans="1:17" s="123" customFormat="1" ht="12.75" customHeight="1" x14ac:dyDescent="0.2">
      <c r="A84" s="118"/>
      <c r="B84" s="119"/>
      <c r="C84" s="396"/>
      <c r="D84" s="392" t="s">
        <v>270</v>
      </c>
      <c r="E84" s="372" t="s">
        <v>21</v>
      </c>
      <c r="F84" s="316">
        <v>1</v>
      </c>
      <c r="G84" s="317">
        <v>151</v>
      </c>
      <c r="H84" s="317"/>
      <c r="I84" s="317"/>
      <c r="J84" s="316">
        <v>1</v>
      </c>
      <c r="K84" s="318">
        <f>+PRODUCT(F84:J84)</f>
        <v>151</v>
      </c>
      <c r="L84" s="318"/>
      <c r="M84" s="318"/>
      <c r="N84" s="317"/>
      <c r="O84" s="317"/>
      <c r="P84" s="319">
        <f>+SUM(K84)*$U$14</f>
        <v>158.55000000000001</v>
      </c>
      <c r="Q84" s="522">
        <f>P84*$Q$82</f>
        <v>317.10000000000002</v>
      </c>
    </row>
    <row r="85" spans="1:17" s="123" customFormat="1" ht="12.75" customHeight="1" x14ac:dyDescent="0.2">
      <c r="A85" s="118"/>
      <c r="B85" s="119"/>
      <c r="C85" s="396"/>
      <c r="D85" s="392" t="s">
        <v>129</v>
      </c>
      <c r="E85" s="372" t="s">
        <v>18</v>
      </c>
      <c r="F85" s="316">
        <v>1</v>
      </c>
      <c r="G85" s="317"/>
      <c r="H85" s="317"/>
      <c r="I85" s="317"/>
      <c r="J85" s="316">
        <v>1</v>
      </c>
      <c r="K85" s="317"/>
      <c r="L85" s="318"/>
      <c r="M85" s="318"/>
      <c r="N85" s="317"/>
      <c r="O85" s="317"/>
      <c r="P85" s="319">
        <f>+SUM(L86:L87)*$U$14</f>
        <v>1.0886400000000001</v>
      </c>
      <c r="Q85" s="522">
        <f>P85*$Q$82</f>
        <v>2.1772800000000001</v>
      </c>
    </row>
    <row r="86" spans="1:17" s="123" customFormat="1" ht="12.75" customHeight="1" x14ac:dyDescent="0.2">
      <c r="A86" s="118"/>
      <c r="B86" s="119"/>
      <c r="C86" s="396"/>
      <c r="D86" s="526" t="s">
        <v>273</v>
      </c>
      <c r="E86" s="372" t="s">
        <v>18</v>
      </c>
      <c r="F86" s="316">
        <v>4</v>
      </c>
      <c r="G86" s="317">
        <v>0.4</v>
      </c>
      <c r="H86" s="317">
        <v>0.312</v>
      </c>
      <c r="I86" s="317"/>
      <c r="J86" s="316">
        <v>1</v>
      </c>
      <c r="K86" s="318"/>
      <c r="L86" s="318">
        <f>+PRODUCT(F86:J86)</f>
        <v>0.49920000000000003</v>
      </c>
      <c r="M86" s="318"/>
      <c r="N86" s="317"/>
      <c r="O86" s="317"/>
      <c r="P86" s="319"/>
      <c r="Q86" s="522"/>
    </row>
    <row r="87" spans="1:17" s="123" customFormat="1" ht="12.75" customHeight="1" x14ac:dyDescent="0.2">
      <c r="A87" s="118"/>
      <c r="B87" s="119"/>
      <c r="C87" s="396"/>
      <c r="D87" s="526" t="s">
        <v>274</v>
      </c>
      <c r="E87" s="372" t="s">
        <v>18</v>
      </c>
      <c r="F87" s="316">
        <v>16</v>
      </c>
      <c r="G87" s="317">
        <v>0.21</v>
      </c>
      <c r="H87" s="317">
        <v>0.16</v>
      </c>
      <c r="I87" s="317"/>
      <c r="J87" s="316">
        <v>1</v>
      </c>
      <c r="K87" s="318"/>
      <c r="L87" s="318">
        <f>+PRODUCT(F87:J87)</f>
        <v>0.53759999999999997</v>
      </c>
      <c r="M87" s="318"/>
      <c r="N87" s="317"/>
      <c r="O87" s="317"/>
      <c r="P87" s="319"/>
      <c r="Q87" s="522"/>
    </row>
    <row r="88" spans="1:17" s="123" customFormat="1" ht="12.75" customHeight="1" x14ac:dyDescent="0.2">
      <c r="A88" s="118"/>
      <c r="B88" s="119"/>
      <c r="C88" s="396"/>
      <c r="D88" s="392" t="s">
        <v>275</v>
      </c>
      <c r="E88" s="372" t="s">
        <v>18</v>
      </c>
      <c r="F88" s="316">
        <v>1</v>
      </c>
      <c r="G88" s="317"/>
      <c r="H88" s="317"/>
      <c r="I88" s="317"/>
      <c r="J88" s="316">
        <v>1</v>
      </c>
      <c r="K88" s="317"/>
      <c r="L88" s="318"/>
      <c r="M88" s="318"/>
      <c r="N88" s="317"/>
      <c r="O88" s="317"/>
      <c r="P88" s="319">
        <f>+SUM(L89)*$U$14</f>
        <v>3.5280000000000005</v>
      </c>
      <c r="Q88" s="522">
        <f>P88*$Q$82</f>
        <v>7.0560000000000009</v>
      </c>
    </row>
    <row r="89" spans="1:17" s="123" customFormat="1" ht="12.75" customHeight="1" x14ac:dyDescent="0.2">
      <c r="A89" s="118"/>
      <c r="B89" s="119"/>
      <c r="C89" s="396"/>
      <c r="D89" s="526" t="s">
        <v>276</v>
      </c>
      <c r="E89" s="372" t="s">
        <v>18</v>
      </c>
      <c r="F89" s="316">
        <v>14</v>
      </c>
      <c r="G89" s="317">
        <v>0.6</v>
      </c>
      <c r="H89" s="317">
        <v>0.4</v>
      </c>
      <c r="I89" s="317"/>
      <c r="J89" s="316">
        <v>1</v>
      </c>
      <c r="K89" s="318"/>
      <c r="L89" s="318">
        <f>+PRODUCT(F89:J89)</f>
        <v>3.3600000000000003</v>
      </c>
      <c r="M89" s="318"/>
      <c r="N89" s="317"/>
      <c r="O89" s="317"/>
      <c r="P89" s="319"/>
      <c r="Q89" s="522"/>
    </row>
    <row r="90" spans="1:17" s="123" customFormat="1" ht="12.75" customHeight="1" x14ac:dyDescent="0.2">
      <c r="A90" s="118"/>
      <c r="B90" s="119"/>
      <c r="C90" s="396"/>
      <c r="D90" s="468" t="s">
        <v>124</v>
      </c>
      <c r="E90" s="372" t="s">
        <v>19</v>
      </c>
      <c r="F90" s="316"/>
      <c r="G90" s="317"/>
      <c r="H90" s="317"/>
      <c r="I90" s="317"/>
      <c r="J90" s="316"/>
      <c r="K90" s="317"/>
      <c r="L90" s="318"/>
      <c r="M90" s="318"/>
      <c r="N90" s="317"/>
      <c r="O90" s="317"/>
      <c r="P90" s="319">
        <f>[1]Anexo!D215</f>
        <v>14.732142857142859</v>
      </c>
      <c r="Q90" s="522">
        <f>P90*$Q$82</f>
        <v>29.464285714285719</v>
      </c>
    </row>
    <row r="91" spans="1:17" s="123" customFormat="1" ht="12.75" customHeight="1" x14ac:dyDescent="0.2">
      <c r="A91" s="118"/>
      <c r="B91" s="119"/>
      <c r="C91" s="395" t="s">
        <v>160</v>
      </c>
      <c r="D91" s="384" t="s">
        <v>277</v>
      </c>
      <c r="E91" s="156" t="s">
        <v>22</v>
      </c>
      <c r="F91" s="320">
        <v>12</v>
      </c>
      <c r="G91" s="317"/>
      <c r="H91" s="317"/>
      <c r="I91" s="317"/>
      <c r="J91" s="320">
        <v>1</v>
      </c>
      <c r="K91" s="319"/>
      <c r="L91" s="321"/>
      <c r="M91" s="524"/>
      <c r="N91" s="319"/>
      <c r="O91" s="319"/>
      <c r="P91" s="319"/>
      <c r="Q91" s="525">
        <f>PRODUCT(F91:J91)</f>
        <v>12</v>
      </c>
    </row>
    <row r="92" spans="1:17" s="123" customFormat="1" ht="12.75" customHeight="1" x14ac:dyDescent="0.2">
      <c r="A92" s="118"/>
      <c r="B92" s="119"/>
      <c r="C92" s="396"/>
      <c r="D92" s="392" t="s">
        <v>270</v>
      </c>
      <c r="E92" s="372" t="s">
        <v>21</v>
      </c>
      <c r="F92" s="316">
        <v>1</v>
      </c>
      <c r="G92" s="317">
        <v>18.399999999999999</v>
      </c>
      <c r="H92" s="317"/>
      <c r="I92" s="317"/>
      <c r="J92" s="316">
        <v>1</v>
      </c>
      <c r="K92" s="318">
        <f>+PRODUCT(F92:J92)</f>
        <v>18.399999999999999</v>
      </c>
      <c r="L92" s="318"/>
      <c r="M92" s="318"/>
      <c r="N92" s="317"/>
      <c r="O92" s="317"/>
      <c r="P92" s="319">
        <f>+SUM(K92)*$U$14</f>
        <v>19.32</v>
      </c>
      <c r="Q92" s="522">
        <f>P92*$Q$91</f>
        <v>231.84</v>
      </c>
    </row>
    <row r="93" spans="1:17" s="123" customFormat="1" ht="12.75" customHeight="1" x14ac:dyDescent="0.2">
      <c r="A93" s="118"/>
      <c r="B93" s="119"/>
      <c r="C93" s="396"/>
      <c r="D93" s="468" t="s">
        <v>124</v>
      </c>
      <c r="E93" s="372" t="s">
        <v>19</v>
      </c>
      <c r="F93" s="316"/>
      <c r="G93" s="317"/>
      <c r="H93" s="317"/>
      <c r="I93" s="317"/>
      <c r="J93" s="316"/>
      <c r="K93" s="317"/>
      <c r="L93" s="318"/>
      <c r="M93" s="318"/>
      <c r="N93" s="317"/>
      <c r="O93" s="317"/>
      <c r="P93" s="319">
        <f>[1]Anexo!D256</f>
        <v>0.98214285714285732</v>
      </c>
      <c r="Q93" s="522">
        <f>P93*$Q$91</f>
        <v>11.785714285714288</v>
      </c>
    </row>
    <row r="94" spans="1:17" s="123" customFormat="1" ht="12.75" customHeight="1" x14ac:dyDescent="0.2">
      <c r="A94" s="118"/>
      <c r="B94" s="119"/>
      <c r="C94" s="437" t="s">
        <v>161</v>
      </c>
      <c r="D94" s="429" t="s">
        <v>182</v>
      </c>
      <c r="E94" s="430" t="s">
        <v>21</v>
      </c>
      <c r="F94" s="431">
        <v>22</v>
      </c>
      <c r="G94" s="435">
        <v>28.42</v>
      </c>
      <c r="H94" s="435"/>
      <c r="I94" s="435"/>
      <c r="J94" s="431">
        <v>1</v>
      </c>
      <c r="K94" s="433">
        <f>+PRODUCT(F94:J94)</f>
        <v>625.24</v>
      </c>
      <c r="L94" s="433"/>
      <c r="M94" s="438"/>
      <c r="N94" s="432"/>
      <c r="O94" s="432"/>
      <c r="P94" s="432"/>
      <c r="Q94" s="433">
        <f>+K94</f>
        <v>625.24</v>
      </c>
    </row>
    <row r="95" spans="1:17" s="123" customFormat="1" ht="12.75" customHeight="1" x14ac:dyDescent="0.2">
      <c r="A95" s="118"/>
      <c r="B95" s="119"/>
      <c r="C95" s="654"/>
      <c r="D95" s="434" t="s">
        <v>278</v>
      </c>
      <c r="E95" s="439" t="s">
        <v>21</v>
      </c>
      <c r="F95" s="529">
        <v>1</v>
      </c>
      <c r="G95" s="530">
        <v>1.05</v>
      </c>
      <c r="H95" s="530"/>
      <c r="I95" s="530"/>
      <c r="J95" s="529">
        <v>1</v>
      </c>
      <c r="K95" s="436">
        <f>+PRODUCT(F95:J95)</f>
        <v>1.05</v>
      </c>
      <c r="L95" s="436"/>
      <c r="M95" s="436"/>
      <c r="N95" s="530"/>
      <c r="O95" s="530"/>
      <c r="P95" s="531">
        <f>+K95*$U$14</f>
        <v>1.1025</v>
      </c>
      <c r="Q95" s="523">
        <f>P95*$Q$94</f>
        <v>689.32710000000009</v>
      </c>
    </row>
    <row r="96" spans="1:17" s="123" customFormat="1" ht="12.75" customHeight="1" x14ac:dyDescent="0.2">
      <c r="A96" s="118"/>
      <c r="B96" s="119"/>
      <c r="C96" s="654"/>
      <c r="D96" s="392" t="s">
        <v>279</v>
      </c>
      <c r="E96" s="372" t="s">
        <v>18</v>
      </c>
      <c r="F96" s="316">
        <f>+F94*2</f>
        <v>44</v>
      </c>
      <c r="G96" s="317">
        <v>0.1</v>
      </c>
      <c r="H96" s="317">
        <v>0.05</v>
      </c>
      <c r="I96" s="317"/>
      <c r="J96" s="316">
        <v>1</v>
      </c>
      <c r="K96" s="318"/>
      <c r="L96" s="318">
        <f>PRODUCT(F96:J96)</f>
        <v>0.22000000000000003</v>
      </c>
      <c r="M96" s="318"/>
      <c r="N96" s="317"/>
      <c r="O96" s="317"/>
      <c r="P96" s="319">
        <f>+SUM(L96)*$U$14/K94</f>
        <v>3.6945812807881781E-4</v>
      </c>
      <c r="Q96" s="523">
        <f t="shared" ref="Q96:Q97" si="1">P96*$Q$94</f>
        <v>0.23100000000000007</v>
      </c>
    </row>
    <row r="97" spans="1:17" s="123" customFormat="1" ht="12.75" customHeight="1" x14ac:dyDescent="0.2">
      <c r="A97" s="118"/>
      <c r="B97" s="119"/>
      <c r="C97" s="396"/>
      <c r="D97" s="468" t="s">
        <v>124</v>
      </c>
      <c r="E97" s="372" t="s">
        <v>19</v>
      </c>
      <c r="F97" s="316"/>
      <c r="G97" s="317"/>
      <c r="H97" s="317"/>
      <c r="I97" s="317"/>
      <c r="J97" s="316"/>
      <c r="K97" s="317"/>
      <c r="L97" s="318"/>
      <c r="M97" s="318"/>
      <c r="N97" s="317"/>
      <c r="O97" s="317"/>
      <c r="P97" s="319">
        <f>[1]Anexo!D298</f>
        <v>1.481063924514211E-2</v>
      </c>
      <c r="Q97" s="523">
        <f t="shared" si="1"/>
        <v>9.2602040816326525</v>
      </c>
    </row>
    <row r="98" spans="1:17" s="123" customFormat="1" ht="12.75" customHeight="1" x14ac:dyDescent="0.2">
      <c r="A98" s="118"/>
      <c r="B98" s="119"/>
      <c r="C98" s="395" t="s">
        <v>162</v>
      </c>
      <c r="D98" s="429" t="s">
        <v>234</v>
      </c>
      <c r="E98" s="430" t="s">
        <v>21</v>
      </c>
      <c r="F98" s="533">
        <v>1</v>
      </c>
      <c r="G98" s="530">
        <f>6*10.7</f>
        <v>64.199999999999989</v>
      </c>
      <c r="H98" s="530"/>
      <c r="I98" s="530"/>
      <c r="J98" s="533">
        <v>1</v>
      </c>
      <c r="K98" s="433">
        <f>+PRODUCT(F98:J98)</f>
        <v>64.199999999999989</v>
      </c>
      <c r="L98" s="433"/>
      <c r="M98" s="438"/>
      <c r="N98" s="531"/>
      <c r="O98" s="531"/>
      <c r="P98" s="531"/>
      <c r="Q98" s="456">
        <f>+K98</f>
        <v>64.199999999999989</v>
      </c>
    </row>
    <row r="99" spans="1:17" s="123" customFormat="1" ht="12.75" customHeight="1" x14ac:dyDescent="0.2">
      <c r="A99" s="118"/>
      <c r="B99" s="119"/>
      <c r="C99" s="654"/>
      <c r="D99" s="392" t="s">
        <v>235</v>
      </c>
      <c r="E99" s="439" t="s">
        <v>21</v>
      </c>
      <c r="F99" s="529">
        <v>1</v>
      </c>
      <c r="G99" s="530">
        <v>1.05</v>
      </c>
      <c r="H99" s="530"/>
      <c r="I99" s="530"/>
      <c r="J99" s="529">
        <v>1</v>
      </c>
      <c r="K99" s="436">
        <f>F99*G99*1</f>
        <v>1.05</v>
      </c>
      <c r="L99" s="436"/>
      <c r="M99" s="436"/>
      <c r="N99" s="530"/>
      <c r="O99" s="530"/>
      <c r="P99" s="532">
        <f>K99</f>
        <v>1.05</v>
      </c>
      <c r="Q99" s="523">
        <f t="shared" ref="Q99:Q103" si="2">P99*$Q$98</f>
        <v>67.41</v>
      </c>
    </row>
    <row r="100" spans="1:17" s="123" customFormat="1" ht="12.75" customHeight="1" x14ac:dyDescent="0.2">
      <c r="A100" s="118"/>
      <c r="B100" s="119"/>
      <c r="C100" s="654"/>
      <c r="D100" s="468" t="s">
        <v>299</v>
      </c>
      <c r="E100" s="372" t="s">
        <v>18</v>
      </c>
      <c r="F100" s="316">
        <v>12</v>
      </c>
      <c r="G100" s="317">
        <v>0.42</v>
      </c>
      <c r="H100" s="317">
        <v>0.15</v>
      </c>
      <c r="I100" s="317"/>
      <c r="J100" s="316">
        <v>1</v>
      </c>
      <c r="K100" s="318"/>
      <c r="L100" s="318">
        <f>PRODUCT(F100:J100)*1.1</f>
        <v>0.83160000000000012</v>
      </c>
      <c r="M100" s="318"/>
      <c r="N100" s="317"/>
      <c r="O100" s="317"/>
      <c r="P100" s="319">
        <f>+SUM(L100)*$U$14/K98</f>
        <v>1.3600934579439257E-2</v>
      </c>
      <c r="Q100" s="523">
        <f t="shared" si="2"/>
        <v>0.87318000000000018</v>
      </c>
    </row>
    <row r="101" spans="1:17" s="123" customFormat="1" ht="12.75" customHeight="1" x14ac:dyDescent="0.2">
      <c r="A101" s="118"/>
      <c r="B101" s="119"/>
      <c r="C101" s="654"/>
      <c r="D101" s="468" t="s">
        <v>298</v>
      </c>
      <c r="E101" s="372" t="s">
        <v>18</v>
      </c>
      <c r="F101" s="316">
        <v>3</v>
      </c>
      <c r="G101" s="317">
        <v>0.4</v>
      </c>
      <c r="H101" s="317">
        <v>0.4</v>
      </c>
      <c r="I101" s="317"/>
      <c r="J101" s="316">
        <v>1</v>
      </c>
      <c r="K101" s="318"/>
      <c r="L101" s="318">
        <f>PRODUCT(F101:J101)*1.1</f>
        <v>0.52800000000000014</v>
      </c>
      <c r="M101" s="318"/>
      <c r="N101" s="317"/>
      <c r="O101" s="317"/>
      <c r="P101" s="319">
        <v>0.01</v>
      </c>
      <c r="Q101" s="523">
        <f t="shared" ref="Q101" si="3">P101*$Q$98</f>
        <v>0.6419999999999999</v>
      </c>
    </row>
    <row r="102" spans="1:17" s="123" customFormat="1" ht="12.75" customHeight="1" x14ac:dyDescent="0.2">
      <c r="A102" s="118"/>
      <c r="B102" s="119"/>
      <c r="C102" s="396"/>
      <c r="D102" s="509" t="s">
        <v>280</v>
      </c>
      <c r="E102" s="402" t="s">
        <v>22</v>
      </c>
      <c r="F102" s="518">
        <v>3</v>
      </c>
      <c r="G102" s="519"/>
      <c r="H102" s="519"/>
      <c r="I102" s="519"/>
      <c r="J102" s="518">
        <v>1</v>
      </c>
      <c r="K102" s="520"/>
      <c r="L102" s="520"/>
      <c r="M102" s="520"/>
      <c r="N102" s="519"/>
      <c r="O102" s="519">
        <f>+PRODUCT(F102:J102)*1.25</f>
        <v>3.75</v>
      </c>
      <c r="P102" s="521">
        <f>O102/K98</f>
        <v>5.8411214953271041E-2</v>
      </c>
      <c r="Q102" s="523">
        <f t="shared" si="2"/>
        <v>3.75</v>
      </c>
    </row>
    <row r="103" spans="1:17" s="123" customFormat="1" ht="12.75" customHeight="1" x14ac:dyDescent="0.2">
      <c r="A103" s="118"/>
      <c r="B103" s="119"/>
      <c r="C103" s="396"/>
      <c r="D103" s="509" t="s">
        <v>281</v>
      </c>
      <c r="E103" s="402" t="s">
        <v>22</v>
      </c>
      <c r="F103" s="518">
        <v>3</v>
      </c>
      <c r="G103" s="519"/>
      <c r="H103" s="519"/>
      <c r="I103" s="519"/>
      <c r="J103" s="518">
        <v>1</v>
      </c>
      <c r="K103" s="520"/>
      <c r="L103" s="520"/>
      <c r="M103" s="520"/>
      <c r="N103" s="519"/>
      <c r="O103" s="519">
        <f>+PRODUCT(F103:J103)*1.25</f>
        <v>3.75</v>
      </c>
      <c r="P103" s="521">
        <f>O103/K98</f>
        <v>5.8411214953271041E-2</v>
      </c>
      <c r="Q103" s="523">
        <f t="shared" si="2"/>
        <v>3.75</v>
      </c>
    </row>
    <row r="104" spans="1:17" s="123" customFormat="1" ht="12.75" customHeight="1" x14ac:dyDescent="0.2">
      <c r="A104" s="118"/>
      <c r="B104" s="119"/>
      <c r="C104" s="396"/>
      <c r="D104" s="468" t="s">
        <v>124</v>
      </c>
      <c r="E104" s="372" t="s">
        <v>19</v>
      </c>
      <c r="F104" s="316"/>
      <c r="G104" s="317"/>
      <c r="H104" s="317"/>
      <c r="I104" s="317"/>
      <c r="J104" s="316"/>
      <c r="K104" s="317"/>
      <c r="L104" s="318"/>
      <c r="M104" s="318"/>
      <c r="N104" s="317"/>
      <c r="O104" s="317"/>
      <c r="P104" s="319">
        <f>Anexo!D344</f>
        <v>2.1111481975967961E-2</v>
      </c>
      <c r="Q104" s="523">
        <f>P104*$Q$98</f>
        <v>1.3553571428571429</v>
      </c>
    </row>
    <row r="105" spans="1:17" s="123" customFormat="1" ht="12.75" customHeight="1" x14ac:dyDescent="0.2">
      <c r="A105" s="118"/>
      <c r="B105" s="119"/>
      <c r="C105" s="437" t="s">
        <v>163</v>
      </c>
      <c r="D105" s="384" t="s">
        <v>165</v>
      </c>
      <c r="E105" s="156" t="s">
        <v>21</v>
      </c>
      <c r="F105" s="320">
        <v>2</v>
      </c>
      <c r="G105" s="317">
        <v>28.42</v>
      </c>
      <c r="H105" s="317"/>
      <c r="I105" s="317"/>
      <c r="J105" s="320">
        <v>1</v>
      </c>
      <c r="K105" s="319"/>
      <c r="L105" s="321"/>
      <c r="M105" s="321">
        <f>PRODUCT(F105:J105)</f>
        <v>56.84</v>
      </c>
      <c r="N105" s="319"/>
      <c r="O105" s="319"/>
      <c r="P105" s="319"/>
      <c r="Q105" s="321">
        <f>M105</f>
        <v>56.84</v>
      </c>
    </row>
    <row r="106" spans="1:17" s="123" customFormat="1" ht="12.75" customHeight="1" x14ac:dyDescent="0.2">
      <c r="A106" s="118"/>
      <c r="B106" s="119"/>
      <c r="C106" s="467"/>
      <c r="D106" s="392" t="s">
        <v>166</v>
      </c>
      <c r="E106" s="372" t="s">
        <v>18</v>
      </c>
      <c r="F106" s="316">
        <v>1</v>
      </c>
      <c r="G106" s="317">
        <v>1.05</v>
      </c>
      <c r="H106" s="317">
        <f>0.58</f>
        <v>0.57999999999999996</v>
      </c>
      <c r="I106" s="317"/>
      <c r="J106" s="316">
        <v>1</v>
      </c>
      <c r="K106" s="317"/>
      <c r="L106" s="318">
        <f>+PRODUCT(F106:J106)</f>
        <v>0.60899999999999999</v>
      </c>
      <c r="M106" s="318"/>
      <c r="N106" s="317"/>
      <c r="O106" s="317"/>
      <c r="P106" s="319">
        <f>+SUM(L106*$U$14)</f>
        <v>0.63944999999999996</v>
      </c>
      <c r="Q106" s="478">
        <f>P106*$Q$105</f>
        <v>36.346338000000003</v>
      </c>
    </row>
    <row r="107" spans="1:17" s="123" customFormat="1" ht="12.75" customHeight="1" x14ac:dyDescent="0.2">
      <c r="A107" s="118"/>
      <c r="B107" s="119"/>
      <c r="C107" s="467"/>
      <c r="D107" s="392" t="s">
        <v>167</v>
      </c>
      <c r="E107" s="372" t="s">
        <v>21</v>
      </c>
      <c r="F107" s="316">
        <v>21</v>
      </c>
      <c r="G107" s="317">
        <v>0.8</v>
      </c>
      <c r="H107" s="317"/>
      <c r="I107" s="317"/>
      <c r="J107" s="316">
        <v>1</v>
      </c>
      <c r="K107" s="318">
        <f>+PRODUCT(F107:J107)</f>
        <v>16.8</v>
      </c>
      <c r="L107" s="318"/>
      <c r="M107" s="318">
        <f>+L107</f>
        <v>0</v>
      </c>
      <c r="N107" s="317"/>
      <c r="O107" s="317"/>
      <c r="P107" s="319">
        <f>+SUM(K107)*$U$14/M105</f>
        <v>0.31034482758620691</v>
      </c>
      <c r="Q107" s="478">
        <f t="shared" ref="Q107:Q109" si="4">P107*$Q$105</f>
        <v>17.64</v>
      </c>
    </row>
    <row r="108" spans="1:17" s="123" customFormat="1" ht="12.75" customHeight="1" x14ac:dyDescent="0.2">
      <c r="A108" s="118"/>
      <c r="B108" s="119"/>
      <c r="C108" s="467"/>
      <c r="D108" s="468" t="s">
        <v>168</v>
      </c>
      <c r="E108" s="372" t="s">
        <v>22</v>
      </c>
      <c r="F108" s="316">
        <v>2</v>
      </c>
      <c r="G108" s="317"/>
      <c r="H108" s="317"/>
      <c r="I108" s="317"/>
      <c r="J108" s="316">
        <v>1</v>
      </c>
      <c r="K108" s="317"/>
      <c r="L108" s="318"/>
      <c r="M108" s="318"/>
      <c r="N108" s="317"/>
      <c r="O108" s="317"/>
      <c r="P108" s="319">
        <f>+F108/M105</f>
        <v>3.5186488388458829E-2</v>
      </c>
      <c r="Q108" s="478">
        <f t="shared" si="4"/>
        <v>2</v>
      </c>
    </row>
    <row r="109" spans="1:17" s="123" customFormat="1" ht="12.75" customHeight="1" x14ac:dyDescent="0.2">
      <c r="A109" s="118"/>
      <c r="B109" s="119"/>
      <c r="C109" s="467"/>
      <c r="D109" s="468" t="s">
        <v>228</v>
      </c>
      <c r="E109" s="372" t="s">
        <v>164</v>
      </c>
      <c r="F109" s="316">
        <v>2</v>
      </c>
      <c r="G109" s="317"/>
      <c r="H109" s="317"/>
      <c r="I109" s="317"/>
      <c r="J109" s="316">
        <v>1</v>
      </c>
      <c r="K109" s="317"/>
      <c r="L109" s="318"/>
      <c r="M109" s="318"/>
      <c r="N109" s="317"/>
      <c r="O109" s="317"/>
      <c r="P109" s="319">
        <f>+F109/M105</f>
        <v>3.5186488388458829E-2</v>
      </c>
      <c r="Q109" s="478">
        <f t="shared" si="4"/>
        <v>2</v>
      </c>
    </row>
    <row r="110" spans="1:17" s="123" customFormat="1" ht="12.6" customHeight="1" x14ac:dyDescent="0.2">
      <c r="A110" s="118"/>
      <c r="B110" s="119"/>
      <c r="C110" s="394" t="s">
        <v>139</v>
      </c>
      <c r="D110" s="383" t="s">
        <v>96</v>
      </c>
      <c r="E110" s="140"/>
      <c r="F110" s="137"/>
      <c r="G110" s="138"/>
      <c r="H110" s="138"/>
      <c r="I110" s="138"/>
      <c r="J110" s="137"/>
      <c r="K110" s="138"/>
      <c r="L110" s="139"/>
      <c r="M110" s="139"/>
      <c r="N110" s="138"/>
      <c r="O110" s="138"/>
      <c r="P110" s="141"/>
      <c r="Q110" s="138"/>
    </row>
    <row r="111" spans="1:17" s="123" customFormat="1" ht="13.9" customHeight="1" x14ac:dyDescent="0.2">
      <c r="A111" s="118"/>
      <c r="B111" s="119"/>
      <c r="C111" s="398" t="s">
        <v>140</v>
      </c>
      <c r="D111" s="386" t="s">
        <v>103</v>
      </c>
      <c r="E111" s="127" t="str">
        <f>+E38</f>
        <v>und</v>
      </c>
      <c r="F111" s="128">
        <f>+F38</f>
        <v>8</v>
      </c>
      <c r="G111" s="138"/>
      <c r="H111" s="138"/>
      <c r="I111" s="138"/>
      <c r="J111" s="137"/>
      <c r="K111" s="138"/>
      <c r="L111" s="139"/>
      <c r="M111" s="139"/>
      <c r="N111" s="138"/>
      <c r="O111" s="138"/>
      <c r="P111" s="141"/>
      <c r="Q111" s="129">
        <f t="shared" ref="Q111:Q113" si="5">PRODUCT(F111:J111)</f>
        <v>8</v>
      </c>
    </row>
    <row r="112" spans="1:17" s="123" customFormat="1" ht="25.5" x14ac:dyDescent="0.2">
      <c r="A112" s="118"/>
      <c r="B112" s="119"/>
      <c r="C112" s="398" t="s">
        <v>152</v>
      </c>
      <c r="D112" s="391" t="s">
        <v>286</v>
      </c>
      <c r="E112" s="115" t="str">
        <f>+E44</f>
        <v>und</v>
      </c>
      <c r="F112" s="135">
        <f>+F44</f>
        <v>4</v>
      </c>
      <c r="G112" s="150"/>
      <c r="H112" s="150"/>
      <c r="I112" s="150"/>
      <c r="J112" s="128"/>
      <c r="K112" s="112"/>
      <c r="L112" s="129"/>
      <c r="M112" s="130"/>
      <c r="N112" s="112"/>
      <c r="O112" s="112"/>
      <c r="P112" s="112"/>
      <c r="Q112" s="129">
        <f t="shared" si="5"/>
        <v>4</v>
      </c>
    </row>
    <row r="113" spans="1:17" s="123" customFormat="1" ht="25.5" x14ac:dyDescent="0.2">
      <c r="A113" s="118"/>
      <c r="B113" s="119"/>
      <c r="C113" s="398" t="s">
        <v>188</v>
      </c>
      <c r="D113" s="391" t="s">
        <v>287</v>
      </c>
      <c r="E113" s="115" t="str">
        <f>E56</f>
        <v>und</v>
      </c>
      <c r="F113" s="501">
        <f>F56</f>
        <v>4</v>
      </c>
      <c r="G113" s="150"/>
      <c r="H113" s="150"/>
      <c r="I113" s="150"/>
      <c r="J113" s="128"/>
      <c r="K113" s="112"/>
      <c r="L113" s="129"/>
      <c r="M113" s="130"/>
      <c r="N113" s="112"/>
      <c r="O113" s="112"/>
      <c r="P113" s="112"/>
      <c r="Q113" s="129">
        <f t="shared" si="5"/>
        <v>4</v>
      </c>
    </row>
    <row r="114" spans="1:17" s="123" customFormat="1" ht="12.6" customHeight="1" x14ac:dyDescent="0.2">
      <c r="A114" s="118"/>
      <c r="B114" s="119"/>
      <c r="C114" s="398" t="s">
        <v>189</v>
      </c>
      <c r="D114" s="390" t="s">
        <v>184</v>
      </c>
      <c r="E114" s="115" t="str">
        <f>+E68</f>
        <v>und</v>
      </c>
      <c r="F114" s="501">
        <f>+F68</f>
        <v>7</v>
      </c>
      <c r="G114" s="150"/>
      <c r="H114" s="150"/>
      <c r="I114" s="150"/>
      <c r="J114" s="128"/>
      <c r="K114" s="112"/>
      <c r="L114" s="129"/>
      <c r="M114" s="130"/>
      <c r="N114" s="112"/>
      <c r="O114" s="112"/>
      <c r="P114" s="112"/>
      <c r="Q114" s="129">
        <f t="shared" ref="Q114" si="6">PRODUCT(F114:J114)</f>
        <v>7</v>
      </c>
    </row>
    <row r="115" spans="1:17" s="123" customFormat="1" ht="12.75" x14ac:dyDescent="0.2">
      <c r="A115" s="118"/>
      <c r="B115" s="119"/>
      <c r="C115" s="398" t="s">
        <v>190</v>
      </c>
      <c r="D115" s="563" t="s">
        <v>288</v>
      </c>
      <c r="E115" s="115" t="str">
        <f>E82</f>
        <v>und</v>
      </c>
      <c r="F115" s="501">
        <f>F82</f>
        <v>2</v>
      </c>
      <c r="G115" s="150"/>
      <c r="H115" s="150"/>
      <c r="I115" s="150"/>
      <c r="J115" s="128"/>
      <c r="K115" s="112"/>
      <c r="L115" s="129"/>
      <c r="M115" s="130"/>
      <c r="N115" s="112"/>
      <c r="O115" s="112"/>
      <c r="P115" s="112"/>
      <c r="Q115" s="129">
        <f t="shared" ref="Q115" si="7">PRODUCT(F115:J115)</f>
        <v>2</v>
      </c>
    </row>
    <row r="116" spans="1:17" s="442" customFormat="1" ht="12.6" customHeight="1" x14ac:dyDescent="0.2">
      <c r="A116" s="440"/>
      <c r="B116" s="441"/>
      <c r="C116" s="398" t="s">
        <v>191</v>
      </c>
      <c r="D116" s="429" t="s">
        <v>292</v>
      </c>
      <c r="E116" s="430" t="str">
        <f>E91</f>
        <v>und</v>
      </c>
      <c r="F116" s="502">
        <f>F91</f>
        <v>12</v>
      </c>
      <c r="G116" s="443"/>
      <c r="H116" s="443"/>
      <c r="I116" s="443"/>
      <c r="J116" s="444"/>
      <c r="K116" s="445"/>
      <c r="L116" s="446"/>
      <c r="M116" s="447"/>
      <c r="N116" s="445"/>
      <c r="O116" s="445"/>
      <c r="P116" s="445"/>
      <c r="Q116" s="446">
        <f t="shared" ref="Q116" si="8">PRODUCT(F116:J116)</f>
        <v>12</v>
      </c>
    </row>
    <row r="117" spans="1:17" s="123" customFormat="1" ht="12.75" x14ac:dyDescent="0.2">
      <c r="A117" s="118"/>
      <c r="B117" s="119"/>
      <c r="C117" s="398" t="s">
        <v>192</v>
      </c>
      <c r="D117" s="390" t="s">
        <v>185</v>
      </c>
      <c r="E117" s="115" t="str">
        <f>+E94</f>
        <v>m</v>
      </c>
      <c r="F117" s="501">
        <f>+F94</f>
        <v>22</v>
      </c>
      <c r="G117" s="121"/>
      <c r="H117" s="121"/>
      <c r="I117" s="121"/>
      <c r="J117" s="135"/>
      <c r="K117" s="132"/>
      <c r="L117" s="116"/>
      <c r="M117" s="136"/>
      <c r="N117" s="132"/>
      <c r="O117" s="132"/>
      <c r="P117" s="132"/>
      <c r="Q117" s="116">
        <f>Q94</f>
        <v>625.24</v>
      </c>
    </row>
    <row r="118" spans="1:17" s="123" customFormat="1" ht="12.75" x14ac:dyDescent="0.2">
      <c r="A118" s="118"/>
      <c r="B118" s="119"/>
      <c r="C118" s="398" t="s">
        <v>193</v>
      </c>
      <c r="D118" s="390" t="s">
        <v>237</v>
      </c>
      <c r="E118" s="115" t="str">
        <f>E98</f>
        <v>m</v>
      </c>
      <c r="F118" s="114">
        <f>F98</f>
        <v>1</v>
      </c>
      <c r="G118" s="115"/>
      <c r="H118" s="115"/>
      <c r="I118" s="115"/>
      <c r="J118" s="115"/>
      <c r="K118" s="132"/>
      <c r="L118" s="116"/>
      <c r="M118" s="136"/>
      <c r="N118" s="132"/>
      <c r="O118" s="132"/>
      <c r="P118" s="132"/>
      <c r="Q118" s="116">
        <f>Q98</f>
        <v>64.199999999999989</v>
      </c>
    </row>
    <row r="119" spans="1:17" s="123" customFormat="1" ht="12.75" x14ac:dyDescent="0.2">
      <c r="A119" s="118"/>
      <c r="B119" s="119"/>
      <c r="C119" s="398" t="s">
        <v>236</v>
      </c>
      <c r="D119" s="391" t="s">
        <v>169</v>
      </c>
      <c r="E119" s="115" t="str">
        <f>E105</f>
        <v>m</v>
      </c>
      <c r="F119" s="501">
        <f>F105</f>
        <v>2</v>
      </c>
      <c r="G119" s="121"/>
      <c r="H119" s="121"/>
      <c r="I119" s="121"/>
      <c r="J119" s="135"/>
      <c r="K119" s="132"/>
      <c r="L119" s="116"/>
      <c r="M119" s="667"/>
      <c r="N119" s="132"/>
      <c r="O119" s="132"/>
      <c r="P119" s="132"/>
      <c r="Q119" s="116">
        <f>Q105</f>
        <v>56.84</v>
      </c>
    </row>
    <row r="120" spans="1:17" s="123" customFormat="1" ht="12.75" x14ac:dyDescent="0.2">
      <c r="A120" s="118"/>
      <c r="B120" s="119"/>
      <c r="C120" s="394" t="s">
        <v>153</v>
      </c>
      <c r="D120" s="383" t="s">
        <v>85</v>
      </c>
      <c r="E120" s="324"/>
      <c r="F120" s="668"/>
      <c r="G120" s="669"/>
      <c r="H120" s="669"/>
      <c r="I120" s="669"/>
      <c r="J120" s="670"/>
      <c r="K120" s="671"/>
      <c r="L120" s="671"/>
      <c r="M120" s="671"/>
      <c r="N120" s="671"/>
      <c r="O120" s="671"/>
      <c r="P120" s="671"/>
      <c r="Q120" s="672"/>
    </row>
    <row r="121" spans="1:17" s="123" customFormat="1" ht="12.75" x14ac:dyDescent="0.2">
      <c r="A121" s="118"/>
      <c r="B121" s="119"/>
      <c r="C121" s="399" t="s">
        <v>154</v>
      </c>
      <c r="D121" s="384" t="s">
        <v>86</v>
      </c>
      <c r="E121" s="156" t="s">
        <v>135</v>
      </c>
      <c r="F121" s="322">
        <v>1</v>
      </c>
      <c r="G121" s="323"/>
      <c r="H121" s="323"/>
      <c r="I121" s="323"/>
      <c r="J121" s="320"/>
      <c r="K121" s="319"/>
      <c r="L121" s="319"/>
      <c r="M121" s="319"/>
      <c r="N121" s="319"/>
      <c r="O121" s="319"/>
      <c r="P121" s="319"/>
      <c r="Q121" s="321">
        <f>PRODUCT(F121:J121)</f>
        <v>1</v>
      </c>
    </row>
    <row r="122" spans="1:17" s="123" customFormat="1" ht="12.75" x14ac:dyDescent="0.2">
      <c r="A122" s="118"/>
      <c r="B122" s="119"/>
      <c r="C122" s="394" t="s">
        <v>171</v>
      </c>
      <c r="D122" s="383" t="s">
        <v>170</v>
      </c>
      <c r="E122" s="115"/>
      <c r="F122" s="135"/>
      <c r="G122" s="121"/>
      <c r="H122" s="121"/>
      <c r="I122" s="121"/>
      <c r="J122" s="135"/>
      <c r="K122" s="132"/>
      <c r="L122" s="116"/>
      <c r="M122" s="136"/>
      <c r="N122" s="132"/>
      <c r="O122" s="132"/>
      <c r="P122" s="132"/>
      <c r="Q122" s="116"/>
    </row>
    <row r="123" spans="1:17" s="123" customFormat="1" ht="25.5" x14ac:dyDescent="0.2">
      <c r="A123" s="118"/>
      <c r="B123" s="119"/>
      <c r="C123" s="399" t="s">
        <v>172</v>
      </c>
      <c r="D123" s="563" t="s">
        <v>289</v>
      </c>
      <c r="E123" s="115" t="str">
        <f>E44</f>
        <v>und</v>
      </c>
      <c r="F123" s="135">
        <f>F44</f>
        <v>4</v>
      </c>
      <c r="G123" s="121"/>
      <c r="H123" s="121"/>
      <c r="I123" s="121"/>
      <c r="J123" s="135"/>
      <c r="K123" s="132"/>
      <c r="L123" s="116"/>
      <c r="M123" s="136"/>
      <c r="N123" s="132"/>
      <c r="O123" s="132"/>
      <c r="P123" s="132"/>
      <c r="Q123" s="116">
        <f>F123</f>
        <v>4</v>
      </c>
    </row>
    <row r="124" spans="1:17" s="123" customFormat="1" ht="12.75" x14ac:dyDescent="0.2">
      <c r="A124" s="118"/>
      <c r="B124" s="119"/>
      <c r="C124" s="654"/>
      <c r="D124" s="389" t="s">
        <v>38</v>
      </c>
      <c r="E124" s="131" t="s">
        <v>37</v>
      </c>
      <c r="F124" s="135"/>
      <c r="G124" s="121"/>
      <c r="H124" s="121"/>
      <c r="I124" s="121"/>
      <c r="J124" s="135"/>
      <c r="K124" s="132"/>
      <c r="L124" s="116"/>
      <c r="M124" s="136"/>
      <c r="N124" s="132"/>
      <c r="O124" s="132"/>
      <c r="P124" s="132">
        <f>Anexo!D55</f>
        <v>0.35768848482133331</v>
      </c>
      <c r="Q124" s="477">
        <f>P124*$Q$123</f>
        <v>1.4307539392853332</v>
      </c>
    </row>
    <row r="125" spans="1:17" s="123" customFormat="1" ht="12.75" x14ac:dyDescent="0.2">
      <c r="A125" s="118"/>
      <c r="B125" s="119"/>
      <c r="C125" s="654"/>
      <c r="D125" s="389" t="s">
        <v>39</v>
      </c>
      <c r="E125" s="131" t="s">
        <v>37</v>
      </c>
      <c r="F125" s="135"/>
      <c r="G125" s="121"/>
      <c r="H125" s="121"/>
      <c r="I125" s="121"/>
      <c r="J125" s="135"/>
      <c r="K125" s="132"/>
      <c r="L125" s="116"/>
      <c r="M125" s="136"/>
      <c r="N125" s="132"/>
      <c r="O125" s="132"/>
      <c r="P125" s="132">
        <f>Anexo!D56</f>
        <v>0.46077517648457139</v>
      </c>
      <c r="Q125" s="477">
        <f t="shared" ref="Q125:Q126" si="9">P125*$Q$123</f>
        <v>1.8431007059382856</v>
      </c>
    </row>
    <row r="126" spans="1:17" s="123" customFormat="1" ht="12.75" x14ac:dyDescent="0.2">
      <c r="A126" s="118"/>
      <c r="B126" s="119"/>
      <c r="C126" s="654"/>
      <c r="D126" s="389" t="s">
        <v>40</v>
      </c>
      <c r="E126" s="131" t="s">
        <v>37</v>
      </c>
      <c r="F126" s="135"/>
      <c r="G126" s="121"/>
      <c r="H126" s="121"/>
      <c r="I126" s="121"/>
      <c r="J126" s="135"/>
      <c r="K126" s="132"/>
      <c r="L126" s="116"/>
      <c r="M126" s="136"/>
      <c r="N126" s="132"/>
      <c r="O126" s="132"/>
      <c r="P126" s="132">
        <f>Anexo!D57</f>
        <v>0.20461591532647616</v>
      </c>
      <c r="Q126" s="477">
        <f t="shared" si="9"/>
        <v>0.81846366130590464</v>
      </c>
    </row>
    <row r="127" spans="1:17" s="123" customFormat="1" ht="25.5" x14ac:dyDescent="0.2">
      <c r="A127" s="118"/>
      <c r="B127" s="119"/>
      <c r="C127" s="399" t="s">
        <v>173</v>
      </c>
      <c r="D127" s="391" t="s">
        <v>290</v>
      </c>
      <c r="E127" s="115" t="str">
        <f>E56</f>
        <v>und</v>
      </c>
      <c r="F127" s="135">
        <f>F56</f>
        <v>4</v>
      </c>
      <c r="G127" s="121"/>
      <c r="H127" s="121"/>
      <c r="I127" s="121"/>
      <c r="J127" s="135"/>
      <c r="K127" s="132"/>
      <c r="L127" s="116"/>
      <c r="M127" s="136"/>
      <c r="N127" s="132"/>
      <c r="O127" s="132"/>
      <c r="P127" s="132"/>
      <c r="Q127" s="116">
        <f>F127</f>
        <v>4</v>
      </c>
    </row>
    <row r="128" spans="1:17" s="123" customFormat="1" ht="12.75" x14ac:dyDescent="0.2">
      <c r="A128" s="118"/>
      <c r="B128" s="119"/>
      <c r="C128" s="654"/>
      <c r="D128" s="389" t="s">
        <v>38</v>
      </c>
      <c r="E128" s="131" t="s">
        <v>37</v>
      </c>
      <c r="F128" s="135"/>
      <c r="G128" s="121"/>
      <c r="H128" s="121"/>
      <c r="I128" s="121"/>
      <c r="J128" s="135"/>
      <c r="K128" s="132"/>
      <c r="L128" s="116"/>
      <c r="M128" s="136"/>
      <c r="N128" s="132"/>
      <c r="O128" s="132"/>
      <c r="P128" s="132">
        <f>Anexo!D111</f>
        <v>0.22637820642133336</v>
      </c>
      <c r="Q128" s="477">
        <f>P128*$Q$127</f>
        <v>0.90551282568533342</v>
      </c>
    </row>
    <row r="129" spans="1:17" s="123" customFormat="1" ht="12.75" x14ac:dyDescent="0.2">
      <c r="A129" s="118"/>
      <c r="B129" s="119"/>
      <c r="C129" s="654"/>
      <c r="D129" s="389" t="s">
        <v>39</v>
      </c>
      <c r="E129" s="131" t="s">
        <v>37</v>
      </c>
      <c r="F129" s="135"/>
      <c r="G129" s="121"/>
      <c r="H129" s="121"/>
      <c r="I129" s="121"/>
      <c r="J129" s="135"/>
      <c r="K129" s="132"/>
      <c r="L129" s="116"/>
      <c r="M129" s="136"/>
      <c r="N129" s="132"/>
      <c r="O129" s="132"/>
      <c r="P129" s="132">
        <f>Anexo!D112</f>
        <v>0.29194767568457147</v>
      </c>
      <c r="Q129" s="477">
        <f t="shared" ref="Q129:Q130" si="10">P129*$Q$127</f>
        <v>1.1677907027382859</v>
      </c>
    </row>
    <row r="130" spans="1:17" s="123" customFormat="1" ht="12.75" x14ac:dyDescent="0.2">
      <c r="A130" s="118"/>
      <c r="B130" s="119"/>
      <c r="C130" s="654"/>
      <c r="D130" s="389" t="s">
        <v>40</v>
      </c>
      <c r="E130" s="131" t="s">
        <v>37</v>
      </c>
      <c r="F130" s="135"/>
      <c r="G130" s="121"/>
      <c r="H130" s="121"/>
      <c r="I130" s="121"/>
      <c r="J130" s="135"/>
      <c r="K130" s="132"/>
      <c r="L130" s="116"/>
      <c r="M130" s="136"/>
      <c r="N130" s="132"/>
      <c r="O130" s="132"/>
      <c r="P130" s="132">
        <f>Anexo!D113</f>
        <v>0.1295814705264762</v>
      </c>
      <c r="Q130" s="477">
        <f t="shared" si="10"/>
        <v>0.5183258821059048</v>
      </c>
    </row>
    <row r="131" spans="1:17" s="123" customFormat="1" ht="12.75" x14ac:dyDescent="0.2">
      <c r="A131" s="118"/>
      <c r="B131" s="119"/>
      <c r="C131" s="399" t="s">
        <v>194</v>
      </c>
      <c r="D131" s="390" t="s">
        <v>186</v>
      </c>
      <c r="E131" s="115" t="str">
        <f>E68</f>
        <v>und</v>
      </c>
      <c r="F131" s="115">
        <f>F68</f>
        <v>7</v>
      </c>
      <c r="G131" s="121"/>
      <c r="H131" s="121"/>
      <c r="I131" s="121"/>
      <c r="J131" s="135"/>
      <c r="K131" s="132"/>
      <c r="L131" s="116"/>
      <c r="M131" s="136"/>
      <c r="N131" s="132"/>
      <c r="O131" s="132"/>
      <c r="P131" s="132"/>
      <c r="Q131" s="116">
        <f>F131</f>
        <v>7</v>
      </c>
    </row>
    <row r="132" spans="1:17" s="123" customFormat="1" ht="12.75" x14ac:dyDescent="0.2">
      <c r="A132" s="118"/>
      <c r="B132" s="119"/>
      <c r="C132" s="654"/>
      <c r="D132" s="389" t="s">
        <v>38</v>
      </c>
      <c r="E132" s="131" t="s">
        <v>37</v>
      </c>
      <c r="F132" s="135"/>
      <c r="G132" s="121"/>
      <c r="H132" s="121"/>
      <c r="I132" s="121"/>
      <c r="J132" s="135"/>
      <c r="K132" s="132"/>
      <c r="L132" s="116"/>
      <c r="M132" s="136"/>
      <c r="N132" s="132"/>
      <c r="O132" s="132"/>
      <c r="P132" s="132">
        <f>Anexo!D172</f>
        <v>2.7365002666666673</v>
      </c>
      <c r="Q132" s="477">
        <f>P132*$Q$131</f>
        <v>19.155501866666672</v>
      </c>
    </row>
    <row r="133" spans="1:17" s="123" customFormat="1" ht="12.75" x14ac:dyDescent="0.2">
      <c r="A133" s="118"/>
      <c r="B133" s="119"/>
      <c r="C133" s="399"/>
      <c r="D133" s="389" t="s">
        <v>39</v>
      </c>
      <c r="E133" s="131" t="s">
        <v>37</v>
      </c>
      <c r="F133" s="135"/>
      <c r="G133" s="121"/>
      <c r="H133" s="121"/>
      <c r="I133" s="121"/>
      <c r="J133" s="135"/>
      <c r="K133" s="132"/>
      <c r="L133" s="116"/>
      <c r="M133" s="136"/>
      <c r="N133" s="132"/>
      <c r="O133" s="132"/>
      <c r="P133" s="132">
        <f>Anexo!D173</f>
        <v>3.5183574857142861</v>
      </c>
      <c r="Q133" s="477">
        <f t="shared" ref="Q133:Q134" si="11">P133*$Q$131</f>
        <v>24.628502400000002</v>
      </c>
    </row>
    <row r="134" spans="1:17" s="123" customFormat="1" ht="12.75" x14ac:dyDescent="0.2">
      <c r="A134" s="118"/>
      <c r="B134" s="119"/>
      <c r="C134" s="399"/>
      <c r="D134" s="389" t="s">
        <v>40</v>
      </c>
      <c r="E134" s="131" t="s">
        <v>37</v>
      </c>
      <c r="F134" s="135"/>
      <c r="G134" s="121"/>
      <c r="H134" s="121"/>
      <c r="I134" s="121"/>
      <c r="J134" s="135"/>
      <c r="K134" s="132"/>
      <c r="L134" s="116"/>
      <c r="M134" s="136"/>
      <c r="N134" s="132"/>
      <c r="O134" s="132"/>
      <c r="P134" s="132">
        <f>Anexo!D174</f>
        <v>1.5637144380952384</v>
      </c>
      <c r="Q134" s="477">
        <f t="shared" si="11"/>
        <v>10.946001066666668</v>
      </c>
    </row>
    <row r="135" spans="1:17" s="123" customFormat="1" ht="12.75" x14ac:dyDescent="0.2">
      <c r="A135" s="118"/>
      <c r="B135" s="119"/>
      <c r="C135" s="399" t="s">
        <v>195</v>
      </c>
      <c r="D135" s="384" t="s">
        <v>291</v>
      </c>
      <c r="E135" s="115" t="str">
        <f>E82</f>
        <v>und</v>
      </c>
      <c r="F135" s="115">
        <f>F82</f>
        <v>2</v>
      </c>
      <c r="G135" s="121"/>
      <c r="H135" s="121"/>
      <c r="I135" s="121"/>
      <c r="J135" s="135"/>
      <c r="K135" s="132"/>
      <c r="L135" s="116"/>
      <c r="M135" s="136"/>
      <c r="N135" s="132"/>
      <c r="O135" s="132"/>
      <c r="P135" s="132"/>
      <c r="Q135" s="116">
        <f>F135</f>
        <v>2</v>
      </c>
    </row>
    <row r="136" spans="1:17" s="123" customFormat="1" ht="12.75" x14ac:dyDescent="0.2">
      <c r="A136" s="118"/>
      <c r="B136" s="119"/>
      <c r="C136" s="654"/>
      <c r="D136" s="389" t="s">
        <v>38</v>
      </c>
      <c r="E136" s="131" t="s">
        <v>37</v>
      </c>
      <c r="F136" s="135"/>
      <c r="G136" s="121"/>
      <c r="H136" s="121"/>
      <c r="I136" s="121"/>
      <c r="J136" s="135"/>
      <c r="K136" s="132"/>
      <c r="L136" s="116"/>
      <c r="M136" s="136"/>
      <c r="N136" s="132"/>
      <c r="O136" s="132"/>
      <c r="P136" s="132">
        <f>Anexo!D216</f>
        <v>3.5087360000000003</v>
      </c>
      <c r="Q136" s="477">
        <f>P136*$Q$135</f>
        <v>7.0174720000000006</v>
      </c>
    </row>
    <row r="137" spans="1:17" s="123" customFormat="1" ht="12.75" x14ac:dyDescent="0.2">
      <c r="A137" s="118"/>
      <c r="B137" s="119"/>
      <c r="C137" s="399"/>
      <c r="D137" s="389" t="s">
        <v>39</v>
      </c>
      <c r="E137" s="131" t="s">
        <v>37</v>
      </c>
      <c r="F137" s="135"/>
      <c r="G137" s="121"/>
      <c r="H137" s="121"/>
      <c r="I137" s="121"/>
      <c r="J137" s="135"/>
      <c r="K137" s="132"/>
      <c r="L137" s="116"/>
      <c r="M137" s="136"/>
      <c r="N137" s="132"/>
      <c r="O137" s="132"/>
      <c r="P137" s="132">
        <f>Anexo!D217</f>
        <v>4.5112320000000006</v>
      </c>
      <c r="Q137" s="477">
        <f t="shared" ref="Q137:Q138" si="12">P137*$Q$135</f>
        <v>9.0224640000000011</v>
      </c>
    </row>
    <row r="138" spans="1:17" s="123" customFormat="1" ht="12.75" x14ac:dyDescent="0.2">
      <c r="A138" s="118"/>
      <c r="B138" s="119"/>
      <c r="C138" s="399"/>
      <c r="D138" s="389" t="s">
        <v>40</v>
      </c>
      <c r="E138" s="131" t="s">
        <v>37</v>
      </c>
      <c r="F138" s="135"/>
      <c r="G138" s="121"/>
      <c r="H138" s="121"/>
      <c r="I138" s="121"/>
      <c r="J138" s="135"/>
      <c r="K138" s="132"/>
      <c r="L138" s="116"/>
      <c r="M138" s="136"/>
      <c r="N138" s="132"/>
      <c r="O138" s="132"/>
      <c r="P138" s="132">
        <f>Anexo!D218</f>
        <v>2.0049920000000001</v>
      </c>
      <c r="Q138" s="477">
        <f t="shared" si="12"/>
        <v>4.0099840000000002</v>
      </c>
    </row>
    <row r="139" spans="1:17" s="123" customFormat="1" ht="12.75" x14ac:dyDescent="0.2">
      <c r="A139" s="118"/>
      <c r="B139" s="119"/>
      <c r="C139" s="399" t="s">
        <v>196</v>
      </c>
      <c r="D139" s="384" t="s">
        <v>293</v>
      </c>
      <c r="E139" s="115" t="str">
        <f>E91</f>
        <v>und</v>
      </c>
      <c r="F139" s="380">
        <f>F91</f>
        <v>12</v>
      </c>
      <c r="G139" s="121"/>
      <c r="H139" s="121"/>
      <c r="I139" s="121"/>
      <c r="J139" s="135"/>
      <c r="K139" s="132"/>
      <c r="L139" s="116"/>
      <c r="M139" s="136"/>
      <c r="N139" s="132"/>
      <c r="O139" s="132"/>
      <c r="P139" s="132"/>
      <c r="Q139" s="116">
        <f>F139</f>
        <v>12</v>
      </c>
    </row>
    <row r="140" spans="1:17" s="123" customFormat="1" ht="12.75" x14ac:dyDescent="0.2">
      <c r="A140" s="118"/>
      <c r="B140" s="119"/>
      <c r="C140" s="654"/>
      <c r="D140" s="389" t="s">
        <v>38</v>
      </c>
      <c r="E140" s="131" t="s">
        <v>37</v>
      </c>
      <c r="F140" s="135"/>
      <c r="G140" s="121"/>
      <c r="H140" s="121"/>
      <c r="I140" s="121"/>
      <c r="J140" s="135"/>
      <c r="K140" s="132"/>
      <c r="L140" s="116"/>
      <c r="M140" s="136"/>
      <c r="N140" s="132"/>
      <c r="O140" s="132"/>
      <c r="P140" s="132">
        <f>Anexo!D257</f>
        <v>0.22668800000000006</v>
      </c>
      <c r="Q140" s="477">
        <f>P140*$Q$139</f>
        <v>2.7202560000000009</v>
      </c>
    </row>
    <row r="141" spans="1:17" s="123" customFormat="1" ht="12.75" x14ac:dyDescent="0.2">
      <c r="A141" s="118"/>
      <c r="B141" s="119"/>
      <c r="C141" s="399"/>
      <c r="D141" s="389" t="s">
        <v>39</v>
      </c>
      <c r="E141" s="131" t="s">
        <v>37</v>
      </c>
      <c r="F141" s="135"/>
      <c r="G141" s="121"/>
      <c r="H141" s="121"/>
      <c r="I141" s="121"/>
      <c r="J141" s="135"/>
      <c r="K141" s="132"/>
      <c r="L141" s="116"/>
      <c r="M141" s="136"/>
      <c r="N141" s="132"/>
      <c r="O141" s="132"/>
      <c r="P141" s="132">
        <f>Anexo!D258</f>
        <v>0.29145600000000005</v>
      </c>
      <c r="Q141" s="477">
        <f t="shared" ref="Q141:Q142" si="13">P141*$Q$139</f>
        <v>3.4974720000000006</v>
      </c>
    </row>
    <row r="142" spans="1:17" s="123" customFormat="1" ht="12.75" x14ac:dyDescent="0.2">
      <c r="A142" s="118"/>
      <c r="B142" s="119"/>
      <c r="C142" s="399"/>
      <c r="D142" s="389" t="s">
        <v>40</v>
      </c>
      <c r="E142" s="131" t="s">
        <v>37</v>
      </c>
      <c r="F142" s="135"/>
      <c r="G142" s="121"/>
      <c r="H142" s="121"/>
      <c r="I142" s="121"/>
      <c r="J142" s="135"/>
      <c r="K142" s="132"/>
      <c r="L142" s="116"/>
      <c r="M142" s="136"/>
      <c r="N142" s="132"/>
      <c r="O142" s="132"/>
      <c r="P142" s="132">
        <f>Anexo!D259</f>
        <v>0.12953600000000004</v>
      </c>
      <c r="Q142" s="477">
        <f t="shared" si="13"/>
        <v>1.5544320000000005</v>
      </c>
    </row>
    <row r="143" spans="1:17" s="123" customFormat="1" ht="12.75" x14ac:dyDescent="0.2">
      <c r="A143" s="118"/>
      <c r="B143" s="119"/>
      <c r="C143" s="399" t="s">
        <v>197</v>
      </c>
      <c r="D143" s="469" t="s">
        <v>187</v>
      </c>
      <c r="E143" s="115" t="str">
        <f>E94</f>
        <v>m</v>
      </c>
      <c r="F143" s="115">
        <f>F94</f>
        <v>22</v>
      </c>
      <c r="G143" s="121">
        <f>G94</f>
        <v>28.42</v>
      </c>
      <c r="H143" s="121"/>
      <c r="I143" s="121"/>
      <c r="J143" s="135"/>
      <c r="K143" s="433">
        <f>+PRODUCT(F143:J143)</f>
        <v>625.24</v>
      </c>
      <c r="L143" s="116"/>
      <c r="M143" s="136"/>
      <c r="N143" s="132"/>
      <c r="O143" s="132"/>
      <c r="P143" s="132"/>
      <c r="Q143" s="433">
        <f>+K143</f>
        <v>625.24</v>
      </c>
    </row>
    <row r="144" spans="1:17" s="123" customFormat="1" ht="12.75" x14ac:dyDescent="0.2">
      <c r="A144" s="118"/>
      <c r="B144" s="119"/>
      <c r="C144" s="399"/>
      <c r="D144" s="389" t="s">
        <v>38</v>
      </c>
      <c r="E144" s="131" t="s">
        <v>37</v>
      </c>
      <c r="F144" s="135"/>
      <c r="G144" s="121"/>
      <c r="H144" s="121"/>
      <c r="I144" s="121"/>
      <c r="J144" s="135"/>
      <c r="K144" s="132"/>
      <c r="L144" s="116"/>
      <c r="M144" s="136"/>
      <c r="N144" s="132"/>
      <c r="O144" s="132"/>
      <c r="P144" s="132">
        <f>Anexo!D303</f>
        <v>3.0506666666666668E-2</v>
      </c>
      <c r="Q144" s="477">
        <f>P144*$Q$143</f>
        <v>19.073988266666667</v>
      </c>
    </row>
    <row r="145" spans="1:17" s="123" customFormat="1" ht="12.75" x14ac:dyDescent="0.2">
      <c r="A145" s="118"/>
      <c r="B145" s="119"/>
      <c r="C145" s="399"/>
      <c r="D145" s="389" t="s">
        <v>39</v>
      </c>
      <c r="E145" s="131" t="s">
        <v>37</v>
      </c>
      <c r="F145" s="135"/>
      <c r="G145" s="121"/>
      <c r="H145" s="121"/>
      <c r="I145" s="121"/>
      <c r="J145" s="135"/>
      <c r="K145" s="132"/>
      <c r="L145" s="116"/>
      <c r="M145" s="136"/>
      <c r="N145" s="132"/>
      <c r="O145" s="132"/>
      <c r="P145" s="132">
        <f>Anexo!D304</f>
        <v>1.9611428571428571E-2</v>
      </c>
      <c r="Q145" s="477">
        <f t="shared" ref="Q145:Q146" si="14">P145*$Q$143</f>
        <v>12.2618496</v>
      </c>
    </row>
    <row r="146" spans="1:17" s="123" customFormat="1" ht="12.75" x14ac:dyDescent="0.2">
      <c r="A146" s="118"/>
      <c r="B146" s="119"/>
      <c r="C146" s="399"/>
      <c r="D146" s="389" t="s">
        <v>40</v>
      </c>
      <c r="E146" s="131" t="s">
        <v>37</v>
      </c>
      <c r="F146" s="135"/>
      <c r="G146" s="121"/>
      <c r="H146" s="121"/>
      <c r="I146" s="121"/>
      <c r="J146" s="135"/>
      <c r="K146" s="132"/>
      <c r="L146" s="116"/>
      <c r="M146" s="136"/>
      <c r="N146" s="132"/>
      <c r="O146" s="132"/>
      <c r="P146" s="132">
        <f>Anexo!D305</f>
        <v>1.252952380952381E-2</v>
      </c>
      <c r="Q146" s="477">
        <f t="shared" si="14"/>
        <v>7.8339594666666672</v>
      </c>
    </row>
    <row r="147" spans="1:17" s="123" customFormat="1" ht="12.75" x14ac:dyDescent="0.2">
      <c r="A147" s="118"/>
      <c r="B147" s="119"/>
      <c r="C147" s="399" t="s">
        <v>283</v>
      </c>
      <c r="D147" s="469" t="s">
        <v>284</v>
      </c>
      <c r="E147" s="156" t="str">
        <f>E98</f>
        <v>m</v>
      </c>
      <c r="F147" s="673">
        <f>F98</f>
        <v>1</v>
      </c>
      <c r="G147" s="317">
        <f>G98</f>
        <v>64.199999999999989</v>
      </c>
      <c r="H147" s="317"/>
      <c r="I147" s="317"/>
      <c r="J147" s="320"/>
      <c r="K147" s="433">
        <f>+PRODUCT(F147:J147)</f>
        <v>64.199999999999989</v>
      </c>
      <c r="L147" s="321"/>
      <c r="M147" s="524"/>
      <c r="N147" s="319"/>
      <c r="O147" s="319"/>
      <c r="P147" s="319"/>
      <c r="Q147" s="456">
        <f>+K147</f>
        <v>64.199999999999989</v>
      </c>
    </row>
    <row r="148" spans="1:17" s="123" customFormat="1" ht="12.75" x14ac:dyDescent="0.2">
      <c r="A148" s="118"/>
      <c r="B148" s="119"/>
      <c r="C148" s="399"/>
      <c r="D148" s="468" t="s">
        <v>38</v>
      </c>
      <c r="E148" s="372" t="s">
        <v>37</v>
      </c>
      <c r="F148" s="320"/>
      <c r="G148" s="317"/>
      <c r="H148" s="317"/>
      <c r="I148" s="317"/>
      <c r="J148" s="320"/>
      <c r="K148" s="319"/>
      <c r="L148" s="321"/>
      <c r="M148" s="524"/>
      <c r="N148" s="319"/>
      <c r="O148" s="319"/>
      <c r="P148" s="319">
        <f>Anexo!D345</f>
        <v>1.1733333333333333E-2</v>
      </c>
      <c r="Q148" s="523">
        <f>P148*$Q$147</f>
        <v>0.75327999999999984</v>
      </c>
    </row>
    <row r="149" spans="1:17" s="123" customFormat="1" ht="12.75" x14ac:dyDescent="0.2">
      <c r="A149" s="118"/>
      <c r="B149" s="119"/>
      <c r="C149" s="399"/>
      <c r="D149" s="468" t="s">
        <v>39</v>
      </c>
      <c r="E149" s="372" t="s">
        <v>37</v>
      </c>
      <c r="F149" s="320"/>
      <c r="G149" s="317"/>
      <c r="H149" s="317"/>
      <c r="I149" s="317"/>
      <c r="J149" s="320"/>
      <c r="K149" s="319"/>
      <c r="L149" s="321"/>
      <c r="M149" s="524"/>
      <c r="N149" s="319"/>
      <c r="O149" s="319"/>
      <c r="P149" s="319">
        <f>Anexo!D346</f>
        <v>1.5085714285714286E-2</v>
      </c>
      <c r="Q149" s="523">
        <f t="shared" ref="Q149:Q150" si="15">P149*$Q$147</f>
        <v>0.968502857142857</v>
      </c>
    </row>
    <row r="150" spans="1:17" s="123" customFormat="1" ht="12.75" x14ac:dyDescent="0.2">
      <c r="A150" s="118"/>
      <c r="B150" s="119"/>
      <c r="C150" s="399"/>
      <c r="D150" s="468" t="s">
        <v>40</v>
      </c>
      <c r="E150" s="372" t="s">
        <v>37</v>
      </c>
      <c r="F150" s="320"/>
      <c r="G150" s="317"/>
      <c r="H150" s="317"/>
      <c r="I150" s="317"/>
      <c r="J150" s="320"/>
      <c r="K150" s="319"/>
      <c r="L150" s="321"/>
      <c r="M150" s="524"/>
      <c r="N150" s="319"/>
      <c r="O150" s="319"/>
      <c r="P150" s="319">
        <f>Anexo!D347</f>
        <v>6.7047619047619043E-3</v>
      </c>
      <c r="Q150" s="523">
        <f t="shared" si="15"/>
        <v>0.43044571428571421</v>
      </c>
    </row>
    <row r="151" spans="1:17" s="123" customFormat="1" ht="12.6" customHeight="1" x14ac:dyDescent="0.2">
      <c r="A151" s="118"/>
      <c r="B151" s="119"/>
      <c r="C151" s="674" t="s">
        <v>198</v>
      </c>
      <c r="D151" s="675" t="s">
        <v>97</v>
      </c>
      <c r="E151" s="676"/>
      <c r="F151" s="677"/>
      <c r="G151" s="678"/>
      <c r="H151" s="678"/>
      <c r="I151" s="678"/>
      <c r="J151" s="677"/>
      <c r="K151" s="678"/>
      <c r="L151" s="679"/>
      <c r="M151" s="679"/>
      <c r="N151" s="678"/>
      <c r="O151" s="678"/>
      <c r="P151" s="680"/>
      <c r="Q151" s="678"/>
    </row>
    <row r="152" spans="1:17" s="123" customFormat="1" ht="12.75" x14ac:dyDescent="0.25">
      <c r="B152" s="408"/>
      <c r="C152" s="437" t="s">
        <v>199</v>
      </c>
      <c r="D152" s="448" t="s">
        <v>263</v>
      </c>
      <c r="E152" s="449" t="s">
        <v>18</v>
      </c>
      <c r="F152" s="450">
        <v>1</v>
      </c>
      <c r="G152" s="459">
        <v>28.42</v>
      </c>
      <c r="H152" s="451">
        <v>25.36</v>
      </c>
      <c r="I152" s="451"/>
      <c r="J152" s="452">
        <v>1</v>
      </c>
      <c r="K152" s="453"/>
      <c r="L152" s="454">
        <f>G152*H152</f>
        <v>720.73120000000006</v>
      </c>
      <c r="M152" s="455"/>
      <c r="N152" s="455"/>
      <c r="O152" s="455"/>
      <c r="P152" s="455"/>
      <c r="Q152" s="456">
        <f>L152</f>
        <v>720.73120000000006</v>
      </c>
    </row>
    <row r="153" spans="1:17" ht="25.5" x14ac:dyDescent="0.25">
      <c r="C153" s="681"/>
      <c r="D153" s="682" t="s">
        <v>285</v>
      </c>
      <c r="E153" s="683" t="s">
        <v>18</v>
      </c>
      <c r="F153" s="681">
        <v>1</v>
      </c>
      <c r="G153" s="681">
        <v>26.97</v>
      </c>
      <c r="H153" s="681">
        <v>1.07</v>
      </c>
      <c r="I153" s="681"/>
      <c r="J153" s="681">
        <v>29</v>
      </c>
      <c r="K153" s="681"/>
      <c r="L153" s="684">
        <f>PRODUCT(F153:J153)</f>
        <v>836.87909999999999</v>
      </c>
      <c r="M153" s="681"/>
      <c r="N153" s="681"/>
      <c r="O153" s="681"/>
      <c r="P153" s="684">
        <f>(L153*7.55%+L153)/L152</f>
        <v>1.2488199096278889</v>
      </c>
      <c r="Q153" s="685">
        <f>Q152*P153</f>
        <v>900.06347204999997</v>
      </c>
    </row>
    <row r="154" spans="1:17" ht="12.6" customHeight="1" x14ac:dyDescent="0.25">
      <c r="C154" s="681"/>
      <c r="D154" s="686" t="s">
        <v>264</v>
      </c>
      <c r="E154" s="683" t="s">
        <v>22</v>
      </c>
      <c r="F154" s="681">
        <v>4</v>
      </c>
      <c r="G154" s="681"/>
      <c r="H154" s="681"/>
      <c r="I154" s="681"/>
      <c r="J154" s="681"/>
      <c r="K154" s="681"/>
      <c r="L154" s="681"/>
      <c r="M154" s="681"/>
      <c r="N154" s="681"/>
      <c r="O154" s="681"/>
      <c r="P154" s="681">
        <f>F154</f>
        <v>4</v>
      </c>
      <c r="Q154" s="685">
        <f>P154*Q153</f>
        <v>3600.2538881999999</v>
      </c>
    </row>
    <row r="155" spans="1:17" ht="12.6" customHeight="1" x14ac:dyDescent="0.2">
      <c r="C155" s="687"/>
      <c r="D155" s="688" t="s">
        <v>265</v>
      </c>
      <c r="E155" s="689" t="s">
        <v>22</v>
      </c>
      <c r="F155" s="690">
        <v>6.4000000000000001E-2</v>
      </c>
      <c r="G155" s="656"/>
      <c r="H155" s="656"/>
      <c r="I155" s="656"/>
      <c r="J155" s="657"/>
      <c r="K155" s="658"/>
      <c r="L155" s="658"/>
      <c r="M155" s="656"/>
      <c r="N155" s="656"/>
      <c r="O155" s="660"/>
      <c r="P155" s="691">
        <f>F155+10%*F155</f>
        <v>7.0400000000000004E-2</v>
      </c>
      <c r="Q155" s="685">
        <f>P155*Q153</f>
        <v>63.364468432320002</v>
      </c>
    </row>
    <row r="156" spans="1:17" ht="12.6" customHeight="1" x14ac:dyDescent="0.25">
      <c r="C156" s="400"/>
    </row>
    <row r="157" spans="1:17" ht="12.6" customHeight="1" x14ac:dyDescent="0.25">
      <c r="C157" s="400"/>
    </row>
    <row r="158" spans="1:17" ht="12.6" customHeight="1" x14ac:dyDescent="0.25">
      <c r="C158" s="400"/>
    </row>
    <row r="159" spans="1:17" ht="12.6" customHeight="1" x14ac:dyDescent="0.25">
      <c r="C159" s="400"/>
    </row>
    <row r="160" spans="1:17" ht="12.6" customHeight="1" x14ac:dyDescent="0.25">
      <c r="C160" s="400"/>
    </row>
    <row r="161" spans="1:17" ht="12.6" customHeight="1" x14ac:dyDescent="0.25">
      <c r="C161" s="400"/>
    </row>
    <row r="162" spans="1:17" ht="12.6" customHeight="1" x14ac:dyDescent="0.25">
      <c r="A162" s="55"/>
      <c r="C162" s="400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</row>
    <row r="163" spans="1:17" ht="12.6" customHeight="1" x14ac:dyDescent="0.25">
      <c r="A163" s="55"/>
      <c r="C163" s="400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</row>
    <row r="164" spans="1:17" ht="12.6" customHeight="1" x14ac:dyDescent="0.25">
      <c r="A164" s="55"/>
      <c r="C164" s="400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</row>
    <row r="165" spans="1:17" ht="12.6" customHeight="1" x14ac:dyDescent="0.25">
      <c r="A165" s="55"/>
      <c r="C165" s="400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</row>
    <row r="166" spans="1:17" ht="12.6" customHeight="1" x14ac:dyDescent="0.25">
      <c r="A166" s="55"/>
      <c r="C166" s="400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</row>
  </sheetData>
  <autoFilter ref="D14:D152" xr:uid="{00000000-0009-0000-0000-000001000000}"/>
  <mergeCells count="11">
    <mergeCell ref="C3:Q3"/>
    <mergeCell ref="D6:Q7"/>
    <mergeCell ref="C14:C15"/>
    <mergeCell ref="D14:D15"/>
    <mergeCell ref="E14:E15"/>
    <mergeCell ref="F14:F15"/>
    <mergeCell ref="G14:I14"/>
    <mergeCell ref="J14:J15"/>
    <mergeCell ref="K14:O14"/>
    <mergeCell ref="Q14:Q15"/>
    <mergeCell ref="P14:P15"/>
  </mergeCells>
  <phoneticPr fontId="31" type="noConversion"/>
  <conditionalFormatting sqref="N37">
    <cfRule type="colorScale" priority="18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">
    <cfRule type="colorScale" priority="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0:N111">
    <cfRule type="colorScale" priority="3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2:N113">
    <cfRule type="colorScale" priority="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9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9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0:N42">
    <cfRule type="colorScale" priority="2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8">
    <cfRule type="colorScale" priority="2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4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5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7:N118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4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0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0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4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8">
    <cfRule type="colorScale" priority="2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6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6:N51">
    <cfRule type="colorScale" priority="2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1:N73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5:N76">
    <cfRule type="colorScale" priority="2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8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6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9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7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4:N45">
    <cfRule type="colorScale" priority="2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6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8:N63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6:N57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4">
    <cfRule type="colorScale" priority="2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9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7:N130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39:N142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2:N126 N119 N131:N138 N143:N146">
    <cfRule type="colorScale" priority="2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1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5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7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3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2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3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4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7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0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6:N87 N84 N8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1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3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5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6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0:N10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7:N15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39370078740157483" right="0" top="0.19685039370078741" bottom="0.78740157480314965" header="0.19685039370078741" footer="0.39370078740157483"/>
  <pageSetup paperSize="9" scale="64" orientation="portrait" r:id="rId1"/>
  <headerFooter alignWithMargins="0">
    <oddFooter>&amp;C&amp;6Página &amp;P</oddFooter>
  </headerFooter>
  <rowBreaks count="2" manualBreakCount="2">
    <brk id="90" min="1" max="16" man="1"/>
    <brk id="155" min="1" max="1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37"/>
  <sheetViews>
    <sheetView topLeftCell="A20" zoomScale="120" zoomScaleNormal="120" workbookViewId="0">
      <selection activeCell="B5" sqref="B5"/>
    </sheetView>
  </sheetViews>
  <sheetFormatPr baseColWidth="10" defaultColWidth="11.5703125" defaultRowHeight="15" x14ac:dyDescent="0.25"/>
  <cols>
    <col min="1" max="2" width="11.5703125" style="161"/>
    <col min="3" max="3" width="34.28515625" style="160" customWidth="1"/>
    <col min="4" max="4" width="22.7109375" style="161" customWidth="1"/>
    <col min="5" max="5" width="11.5703125" style="160"/>
    <col min="6" max="6" width="11.5703125" style="161"/>
    <col min="7" max="8" width="15.7109375" style="161" customWidth="1"/>
    <col min="9" max="9" width="10.5703125" style="160" customWidth="1"/>
    <col min="10" max="10" width="9.140625" style="161" customWidth="1"/>
    <col min="11" max="11" width="23" style="161" customWidth="1"/>
    <col min="12" max="16384" width="11.5703125" style="161"/>
  </cols>
  <sheetData>
    <row r="2" spans="2:11" ht="18.75" x14ac:dyDescent="0.3">
      <c r="B2" s="633" t="s">
        <v>207</v>
      </c>
      <c r="C2" s="633"/>
      <c r="D2" s="633"/>
      <c r="E2" s="633"/>
      <c r="F2" s="633"/>
      <c r="G2" s="633"/>
      <c r="H2" s="633"/>
      <c r="I2" s="633"/>
      <c r="J2" s="633"/>
      <c r="K2" s="633"/>
    </row>
    <row r="3" spans="2:11" ht="14.45" customHeight="1" x14ac:dyDescent="0.25">
      <c r="B3" s="630" t="s">
        <v>5</v>
      </c>
      <c r="C3" s="630" t="s">
        <v>210</v>
      </c>
      <c r="D3" s="630" t="s">
        <v>211</v>
      </c>
      <c r="E3" s="630" t="s">
        <v>11</v>
      </c>
      <c r="F3" s="634" t="s">
        <v>202</v>
      </c>
      <c r="G3" s="631" t="s">
        <v>221</v>
      </c>
      <c r="H3" s="631"/>
      <c r="I3" s="632" t="s">
        <v>205</v>
      </c>
      <c r="J3" s="630" t="s">
        <v>206</v>
      </c>
      <c r="K3" s="630"/>
    </row>
    <row r="4" spans="2:11" x14ac:dyDescent="0.25">
      <c r="B4" s="630"/>
      <c r="C4" s="630"/>
      <c r="D4" s="630"/>
      <c r="E4" s="630"/>
      <c r="F4" s="634"/>
      <c r="G4" s="488" t="s">
        <v>204</v>
      </c>
      <c r="H4" s="488" t="s">
        <v>203</v>
      </c>
      <c r="I4" s="632"/>
      <c r="J4" s="630"/>
      <c r="K4" s="630"/>
    </row>
    <row r="5" spans="2:11" x14ac:dyDescent="0.25">
      <c r="B5" s="489">
        <v>1</v>
      </c>
      <c r="C5" s="490" t="s">
        <v>209</v>
      </c>
      <c r="D5" s="491" t="s">
        <v>242</v>
      </c>
      <c r="E5" s="495">
        <f>Metrado!Q39</f>
        <v>1.0550400000000002</v>
      </c>
      <c r="F5" s="496" t="s">
        <v>18</v>
      </c>
      <c r="G5" s="496" t="s">
        <v>222</v>
      </c>
      <c r="H5" s="496" t="s">
        <v>223</v>
      </c>
      <c r="I5" s="498">
        <v>1</v>
      </c>
      <c r="J5" s="499" t="s">
        <v>233</v>
      </c>
      <c r="K5" s="491"/>
    </row>
    <row r="6" spans="2:11" x14ac:dyDescent="0.25">
      <c r="B6" s="489">
        <v>2</v>
      </c>
      <c r="C6" s="490" t="s">
        <v>208</v>
      </c>
      <c r="D6" s="491" t="s">
        <v>242</v>
      </c>
      <c r="E6" s="495">
        <f>Metrado!Q74+Metrado!Q88</f>
        <v>22.1235</v>
      </c>
      <c r="F6" s="496" t="s">
        <v>18</v>
      </c>
      <c r="G6" s="496" t="s">
        <v>222</v>
      </c>
      <c r="H6" s="496" t="s">
        <v>223</v>
      </c>
      <c r="I6" s="498">
        <f>E6/2.88+2</f>
        <v>9.6817708333333332</v>
      </c>
      <c r="J6" s="499" t="s">
        <v>233</v>
      </c>
      <c r="K6" s="491"/>
    </row>
    <row r="7" spans="2:11" x14ac:dyDescent="0.25">
      <c r="B7" s="489">
        <v>3</v>
      </c>
      <c r="C7" s="490" t="s">
        <v>238</v>
      </c>
      <c r="D7" s="491" t="s">
        <v>242</v>
      </c>
      <c r="E7" s="495">
        <f>Metrado!Q46+Metrado!Q58+Metrado!Q71+Metrado!Q85</f>
        <v>10.830119999999999</v>
      </c>
      <c r="F7" s="496" t="s">
        <v>18</v>
      </c>
      <c r="G7" s="496" t="s">
        <v>222</v>
      </c>
      <c r="H7" s="496" t="s">
        <v>223</v>
      </c>
      <c r="I7" s="498">
        <f>E7/2.88+1</f>
        <v>4.7604583333333332</v>
      </c>
      <c r="J7" s="499" t="s">
        <v>233</v>
      </c>
      <c r="K7" s="491"/>
    </row>
    <row r="8" spans="2:11" x14ac:dyDescent="0.25">
      <c r="B8" s="489">
        <v>4</v>
      </c>
      <c r="C8" s="490" t="s">
        <v>295</v>
      </c>
      <c r="D8" s="491" t="s">
        <v>296</v>
      </c>
      <c r="E8" s="495">
        <f>Metrado!Q96</f>
        <v>0.23100000000000007</v>
      </c>
      <c r="F8" s="496" t="s">
        <v>18</v>
      </c>
      <c r="G8" s="496" t="s">
        <v>222</v>
      </c>
      <c r="H8" s="496" t="s">
        <v>223</v>
      </c>
      <c r="I8" s="498">
        <v>1</v>
      </c>
      <c r="J8" s="499" t="s">
        <v>233</v>
      </c>
      <c r="K8" s="491"/>
    </row>
    <row r="9" spans="2:11" x14ac:dyDescent="0.25">
      <c r="B9" s="489">
        <v>5</v>
      </c>
      <c r="C9" s="493" t="s">
        <v>166</v>
      </c>
      <c r="D9" s="491" t="s">
        <v>243</v>
      </c>
      <c r="E9" s="495">
        <f>Metrado!Q106</f>
        <v>36.346338000000003</v>
      </c>
      <c r="F9" s="496" t="s">
        <v>18</v>
      </c>
      <c r="G9" s="496" t="s">
        <v>222</v>
      </c>
      <c r="H9" s="496" t="s">
        <v>223</v>
      </c>
      <c r="I9" s="498">
        <f>E9/2.88</f>
        <v>12.620256250000001</v>
      </c>
      <c r="J9" s="499" t="s">
        <v>233</v>
      </c>
      <c r="K9" s="491" t="s">
        <v>244</v>
      </c>
    </row>
    <row r="10" spans="2:11" x14ac:dyDescent="0.25">
      <c r="B10" s="489">
        <v>6</v>
      </c>
      <c r="C10" s="493" t="s">
        <v>167</v>
      </c>
      <c r="D10" s="491" t="s">
        <v>225</v>
      </c>
      <c r="E10" s="495">
        <f>Metrado!Q107</f>
        <v>17.64</v>
      </c>
      <c r="F10" s="496" t="s">
        <v>21</v>
      </c>
      <c r="G10" s="496" t="s">
        <v>224</v>
      </c>
      <c r="H10" s="496" t="s">
        <v>226</v>
      </c>
      <c r="I10" s="498">
        <f>E10/6</f>
        <v>2.94</v>
      </c>
      <c r="J10" s="499" t="s">
        <v>231</v>
      </c>
      <c r="K10" s="491"/>
    </row>
    <row r="11" spans="2:11" x14ac:dyDescent="0.25">
      <c r="B11" s="489">
        <v>7</v>
      </c>
      <c r="C11" s="492" t="s">
        <v>183</v>
      </c>
      <c r="D11" s="496" t="s">
        <v>226</v>
      </c>
      <c r="E11" s="495">
        <f>Metrado!Q51+Metrado!Q63+Metrado!Q77</f>
        <v>5.2799999999999994</v>
      </c>
      <c r="F11" s="496" t="s">
        <v>18</v>
      </c>
      <c r="G11" s="489" t="s">
        <v>226</v>
      </c>
      <c r="H11" s="496" t="s">
        <v>226</v>
      </c>
      <c r="I11" s="564">
        <f>E11</f>
        <v>5.2799999999999994</v>
      </c>
      <c r="J11" s="499" t="s">
        <v>18</v>
      </c>
      <c r="K11" s="491"/>
    </row>
    <row r="12" spans="2:11" x14ac:dyDescent="0.25">
      <c r="B12" s="489">
        <v>8</v>
      </c>
      <c r="C12" s="494" t="s">
        <v>217</v>
      </c>
      <c r="D12" s="491" t="s">
        <v>245</v>
      </c>
      <c r="E12" s="495">
        <f>Metrado!Q45+Metrado!Q57</f>
        <v>55.607999999999997</v>
      </c>
      <c r="F12" s="496" t="s">
        <v>21</v>
      </c>
      <c r="G12" s="496" t="s">
        <v>224</v>
      </c>
      <c r="H12" s="496" t="s">
        <v>226</v>
      </c>
      <c r="I12" s="500">
        <v>13</v>
      </c>
      <c r="J12" s="499" t="s">
        <v>232</v>
      </c>
      <c r="K12" s="491"/>
    </row>
    <row r="13" spans="2:11" x14ac:dyDescent="0.25">
      <c r="B13" s="489">
        <v>9</v>
      </c>
      <c r="C13" s="493" t="s">
        <v>294</v>
      </c>
      <c r="D13" s="491" t="s">
        <v>246</v>
      </c>
      <c r="E13" s="495">
        <f>Metrado!Q69</f>
        <v>456.77799999999991</v>
      </c>
      <c r="F13" s="496" t="s">
        <v>21</v>
      </c>
      <c r="G13" s="496" t="s">
        <v>224</v>
      </c>
      <c r="H13" s="496" t="s">
        <v>226</v>
      </c>
      <c r="I13" s="498">
        <f>E13/6</f>
        <v>76.129666666666651</v>
      </c>
      <c r="J13" s="499" t="s">
        <v>232</v>
      </c>
      <c r="K13" s="491"/>
    </row>
    <row r="14" spans="2:11" x14ac:dyDescent="0.25">
      <c r="B14" s="489">
        <v>10</v>
      </c>
      <c r="C14" s="493" t="s">
        <v>270</v>
      </c>
      <c r="D14" s="491" t="s">
        <v>246</v>
      </c>
      <c r="E14" s="495">
        <f>Metrado!Q70+Metrado!Q83+Metrado!Q92+Metrado!Q96</f>
        <v>1001.0280000000001</v>
      </c>
      <c r="F14" s="496" t="s">
        <v>21</v>
      </c>
      <c r="G14" s="496" t="s">
        <v>224</v>
      </c>
      <c r="H14" s="496" t="s">
        <v>226</v>
      </c>
      <c r="I14" s="498">
        <f t="shared" ref="I14:I15" si="0">E14/6</f>
        <v>166.83800000000002</v>
      </c>
      <c r="J14" s="499" t="s">
        <v>232</v>
      </c>
      <c r="K14" s="491"/>
    </row>
    <row r="15" spans="2:11" x14ac:dyDescent="0.25">
      <c r="B15" s="489">
        <v>11</v>
      </c>
      <c r="C15" s="503" t="s">
        <v>278</v>
      </c>
      <c r="D15" s="491" t="s">
        <v>246</v>
      </c>
      <c r="E15" s="495">
        <f>Metrado!Q95</f>
        <v>689.32710000000009</v>
      </c>
      <c r="F15" s="496" t="s">
        <v>21</v>
      </c>
      <c r="G15" s="496" t="s">
        <v>224</v>
      </c>
      <c r="H15" s="496" t="s">
        <v>226</v>
      </c>
      <c r="I15" s="498">
        <f t="shared" si="0"/>
        <v>114.88785000000001</v>
      </c>
      <c r="J15" s="499" t="s">
        <v>253</v>
      </c>
      <c r="K15" s="491"/>
    </row>
    <row r="16" spans="2:11" x14ac:dyDescent="0.25">
      <c r="B16" s="489">
        <v>12</v>
      </c>
      <c r="C16" s="503" t="s">
        <v>239</v>
      </c>
      <c r="D16" s="491" t="s">
        <v>225</v>
      </c>
      <c r="E16" s="495">
        <f>Metrado!Q99</f>
        <v>67.41</v>
      </c>
      <c r="F16" s="496" t="s">
        <v>21</v>
      </c>
      <c r="G16" s="496" t="s">
        <v>224</v>
      </c>
      <c r="H16" s="496" t="s">
        <v>226</v>
      </c>
      <c r="I16" s="498">
        <f>E16/6+1</f>
        <v>12.234999999999999</v>
      </c>
      <c r="J16" s="499" t="s">
        <v>231</v>
      </c>
      <c r="K16" s="491"/>
    </row>
    <row r="17" spans="2:11" x14ac:dyDescent="0.25">
      <c r="B17" s="489">
        <v>13</v>
      </c>
      <c r="C17" s="492" t="s">
        <v>218</v>
      </c>
      <c r="D17" s="491" t="s">
        <v>240</v>
      </c>
      <c r="E17" s="495">
        <f>Metrado!Q40</f>
        <v>50.400000000000006</v>
      </c>
      <c r="F17" s="496" t="s">
        <v>21</v>
      </c>
      <c r="G17" s="496" t="s">
        <v>252</v>
      </c>
      <c r="H17" s="496" t="s">
        <v>226</v>
      </c>
      <c r="I17" s="498">
        <f>E17/9</f>
        <v>5.6000000000000005</v>
      </c>
      <c r="J17" s="499" t="s">
        <v>231</v>
      </c>
      <c r="K17" s="491" t="s">
        <v>241</v>
      </c>
    </row>
    <row r="18" spans="2:11" x14ac:dyDescent="0.25">
      <c r="B18" s="489">
        <v>14</v>
      </c>
      <c r="C18" s="492" t="s">
        <v>175</v>
      </c>
      <c r="D18" s="491" t="s">
        <v>249</v>
      </c>
      <c r="E18" s="495">
        <f>Metrado!Q41+Metrado!Q102</f>
        <v>99.75</v>
      </c>
      <c r="F18" s="496" t="s">
        <v>93</v>
      </c>
      <c r="G18" s="496" t="s">
        <v>226</v>
      </c>
      <c r="H18" s="496" t="s">
        <v>226</v>
      </c>
      <c r="I18" s="498">
        <f>E18*1.1</f>
        <v>109.72500000000001</v>
      </c>
      <c r="J18" s="499" t="str">
        <f>F18</f>
        <v>und.</v>
      </c>
      <c r="K18" s="491"/>
    </row>
    <row r="19" spans="2:11" x14ac:dyDescent="0.25">
      <c r="B19" s="489">
        <v>15</v>
      </c>
      <c r="C19" s="492" t="s">
        <v>212</v>
      </c>
      <c r="D19" s="491" t="s">
        <v>250</v>
      </c>
      <c r="E19" s="495">
        <f>Metrado!Q42+Metrado!Q103</f>
        <v>51.75</v>
      </c>
      <c r="F19" s="496" t="s">
        <v>93</v>
      </c>
      <c r="G19" s="496" t="s">
        <v>226</v>
      </c>
      <c r="H19" s="496" t="s">
        <v>226</v>
      </c>
      <c r="I19" s="498">
        <f t="shared" ref="I19:I21" si="1">E19*1.1</f>
        <v>56.925000000000004</v>
      </c>
      <c r="J19" s="499" t="str">
        <f t="shared" ref="J19:J21" si="2">F19</f>
        <v>und.</v>
      </c>
      <c r="K19" s="491"/>
    </row>
    <row r="20" spans="2:11" x14ac:dyDescent="0.25">
      <c r="B20" s="489">
        <v>16</v>
      </c>
      <c r="C20" s="504" t="s">
        <v>213</v>
      </c>
      <c r="D20" s="491" t="s">
        <v>250</v>
      </c>
      <c r="E20" s="495">
        <f>Metrado!Q53+Metrado!Q65+Metrado!Q79</f>
        <v>176</v>
      </c>
      <c r="F20" s="496" t="s">
        <v>93</v>
      </c>
      <c r="G20" s="496" t="s">
        <v>226</v>
      </c>
      <c r="H20" s="496" t="s">
        <v>226</v>
      </c>
      <c r="I20" s="498">
        <f t="shared" si="1"/>
        <v>193.60000000000002</v>
      </c>
      <c r="J20" s="499" t="str">
        <f t="shared" si="2"/>
        <v>und.</v>
      </c>
      <c r="K20" s="491"/>
    </row>
    <row r="21" spans="2:11" s="511" customFormat="1" ht="30" x14ac:dyDescent="0.25">
      <c r="B21" s="489">
        <v>17</v>
      </c>
      <c r="C21" s="510" t="s">
        <v>255</v>
      </c>
      <c r="D21" s="512" t="s">
        <v>256</v>
      </c>
      <c r="E21" s="513">
        <f>Metrado!Q52+Metrado!Q64+Metrado!Q78</f>
        <v>176</v>
      </c>
      <c r="F21" s="489" t="s">
        <v>93</v>
      </c>
      <c r="G21" s="489" t="s">
        <v>227</v>
      </c>
      <c r="H21" s="489" t="s">
        <v>226</v>
      </c>
      <c r="I21" s="514">
        <f t="shared" si="1"/>
        <v>193.60000000000002</v>
      </c>
      <c r="J21" s="515" t="str">
        <f t="shared" si="2"/>
        <v>und.</v>
      </c>
      <c r="K21" s="512"/>
    </row>
    <row r="22" spans="2:11" x14ac:dyDescent="0.25">
      <c r="B22" s="489">
        <v>18</v>
      </c>
      <c r="C22" s="505" t="s">
        <v>219</v>
      </c>
      <c r="D22" s="491" t="s">
        <v>247</v>
      </c>
      <c r="E22" s="495">
        <f>Metrado!Q80+Metrado!Q84+Metrado!Q93+Metrado!Q97+Metrado!Q55+Metrado!Q67</f>
        <v>433.29614336734699</v>
      </c>
      <c r="F22" s="496" t="s">
        <v>19</v>
      </c>
      <c r="G22" s="496" t="s">
        <v>226</v>
      </c>
      <c r="H22" s="496" t="s">
        <v>226</v>
      </c>
      <c r="I22" s="498">
        <f>E22</f>
        <v>433.29614336734699</v>
      </c>
      <c r="J22" s="499" t="s">
        <v>19</v>
      </c>
      <c r="K22" s="491"/>
    </row>
    <row r="23" spans="2:11" x14ac:dyDescent="0.25">
      <c r="B23" s="489">
        <v>19</v>
      </c>
      <c r="C23" s="505" t="s">
        <v>220</v>
      </c>
      <c r="D23" s="491" t="s">
        <v>248</v>
      </c>
      <c r="E23" s="495">
        <f>Metrado!Q54+Metrado!Q66+Metrado!Q81</f>
        <v>32.440539999999999</v>
      </c>
      <c r="F23" s="496" t="s">
        <v>19</v>
      </c>
      <c r="G23" s="496" t="s">
        <v>226</v>
      </c>
      <c r="H23" s="496" t="s">
        <v>226</v>
      </c>
      <c r="I23" s="498">
        <f t="shared" ref="I23:I34" si="3">E23</f>
        <v>32.440539999999999</v>
      </c>
      <c r="J23" s="499" t="s">
        <v>19</v>
      </c>
      <c r="K23" s="491"/>
    </row>
    <row r="24" spans="2:11" x14ac:dyDescent="0.25">
      <c r="B24" s="489">
        <v>20</v>
      </c>
      <c r="C24" s="506" t="s">
        <v>168</v>
      </c>
      <c r="D24" s="496" t="s">
        <v>226</v>
      </c>
      <c r="E24" s="495">
        <f>Metrado!Q108</f>
        <v>2</v>
      </c>
      <c r="F24" s="496" t="s">
        <v>93</v>
      </c>
      <c r="G24" s="496" t="s">
        <v>226</v>
      </c>
      <c r="H24" s="496" t="s">
        <v>226</v>
      </c>
      <c r="I24" s="498">
        <f t="shared" si="3"/>
        <v>2</v>
      </c>
      <c r="J24" s="499" t="str">
        <f>F24</f>
        <v>und.</v>
      </c>
      <c r="K24" s="491"/>
    </row>
    <row r="25" spans="2:11" x14ac:dyDescent="0.25">
      <c r="B25" s="489">
        <v>21</v>
      </c>
      <c r="C25" s="506" t="s">
        <v>229</v>
      </c>
      <c r="D25" s="496" t="s">
        <v>226</v>
      </c>
      <c r="E25" s="495">
        <f>Metrado!Q109</f>
        <v>2</v>
      </c>
      <c r="F25" s="496" t="s">
        <v>164</v>
      </c>
      <c r="G25" s="496" t="s">
        <v>226</v>
      </c>
      <c r="H25" s="496" t="s">
        <v>226</v>
      </c>
      <c r="I25" s="498">
        <f t="shared" si="3"/>
        <v>2</v>
      </c>
      <c r="J25" s="499" t="str">
        <f>F25</f>
        <v>ciento</v>
      </c>
      <c r="K25" s="491"/>
    </row>
    <row r="26" spans="2:11" x14ac:dyDescent="0.25">
      <c r="B26" s="489">
        <v>22</v>
      </c>
      <c r="C26" s="505" t="s">
        <v>214</v>
      </c>
      <c r="D26" s="496" t="s">
        <v>226</v>
      </c>
      <c r="E26" s="495">
        <f>Metrado!Q31</f>
        <v>40</v>
      </c>
      <c r="F26" s="496" t="s">
        <v>19</v>
      </c>
      <c r="G26" s="496" t="s">
        <v>226</v>
      </c>
      <c r="H26" s="496" t="s">
        <v>226</v>
      </c>
      <c r="I26" s="498">
        <f t="shared" si="3"/>
        <v>40</v>
      </c>
      <c r="J26" s="499" t="s">
        <v>19</v>
      </c>
      <c r="K26" s="491"/>
    </row>
    <row r="27" spans="2:11" x14ac:dyDescent="0.25">
      <c r="B27" s="489">
        <v>23</v>
      </c>
      <c r="C27" s="505" t="s">
        <v>260</v>
      </c>
      <c r="D27" s="496" t="s">
        <v>226</v>
      </c>
      <c r="E27" s="495">
        <f>Metrado!Q32</f>
        <v>30</v>
      </c>
      <c r="F27" s="496" t="s">
        <v>19</v>
      </c>
      <c r="G27" s="496" t="s">
        <v>226</v>
      </c>
      <c r="H27" s="496" t="s">
        <v>226</v>
      </c>
      <c r="I27" s="498">
        <f t="shared" si="3"/>
        <v>30</v>
      </c>
      <c r="J27" s="499" t="s">
        <v>19</v>
      </c>
      <c r="K27" s="491"/>
    </row>
    <row r="28" spans="2:11" x14ac:dyDescent="0.25">
      <c r="B28" s="489">
        <v>24</v>
      </c>
      <c r="C28" s="505" t="s">
        <v>215</v>
      </c>
      <c r="D28" s="496" t="s">
        <v>226</v>
      </c>
      <c r="E28" s="495">
        <f>Metrado!Q34</f>
        <v>20</v>
      </c>
      <c r="F28" s="496" t="s">
        <v>93</v>
      </c>
      <c r="G28" s="496" t="s">
        <v>226</v>
      </c>
      <c r="H28" s="496" t="s">
        <v>226</v>
      </c>
      <c r="I28" s="498">
        <f t="shared" si="3"/>
        <v>20</v>
      </c>
      <c r="J28" s="499" t="str">
        <f>F28</f>
        <v>und.</v>
      </c>
      <c r="K28" s="491"/>
    </row>
    <row r="29" spans="2:11" x14ac:dyDescent="0.25">
      <c r="B29" s="489">
        <v>25</v>
      </c>
      <c r="C29" s="505" t="s">
        <v>216</v>
      </c>
      <c r="D29" s="496" t="s">
        <v>226</v>
      </c>
      <c r="E29" s="497">
        <f>Metrado!Q35</f>
        <v>60</v>
      </c>
      <c r="F29" s="496" t="s">
        <v>93</v>
      </c>
      <c r="G29" s="496" t="s">
        <v>226</v>
      </c>
      <c r="H29" s="496" t="s">
        <v>226</v>
      </c>
      <c r="I29" s="498">
        <f t="shared" si="3"/>
        <v>60</v>
      </c>
      <c r="J29" s="499" t="str">
        <f t="shared" ref="J29:J34" si="4">F29</f>
        <v>und.</v>
      </c>
      <c r="K29" s="491"/>
    </row>
    <row r="30" spans="2:11" x14ac:dyDescent="0.25">
      <c r="B30" s="489">
        <v>26</v>
      </c>
      <c r="C30" s="506" t="s">
        <v>261</v>
      </c>
      <c r="D30" s="496" t="s">
        <v>226</v>
      </c>
      <c r="E30" s="497">
        <f>Metrado!Q36</f>
        <v>10</v>
      </c>
      <c r="F30" s="496" t="s">
        <v>93</v>
      </c>
      <c r="G30" s="496" t="s">
        <v>226</v>
      </c>
      <c r="H30" s="496" t="s">
        <v>226</v>
      </c>
      <c r="I30" s="498">
        <f t="shared" ref="I30" si="5">E30</f>
        <v>10</v>
      </c>
      <c r="J30" s="499" t="str">
        <f t="shared" ref="J30" si="6">F30</f>
        <v>und.</v>
      </c>
      <c r="K30" s="491"/>
    </row>
    <row r="31" spans="2:11" x14ac:dyDescent="0.25">
      <c r="B31" s="489">
        <v>27</v>
      </c>
      <c r="C31" s="505" t="s">
        <v>38</v>
      </c>
      <c r="D31" s="496" t="s">
        <v>226</v>
      </c>
      <c r="E31" s="495">
        <f>Metrado!Q124+Metrado!Q128+Metrado!Q132+Metrado!Q136+Metrado!Q140+Metrado!Q144+Metrado!Q148</f>
        <v>51.056764898304003</v>
      </c>
      <c r="F31" s="496" t="s">
        <v>37</v>
      </c>
      <c r="G31" s="496" t="s">
        <v>226</v>
      </c>
      <c r="H31" s="496" t="s">
        <v>226</v>
      </c>
      <c r="I31" s="498">
        <f t="shared" si="3"/>
        <v>51.056764898304003</v>
      </c>
      <c r="J31" s="499" t="str">
        <f t="shared" si="4"/>
        <v>gln</v>
      </c>
      <c r="K31" s="491"/>
    </row>
    <row r="32" spans="2:11" x14ac:dyDescent="0.25">
      <c r="B32" s="489">
        <v>28</v>
      </c>
      <c r="C32" s="505" t="s">
        <v>39</v>
      </c>
      <c r="D32" s="496" t="s">
        <v>226</v>
      </c>
      <c r="E32" s="495">
        <f>Metrado!Q125+Metrado!Q129+Metrado!Q133+Metrado!Q137+Metrado!Q141+Metrado!Q145+Metrado!Q149</f>
        <v>53.389682265819431</v>
      </c>
      <c r="F32" s="496" t="s">
        <v>37</v>
      </c>
      <c r="G32" s="496" t="s">
        <v>226</v>
      </c>
      <c r="H32" s="496" t="s">
        <v>226</v>
      </c>
      <c r="I32" s="498">
        <f t="shared" si="3"/>
        <v>53.389682265819431</v>
      </c>
      <c r="J32" s="499" t="str">
        <f t="shared" si="4"/>
        <v>gln</v>
      </c>
      <c r="K32" s="491"/>
    </row>
    <row r="33" spans="2:11" x14ac:dyDescent="0.25">
      <c r="B33" s="489">
        <v>29</v>
      </c>
      <c r="C33" s="505" t="s">
        <v>40</v>
      </c>
      <c r="D33" s="496" t="s">
        <v>226</v>
      </c>
      <c r="E33" s="495">
        <f>Metrado!Q146+Metrado!Q142+Metrado!Q138+Metrado!Q134+Metrado!Q130+Metrado!Q126+Metrado!Q146</f>
        <v>33.515125543411813</v>
      </c>
      <c r="F33" s="496" t="s">
        <v>37</v>
      </c>
      <c r="G33" s="496" t="s">
        <v>226</v>
      </c>
      <c r="H33" s="496" t="s">
        <v>226</v>
      </c>
      <c r="I33" s="498">
        <f t="shared" si="3"/>
        <v>33.515125543411813</v>
      </c>
      <c r="J33" s="499" t="str">
        <f t="shared" si="4"/>
        <v>gln</v>
      </c>
      <c r="K33" s="491"/>
    </row>
    <row r="34" spans="2:11" x14ac:dyDescent="0.25">
      <c r="B34" s="489">
        <v>30</v>
      </c>
      <c r="C34" s="506" t="s">
        <v>262</v>
      </c>
      <c r="D34" s="496" t="s">
        <v>226</v>
      </c>
      <c r="E34" s="495">
        <f>Metrado!Q43</f>
        <v>46.446399999999997</v>
      </c>
      <c r="F34" s="496" t="s">
        <v>19</v>
      </c>
      <c r="G34" s="496"/>
      <c r="H34" s="496"/>
      <c r="I34" s="498">
        <f t="shared" si="3"/>
        <v>46.446399999999997</v>
      </c>
      <c r="J34" s="499" t="str">
        <f t="shared" si="4"/>
        <v>kg</v>
      </c>
      <c r="K34" s="491"/>
    </row>
    <row r="35" spans="2:11" s="511" customFormat="1" ht="45" x14ac:dyDescent="0.25">
      <c r="B35" s="489">
        <v>31</v>
      </c>
      <c r="C35" s="565" t="str">
        <f>Metrado!D153</f>
        <v>Panel aluzinc AZ 150 curvo prepintado e=0.45mm, con capa interna de poliuretano e=6mm.</v>
      </c>
      <c r="D35" s="489" t="s">
        <v>226</v>
      </c>
      <c r="E35" s="513">
        <f>Metrado!Q153</f>
        <v>900.06347204999997</v>
      </c>
      <c r="F35" s="489" t="s">
        <v>18</v>
      </c>
      <c r="G35" s="489" t="s">
        <v>230</v>
      </c>
      <c r="H35" s="489" t="s">
        <v>266</v>
      </c>
      <c r="I35" s="514">
        <f>E35</f>
        <v>900.06347204999997</v>
      </c>
      <c r="J35" s="515" t="s">
        <v>18</v>
      </c>
      <c r="K35" s="512"/>
    </row>
    <row r="36" spans="2:11" x14ac:dyDescent="0.25">
      <c r="B36" s="489">
        <v>32</v>
      </c>
      <c r="C36" s="505" t="s">
        <v>264</v>
      </c>
      <c r="D36" s="496" t="s">
        <v>226</v>
      </c>
      <c r="E36" s="517">
        <f>Metrado!Q154</f>
        <v>3600.2538881999999</v>
      </c>
      <c r="F36" s="496" t="s">
        <v>93</v>
      </c>
      <c r="G36" s="496" t="s">
        <v>226</v>
      </c>
      <c r="H36" s="496" t="s">
        <v>226</v>
      </c>
      <c r="I36" s="498">
        <f>E36</f>
        <v>3600.2538881999999</v>
      </c>
      <c r="J36" s="499" t="s">
        <v>93</v>
      </c>
      <c r="K36" s="491"/>
    </row>
    <row r="37" spans="2:11" s="511" customFormat="1" ht="30" x14ac:dyDescent="0.25">
      <c r="B37" s="489">
        <v>33</v>
      </c>
      <c r="C37" s="516" t="s">
        <v>265</v>
      </c>
      <c r="D37" s="489" t="s">
        <v>226</v>
      </c>
      <c r="E37" s="566">
        <f>Metrado!Q155</f>
        <v>63.364468432320002</v>
      </c>
      <c r="F37" s="489" t="s">
        <v>93</v>
      </c>
      <c r="G37" s="489" t="s">
        <v>226</v>
      </c>
      <c r="H37" s="489" t="s">
        <v>226</v>
      </c>
      <c r="I37" s="514">
        <f>E37</f>
        <v>63.364468432320002</v>
      </c>
      <c r="J37" s="515" t="s">
        <v>93</v>
      </c>
      <c r="K37" s="512"/>
    </row>
  </sheetData>
  <mergeCells count="9">
    <mergeCell ref="B3:B4"/>
    <mergeCell ref="G3:H3"/>
    <mergeCell ref="I3:I4"/>
    <mergeCell ref="B2:K2"/>
    <mergeCell ref="D3:D4"/>
    <mergeCell ref="J3:K4"/>
    <mergeCell ref="F3:F4"/>
    <mergeCell ref="E3:E4"/>
    <mergeCell ref="C3:C4"/>
  </mergeCells>
  <phoneticPr fontId="3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2"/>
  <dimension ref="A1:K124"/>
  <sheetViews>
    <sheetView view="pageBreakPreview" topLeftCell="B1" zoomScale="145" zoomScaleNormal="70" zoomScaleSheetLayoutView="145" workbookViewId="0">
      <pane ySplit="1" topLeftCell="A38" activePane="bottomLeft" state="frozen"/>
      <selection activeCell="F19" sqref="F19:G21"/>
      <selection pane="bottomLeft" activeCell="F23" sqref="F23"/>
    </sheetView>
  </sheetViews>
  <sheetFormatPr baseColWidth="10" defaultColWidth="11.42578125" defaultRowHeight="12.75" x14ac:dyDescent="0.25"/>
  <cols>
    <col min="1" max="1" width="1.42578125" style="2" hidden="1" customWidth="1"/>
    <col min="2" max="2" width="1.42578125" style="2" customWidth="1"/>
    <col min="3" max="3" width="12" style="2" customWidth="1"/>
    <col min="4" max="4" width="49" style="2" customWidth="1"/>
    <col min="5" max="5" width="5.28515625" style="24" customWidth="1"/>
    <col min="6" max="6" width="8.28515625" style="25" customWidth="1"/>
    <col min="7" max="7" width="10.140625" style="24" customWidth="1"/>
    <col min="8" max="8" width="1.28515625" style="2" customWidth="1"/>
    <col min="9" max="9" width="3.140625" style="2" customWidth="1"/>
    <col min="10" max="10" width="39" style="2" customWidth="1"/>
    <col min="11" max="12" width="11.42578125" style="2" customWidth="1"/>
    <col min="13" max="16384" width="11.42578125" style="2"/>
  </cols>
  <sheetData>
    <row r="1" spans="1:11" ht="25.5" customHeight="1" x14ac:dyDescent="0.25">
      <c r="A1" s="1"/>
      <c r="B1" s="1"/>
      <c r="C1" s="1"/>
      <c r="D1" s="1"/>
      <c r="E1" s="8"/>
      <c r="F1" s="9"/>
      <c r="G1" s="8"/>
      <c r="H1" s="1"/>
    </row>
    <row r="2" spans="1:11" s="4" customFormat="1" ht="9.75" customHeight="1" thickBot="1" x14ac:dyDescent="0.3">
      <c r="A2" s="3"/>
      <c r="B2" s="3"/>
      <c r="C2" s="3"/>
      <c r="D2" s="3"/>
      <c r="E2" s="3"/>
      <c r="F2" s="10"/>
      <c r="G2" s="10"/>
      <c r="H2" s="3"/>
    </row>
    <row r="3" spans="1:11" ht="22.5" customHeight="1" thickBot="1" x14ac:dyDescent="0.3">
      <c r="A3" s="1"/>
      <c r="B3" s="1"/>
      <c r="C3" s="636" t="str">
        <f>IF(Metrado!C3="","","RESUMEN DE "&amp;Metrado!C3)</f>
        <v>RESUMEN DE METRADOS DE ESTRUCTURA METALICA</v>
      </c>
      <c r="D3" s="637"/>
      <c r="E3" s="637"/>
      <c r="F3" s="637"/>
      <c r="G3" s="638"/>
      <c r="H3" s="1"/>
    </row>
    <row r="4" spans="1:11" s="4" customFormat="1" ht="15" customHeight="1" thickBot="1" x14ac:dyDescent="0.3">
      <c r="A4" s="3"/>
      <c r="B4" s="3"/>
      <c r="C4" s="3"/>
      <c r="D4" s="3"/>
      <c r="E4" s="10"/>
      <c r="F4" s="10"/>
      <c r="G4" s="10"/>
      <c r="H4" s="3"/>
    </row>
    <row r="5" spans="1:11" s="4" customFormat="1" ht="11.25" customHeight="1" x14ac:dyDescent="0.25">
      <c r="A5" s="3"/>
      <c r="B5" s="3"/>
      <c r="C5" s="360"/>
      <c r="D5" s="11"/>
      <c r="E5" s="12"/>
      <c r="F5" s="12"/>
      <c r="G5" s="13"/>
      <c r="H5" s="3"/>
    </row>
    <row r="6" spans="1:11" ht="36.75" customHeight="1" x14ac:dyDescent="0.25">
      <c r="A6" s="1"/>
      <c r="B6" s="1"/>
      <c r="C6" s="361" t="s">
        <v>23</v>
      </c>
      <c r="D6" s="639" t="str">
        <f>IF(Metrado!D6="","",Metrado!D6)</f>
        <v>"CONSTRUCCION DE COBERTURA EN LA I.E.S SANTA ROSA DE LIMA - ABANCAY EN LA LOCALIDAD DE ABANCAY, DISTRITO DE ABANCAY, PROVINCIA DE ABANCAY, DEPARTAMENTO APURIMAC"</v>
      </c>
      <c r="E6" s="639"/>
      <c r="F6" s="639"/>
      <c r="G6" s="640"/>
      <c r="H6" s="1"/>
    </row>
    <row r="7" spans="1:11" ht="13.9" customHeight="1" x14ac:dyDescent="0.25">
      <c r="A7" s="1"/>
      <c r="B7" s="1"/>
      <c r="C7" s="361"/>
      <c r="D7" s="639"/>
      <c r="E7" s="639"/>
      <c r="F7" s="639"/>
      <c r="G7" s="640"/>
      <c r="H7" s="1"/>
    </row>
    <row r="8" spans="1:11" x14ac:dyDescent="0.25">
      <c r="A8" s="1"/>
      <c r="B8" s="1"/>
      <c r="C8" s="361" t="s">
        <v>24</v>
      </c>
      <c r="D8" s="14" t="str">
        <f>IF(Metrado!D8="","",Metrado!D8)</f>
        <v>GOBIERNO REGIONAL DE APURIMAC</v>
      </c>
      <c r="E8" s="14"/>
      <c r="F8" s="16"/>
      <c r="G8" s="15"/>
      <c r="H8" s="1"/>
    </row>
    <row r="9" spans="1:11" x14ac:dyDescent="0.25">
      <c r="A9" s="1"/>
      <c r="B9" s="1"/>
      <c r="C9" s="361" t="s">
        <v>25</v>
      </c>
      <c r="D9" s="465">
        <v>44409</v>
      </c>
      <c r="E9" s="14"/>
      <c r="F9" s="17" t="s">
        <v>26</v>
      </c>
      <c r="G9" s="15" t="str">
        <f>+Metrado!O8</f>
        <v>RAC</v>
      </c>
      <c r="H9" s="1"/>
    </row>
    <row r="10" spans="1:11" x14ac:dyDescent="0.25">
      <c r="A10" s="1"/>
      <c r="B10" s="1"/>
      <c r="C10" s="361" t="s">
        <v>27</v>
      </c>
      <c r="D10" s="14" t="str">
        <f>IF(Metrado!D10="","",Metrado!D10)</f>
        <v xml:space="preserve">  ESTRUCTURAS METALICAS</v>
      </c>
      <c r="E10" s="16"/>
      <c r="F10" s="17"/>
      <c r="G10" s="15" t="str">
        <f>IF(Metrado!M9="","",Metrado!M9)</f>
        <v/>
      </c>
      <c r="H10" s="1"/>
    </row>
    <row r="11" spans="1:11" x14ac:dyDescent="0.25">
      <c r="A11" s="1"/>
      <c r="B11" s="1"/>
      <c r="C11" s="361" t="s">
        <v>28</v>
      </c>
      <c r="D11" s="14" t="str">
        <f>IF(Metrado!D11="","",Metrado!D11)</f>
        <v>PATIO MULTIUSOS SECUNDARIA</v>
      </c>
      <c r="E11" s="17"/>
      <c r="F11" s="17" t="s">
        <v>29</v>
      </c>
      <c r="G11" s="15" t="str">
        <f>IF(Metrado!M10="","",Metrado!M10)</f>
        <v/>
      </c>
      <c r="H11" s="1"/>
      <c r="J11" s="7"/>
      <c r="K11" s="23"/>
    </row>
    <row r="12" spans="1:11" s="4" customFormat="1" ht="14.45" customHeight="1" thickBot="1" x14ac:dyDescent="0.3">
      <c r="A12" s="3"/>
      <c r="B12" s="3"/>
      <c r="C12" s="362"/>
      <c r="D12" s="416">
        <f>Metrado!D12</f>
        <v>0</v>
      </c>
      <c r="E12" s="18"/>
      <c r="F12" s="18"/>
      <c r="G12" s="19"/>
      <c r="H12" s="3"/>
      <c r="J12" s="41"/>
      <c r="K12" s="5"/>
    </row>
    <row r="13" spans="1:11" s="4" customFormat="1" ht="6.75" customHeight="1" thickBot="1" x14ac:dyDescent="0.3">
      <c r="A13" s="3"/>
      <c r="B13" s="3"/>
      <c r="C13" s="20"/>
      <c r="D13" s="20"/>
      <c r="E13" s="21"/>
      <c r="F13" s="21"/>
      <c r="G13" s="21"/>
      <c r="H13" s="3"/>
      <c r="J13" s="41"/>
      <c r="K13" s="5"/>
    </row>
    <row r="14" spans="1:11" x14ac:dyDescent="0.25">
      <c r="A14" s="1"/>
      <c r="B14" s="1"/>
      <c r="C14" s="641" t="s">
        <v>5</v>
      </c>
      <c r="D14" s="643" t="s">
        <v>30</v>
      </c>
      <c r="E14" s="645" t="s">
        <v>17</v>
      </c>
      <c r="F14" s="647" t="s">
        <v>31</v>
      </c>
      <c r="G14" s="649" t="s">
        <v>12</v>
      </c>
      <c r="H14" s="1"/>
      <c r="J14" s="635"/>
      <c r="K14" s="23"/>
    </row>
    <row r="15" spans="1:11" ht="13.9" customHeight="1" thickBot="1" x14ac:dyDescent="0.3">
      <c r="A15" s="1"/>
      <c r="B15" s="1"/>
      <c r="C15" s="642"/>
      <c r="D15" s="644"/>
      <c r="E15" s="646"/>
      <c r="F15" s="648"/>
      <c r="G15" s="650"/>
      <c r="H15" s="1"/>
      <c r="J15" s="635"/>
      <c r="K15" s="23"/>
    </row>
    <row r="16" spans="1:11" s="4" customFormat="1" ht="17.45" customHeight="1" x14ac:dyDescent="0.25">
      <c r="A16" s="5" t="s">
        <v>32</v>
      </c>
      <c r="B16" s="5"/>
      <c r="C16" s="426"/>
      <c r="D16" s="427"/>
      <c r="E16" s="22"/>
      <c r="F16" s="22"/>
      <c r="G16" s="22"/>
      <c r="H16" s="5"/>
      <c r="I16" s="5"/>
      <c r="J16" s="41"/>
      <c r="K16" s="5"/>
    </row>
    <row r="17" spans="1:10" s="32" customFormat="1" ht="13.5" x14ac:dyDescent="0.25">
      <c r="A17" s="29"/>
      <c r="B17" s="30"/>
      <c r="C17" s="411" t="str">
        <f>Metrado!C17</f>
        <v>01</v>
      </c>
      <c r="D17" s="364" t="str">
        <f>Metrado!D17</f>
        <v>CUBIERTA METALICA DE LOSA DEPORTIVA</v>
      </c>
      <c r="E17" s="31"/>
      <c r="F17" s="327"/>
      <c r="G17" s="327"/>
      <c r="J17" s="26"/>
    </row>
    <row r="18" spans="1:10" s="32" customFormat="1" ht="13.5" x14ac:dyDescent="0.25">
      <c r="A18" s="29"/>
      <c r="B18" s="30"/>
      <c r="C18" s="412" t="str">
        <f>+Metrado!C18</f>
        <v>01.01</v>
      </c>
      <c r="D18" s="365" t="str">
        <f>+Metrado!D18</f>
        <v>TRABAJOS PRELIMINARES</v>
      </c>
      <c r="E18" s="31"/>
      <c r="F18" s="327"/>
      <c r="G18" s="327"/>
      <c r="J18" s="26"/>
    </row>
    <row r="19" spans="1:10" s="32" customFormat="1" ht="13.5" x14ac:dyDescent="0.25">
      <c r="A19" s="29"/>
      <c r="B19" s="30"/>
      <c r="C19" s="115" t="str">
        <f>+Metrado!C19</f>
        <v>01.01.01</v>
      </c>
      <c r="D19" s="114" t="str">
        <f>+Metrado!D19</f>
        <v>TRAZO Y REPLANTEO DE ESTRUCTURAS METALICAS</v>
      </c>
      <c r="E19" s="127" t="str">
        <f>Metrado!E19</f>
        <v>m2</v>
      </c>
      <c r="F19" s="464">
        <f>Metrado!Q19</f>
        <v>543.4</v>
      </c>
      <c r="G19" s="464">
        <f>+F19</f>
        <v>543.4</v>
      </c>
      <c r="J19" s="26"/>
    </row>
    <row r="20" spans="1:10" s="32" customFormat="1" ht="13.5" x14ac:dyDescent="0.25">
      <c r="A20" s="29"/>
      <c r="B20" s="30"/>
      <c r="C20" s="412" t="str">
        <f>Metrado!C20</f>
        <v>01.02</v>
      </c>
      <c r="D20" s="365" t="str">
        <f>Metrado!D20</f>
        <v>OBRAS DE CONCRETO ARMADO</v>
      </c>
      <c r="E20" s="127"/>
      <c r="F20" s="464"/>
      <c r="G20" s="464"/>
      <c r="J20" s="26"/>
    </row>
    <row r="21" spans="1:10" s="32" customFormat="1" ht="13.5" x14ac:dyDescent="0.25">
      <c r="A21" s="29"/>
      <c r="B21" s="30"/>
      <c r="C21" s="115" t="s">
        <v>111</v>
      </c>
      <c r="D21" s="114" t="str">
        <f>Metrado!D21</f>
        <v>ZAPATAS</v>
      </c>
      <c r="E21" s="127" t="str">
        <f>+Metrado!E22</f>
        <v>m3</v>
      </c>
      <c r="F21" s="464">
        <f>+Metrado!Q22</f>
        <v>5.76</v>
      </c>
      <c r="G21" s="464">
        <f>+F21</f>
        <v>5.76</v>
      </c>
      <c r="J21" s="26"/>
    </row>
    <row r="22" spans="1:10" s="32" customFormat="1" ht="13.5" x14ac:dyDescent="0.25">
      <c r="A22" s="29"/>
      <c r="B22" s="30"/>
      <c r="C22" s="115" t="s">
        <v>112</v>
      </c>
      <c r="D22" s="114" t="str">
        <f>Metrado!D25</f>
        <v>COLUMNAS</v>
      </c>
      <c r="E22" s="115" t="str">
        <f>+Metrado!E26</f>
        <v>m3</v>
      </c>
      <c r="F22" s="464">
        <f>+Metrado!Q26</f>
        <v>2.7142560000000002</v>
      </c>
      <c r="G22" s="464">
        <f>+F22</f>
        <v>2.7142560000000002</v>
      </c>
      <c r="J22" s="26"/>
    </row>
    <row r="23" spans="1:10" s="32" customFormat="1" ht="13.5" x14ac:dyDescent="0.25">
      <c r="A23" s="29"/>
      <c r="B23" s="30"/>
      <c r="C23" s="412" t="str">
        <f>Metrado!C30</f>
        <v>01.03</v>
      </c>
      <c r="D23" s="365" t="str">
        <f>Metrado!D30</f>
        <v xml:space="preserve">LIMPIEZA DE TUBOS </v>
      </c>
      <c r="E23" s="156"/>
      <c r="F23" s="479"/>
      <c r="G23" s="479"/>
      <c r="J23" s="26"/>
    </row>
    <row r="24" spans="1:10" s="32" customFormat="1" ht="13.5" x14ac:dyDescent="0.25">
      <c r="A24" s="29"/>
      <c r="B24" s="30"/>
      <c r="C24" s="415" t="str">
        <f>Metrado!C31</f>
        <v>01.03.01</v>
      </c>
      <c r="D24" s="325" t="str">
        <f>Metrado!D31</f>
        <v xml:space="preserve">DETERGENTE </v>
      </c>
      <c r="E24" s="156" t="str">
        <f>Metrado!E31</f>
        <v>kg</v>
      </c>
      <c r="F24" s="479">
        <f>Metrado!Q31</f>
        <v>40</v>
      </c>
      <c r="G24" s="479">
        <f>+Metrado!Q31</f>
        <v>40</v>
      </c>
      <c r="J24" s="26"/>
    </row>
    <row r="25" spans="1:10" s="32" customFormat="1" ht="13.5" x14ac:dyDescent="0.25">
      <c r="A25" s="29"/>
      <c r="B25" s="30"/>
      <c r="C25" s="415" t="str">
        <f>Metrado!C32</f>
        <v>01.03.02</v>
      </c>
      <c r="D25" s="325" t="str">
        <f>Metrado!D32</f>
        <v>TRAPO INDUSTRIAL</v>
      </c>
      <c r="E25" s="156" t="str">
        <f>Metrado!E32</f>
        <v>kg</v>
      </c>
      <c r="F25" s="479">
        <f>Metrado!Q32</f>
        <v>30</v>
      </c>
      <c r="G25" s="479">
        <f>+Metrado!Q32</f>
        <v>30</v>
      </c>
      <c r="J25" s="26"/>
    </row>
    <row r="26" spans="1:10" s="32" customFormat="1" ht="13.5" x14ac:dyDescent="0.25">
      <c r="A26" s="29"/>
      <c r="B26" s="30"/>
      <c r="C26" s="412" t="str">
        <f>Metrado!C33</f>
        <v>01.04</v>
      </c>
      <c r="D26" s="365" t="str">
        <f>Metrado!D33</f>
        <v xml:space="preserve">CORTE DE TUBOS </v>
      </c>
      <c r="E26" s="156"/>
      <c r="F26" s="479"/>
      <c r="G26" s="479"/>
      <c r="J26" s="26"/>
    </row>
    <row r="27" spans="1:10" s="32" customFormat="1" ht="13.5" x14ac:dyDescent="0.25">
      <c r="A27" s="29"/>
      <c r="B27" s="30"/>
      <c r="C27" s="415" t="s">
        <v>117</v>
      </c>
      <c r="D27" s="325" t="str">
        <f>Metrado!D34</f>
        <v>DISCO DE CORTE 14" PARA TRONZADORA</v>
      </c>
      <c r="E27" s="156" t="str">
        <f>Metrado!E34</f>
        <v>und</v>
      </c>
      <c r="F27" s="479">
        <f>Metrado!Q34</f>
        <v>20</v>
      </c>
      <c r="G27" s="479">
        <f>+Metrado!Q34</f>
        <v>20</v>
      </c>
      <c r="J27" s="26"/>
    </row>
    <row r="28" spans="1:10" s="32" customFormat="1" ht="13.5" x14ac:dyDescent="0.25">
      <c r="A28" s="29"/>
      <c r="B28" s="30"/>
      <c r="C28" s="415" t="s">
        <v>134</v>
      </c>
      <c r="D28" s="325" t="str">
        <f>Metrado!D35</f>
        <v>DISCO DE CORTE 4.5" PARA AMOLADORA</v>
      </c>
      <c r="E28" s="156" t="str">
        <f>Metrado!E35</f>
        <v>und</v>
      </c>
      <c r="F28" s="479">
        <f>Metrado!Q35</f>
        <v>60</v>
      </c>
      <c r="G28" s="479">
        <f>+Metrado!Q35</f>
        <v>60</v>
      </c>
      <c r="J28" s="26"/>
    </row>
    <row r="29" spans="1:10" s="6" customFormat="1" ht="13.5" customHeight="1" x14ac:dyDescent="0.25">
      <c r="B29" s="33"/>
      <c r="C29" s="412" t="str">
        <f>+Metrado!C37</f>
        <v>01.05</v>
      </c>
      <c r="D29" s="365" t="s">
        <v>33</v>
      </c>
      <c r="E29" s="154"/>
      <c r="F29" s="479"/>
      <c r="G29" s="479"/>
      <c r="J29" s="34"/>
    </row>
    <row r="30" spans="1:10" s="23" customFormat="1" ht="13.5" customHeight="1" x14ac:dyDescent="0.25">
      <c r="B30" s="37"/>
      <c r="C30" s="115" t="s">
        <v>119</v>
      </c>
      <c r="D30" s="114" t="str">
        <f>+Metrado!D38</f>
        <v>FABRICACION DE ANCLAJE DE COLUMNAS</v>
      </c>
      <c r="E30" s="127" t="str">
        <f>Metrado!E38</f>
        <v>und</v>
      </c>
      <c r="F30" s="479">
        <f>Metrado!Q38</f>
        <v>8</v>
      </c>
      <c r="G30" s="479">
        <f>+F30</f>
        <v>8</v>
      </c>
      <c r="J30" s="38"/>
    </row>
    <row r="31" spans="1:10" s="23" customFormat="1" ht="13.5" customHeight="1" x14ac:dyDescent="0.25">
      <c r="B31" s="37"/>
      <c r="C31" s="115" t="s">
        <v>138</v>
      </c>
      <c r="D31" s="114" t="str">
        <f>+Metrado!D44</f>
        <v>COLUMNA METÁLICA CIRCULAR TIPO 1 - L=8.37 m</v>
      </c>
      <c r="E31" s="115" t="str">
        <f>Metrado!E44</f>
        <v>und</v>
      </c>
      <c r="F31" s="480">
        <f>+Metrado!Q44</f>
        <v>4</v>
      </c>
      <c r="G31" s="479">
        <f t="shared" ref="G31:G40" si="0">+F31</f>
        <v>4</v>
      </c>
      <c r="J31" s="38"/>
    </row>
    <row r="32" spans="1:10" s="23" customFormat="1" ht="13.5" customHeight="1" x14ac:dyDescent="0.25">
      <c r="B32" s="37"/>
      <c r="C32" s="115" t="s">
        <v>157</v>
      </c>
      <c r="D32" s="114" t="str">
        <f>Metrado!D56</f>
        <v>COLUMNA METÁLICA CIRCULAR TIPO 2 -  L=4.87 m</v>
      </c>
      <c r="E32" s="115" t="str">
        <f>Metrado!E68</f>
        <v>und</v>
      </c>
      <c r="F32" s="480">
        <f>Metrado!Q56</f>
        <v>4</v>
      </c>
      <c r="G32" s="479">
        <f t="shared" si="0"/>
        <v>4</v>
      </c>
      <c r="J32" s="38"/>
    </row>
    <row r="33" spans="2:10" s="28" customFormat="1" ht="13.5" customHeight="1" x14ac:dyDescent="0.25">
      <c r="B33" s="35"/>
      <c r="C33" s="115" t="s">
        <v>158</v>
      </c>
      <c r="D33" s="114" t="str">
        <f>Metrado!D68</f>
        <v>CERCHA PRINCIPAL</v>
      </c>
      <c r="E33" s="115" t="str">
        <f>Metrado!E68</f>
        <v>und</v>
      </c>
      <c r="F33" s="485">
        <f>Metrado!F68</f>
        <v>7</v>
      </c>
      <c r="G33" s="479">
        <f t="shared" si="0"/>
        <v>7</v>
      </c>
      <c r="J33" s="36"/>
    </row>
    <row r="34" spans="2:10" s="23" customFormat="1" ht="13.5" customHeight="1" x14ac:dyDescent="0.25">
      <c r="B34" s="37"/>
      <c r="C34" s="115" t="s">
        <v>159</v>
      </c>
      <c r="D34" s="114" t="str">
        <f>Metrado!D82</f>
        <v>VIGA ENCAJONADA</v>
      </c>
      <c r="E34" s="115" t="str">
        <f>Metrado!E82</f>
        <v>und</v>
      </c>
      <c r="F34" s="485">
        <f>Metrado!F82</f>
        <v>2</v>
      </c>
      <c r="G34" s="479">
        <f t="shared" si="0"/>
        <v>2</v>
      </c>
      <c r="J34" s="38"/>
    </row>
    <row r="35" spans="2:10" s="460" customFormat="1" ht="13.5" customHeight="1" x14ac:dyDescent="0.25">
      <c r="B35" s="461"/>
      <c r="C35" s="115" t="s">
        <v>160</v>
      </c>
      <c r="D35" s="462" t="str">
        <f>Metrado!D91</f>
        <v>CERCHA LONGITUDINAL L=4.05m</v>
      </c>
      <c r="E35" s="430" t="str">
        <f>Metrado!E91</f>
        <v>und</v>
      </c>
      <c r="F35" s="486">
        <f>Metrado!F91</f>
        <v>12</v>
      </c>
      <c r="G35" s="479">
        <f t="shared" si="0"/>
        <v>12</v>
      </c>
      <c r="J35" s="463"/>
    </row>
    <row r="36" spans="2:10" s="23" customFormat="1" ht="13.5" customHeight="1" x14ac:dyDescent="0.25">
      <c r="B36" s="37"/>
      <c r="C36" s="115" t="s">
        <v>161</v>
      </c>
      <c r="D36" s="114" t="str">
        <f>Metrado!D94</f>
        <v xml:space="preserve">CORREAS METALICAS </v>
      </c>
      <c r="E36" s="380" t="str">
        <f>Metrado!E94</f>
        <v>m</v>
      </c>
      <c r="F36" s="480">
        <f>Metrado!Q94</f>
        <v>625.24</v>
      </c>
      <c r="G36" s="479">
        <f t="shared" si="0"/>
        <v>625.24</v>
      </c>
      <c r="J36" s="38"/>
    </row>
    <row r="37" spans="2:10" s="23" customFormat="1" ht="13.5" customHeight="1" x14ac:dyDescent="0.25">
      <c r="B37" s="37"/>
      <c r="C37" s="115" t="s">
        <v>162</v>
      </c>
      <c r="D37" s="114" t="str">
        <f>Metrado!D98</f>
        <v>ARRIOSTRAMIENTO</v>
      </c>
      <c r="E37" s="115" t="str">
        <f>Metrado!E98</f>
        <v>m</v>
      </c>
      <c r="F37" s="480">
        <f>Metrado!Q98</f>
        <v>64.199999999999989</v>
      </c>
      <c r="G37" s="479">
        <f t="shared" si="0"/>
        <v>64.199999999999989</v>
      </c>
      <c r="J37" s="38"/>
    </row>
    <row r="38" spans="2:10" s="23" customFormat="1" ht="13.5" customHeight="1" x14ac:dyDescent="0.25">
      <c r="B38" s="37"/>
      <c r="C38" s="115" t="s">
        <v>163</v>
      </c>
      <c r="D38" s="114" t="str">
        <f>Metrado!D105</f>
        <v xml:space="preserve">CANALETA </v>
      </c>
      <c r="E38" s="115" t="str">
        <f>Metrado!E105</f>
        <v>m</v>
      </c>
      <c r="F38" s="480">
        <f>Metrado!Q105</f>
        <v>56.84</v>
      </c>
      <c r="G38" s="479">
        <f t="shared" si="0"/>
        <v>56.84</v>
      </c>
      <c r="J38" s="38"/>
    </row>
    <row r="39" spans="2:10" s="23" customFormat="1" ht="13.5" customHeight="1" x14ac:dyDescent="0.25">
      <c r="B39" s="37"/>
      <c r="C39" s="412" t="str">
        <f>+Metrado!C110</f>
        <v>01.06</v>
      </c>
      <c r="D39" s="365" t="str">
        <f>+Metrado!D110</f>
        <v>INSTALACION Y MONTAJE</v>
      </c>
      <c r="E39" s="140"/>
      <c r="F39" s="481"/>
      <c r="G39" s="479"/>
      <c r="J39" s="38"/>
    </row>
    <row r="40" spans="2:10" s="6" customFormat="1" ht="13.5" customHeight="1" x14ac:dyDescent="0.25">
      <c r="B40" s="33"/>
      <c r="C40" s="413" t="s">
        <v>140</v>
      </c>
      <c r="D40" s="126" t="str">
        <f>Metrado!D111</f>
        <v>INSTALACION DE ANCLAJE DE COLUMNAS</v>
      </c>
      <c r="E40" s="127" t="s">
        <v>22</v>
      </c>
      <c r="F40" s="479">
        <f>+Metrado!Q111</f>
        <v>8</v>
      </c>
      <c r="G40" s="479">
        <f t="shared" si="0"/>
        <v>8</v>
      </c>
      <c r="J40" s="34"/>
    </row>
    <row r="41" spans="2:10" s="27" customFormat="1" ht="13.5" customHeight="1" x14ac:dyDescent="0.25">
      <c r="B41" s="39"/>
      <c r="C41" s="413" t="s">
        <v>152</v>
      </c>
      <c r="D41" s="114" t="str">
        <f>+Metrado!D112</f>
        <v>MONTAJE DE COLUMNA METÁLICA CIRCULAR TIPO 1 - L=8.37 m</v>
      </c>
      <c r="E41" s="115" t="s">
        <v>22</v>
      </c>
      <c r="F41" s="480">
        <f>+Metrado!Q112</f>
        <v>4</v>
      </c>
      <c r="G41" s="479">
        <f>+F41</f>
        <v>4</v>
      </c>
      <c r="J41" s="40"/>
    </row>
    <row r="42" spans="2:10" s="27" customFormat="1" ht="13.5" customHeight="1" x14ac:dyDescent="0.25">
      <c r="B42" s="39"/>
      <c r="C42" s="413" t="s">
        <v>188</v>
      </c>
      <c r="D42" s="114" t="str">
        <f>Metrado!D113</f>
        <v>MONTAJE DE COLUMNA METÁLICA CIRCULAR TIPO 2 -  L=4.87 m</v>
      </c>
      <c r="E42" s="115" t="str">
        <f>Metrado!E114</f>
        <v>und</v>
      </c>
      <c r="F42" s="480">
        <f>Metrado!Q114</f>
        <v>7</v>
      </c>
      <c r="G42" s="479">
        <f t="shared" ref="G42:G45" si="1">+F42</f>
        <v>7</v>
      </c>
      <c r="J42" s="40"/>
    </row>
    <row r="43" spans="2:10" s="27" customFormat="1" ht="13.5" customHeight="1" x14ac:dyDescent="0.25">
      <c r="B43" s="39"/>
      <c r="C43" s="413" t="s">
        <v>189</v>
      </c>
      <c r="D43" s="114" t="str">
        <f>Metrado!D114</f>
        <v>MONTAJE DE CERCHA PRINCIPAL</v>
      </c>
      <c r="E43" s="115" t="str">
        <f>Metrado!E114</f>
        <v>und</v>
      </c>
      <c r="F43" s="485">
        <f>Metrado!F114</f>
        <v>7</v>
      </c>
      <c r="G43" s="479">
        <f t="shared" si="1"/>
        <v>7</v>
      </c>
      <c r="J43" s="40"/>
    </row>
    <row r="44" spans="2:10" s="27" customFormat="1" ht="13.5" customHeight="1" x14ac:dyDescent="0.25">
      <c r="B44" s="39"/>
      <c r="C44" s="413" t="s">
        <v>190</v>
      </c>
      <c r="D44" s="114" t="str">
        <f>Metrado!D115</f>
        <v>MONTAJE DE VIGA ENCAJONADA</v>
      </c>
      <c r="E44" s="115" t="str">
        <f>Metrado!E115</f>
        <v>und</v>
      </c>
      <c r="F44" s="485">
        <f>Metrado!F115</f>
        <v>2</v>
      </c>
      <c r="G44" s="479">
        <f t="shared" si="1"/>
        <v>2</v>
      </c>
      <c r="J44" s="40"/>
    </row>
    <row r="45" spans="2:10" s="27" customFormat="1" ht="13.5" customHeight="1" x14ac:dyDescent="0.25">
      <c r="B45" s="39"/>
      <c r="C45" s="413" t="s">
        <v>191</v>
      </c>
      <c r="D45" s="114" t="str">
        <f>Metrado!D116</f>
        <v>MONTAJE DE CERCHA LONGITUDINAL L=4.05m</v>
      </c>
      <c r="E45" s="115" t="str">
        <f>Metrado!E116</f>
        <v>und</v>
      </c>
      <c r="F45" s="485">
        <f>Metrado!F116</f>
        <v>12</v>
      </c>
      <c r="G45" s="479">
        <f t="shared" si="1"/>
        <v>12</v>
      </c>
      <c r="J45" s="40"/>
    </row>
    <row r="46" spans="2:10" s="23" customFormat="1" ht="13.5" customHeight="1" x14ac:dyDescent="0.25">
      <c r="B46" s="37"/>
      <c r="C46" s="413" t="s">
        <v>192</v>
      </c>
      <c r="D46" s="114" t="str">
        <f>Metrado!D117</f>
        <v xml:space="preserve">MONTAJE DE CORREAS METALICAS </v>
      </c>
      <c r="E46" s="115" t="str">
        <f>Metrado!E117</f>
        <v>m</v>
      </c>
      <c r="F46" s="480">
        <f>Metrado!Q117</f>
        <v>625.24</v>
      </c>
      <c r="G46" s="479">
        <f>+F46</f>
        <v>625.24</v>
      </c>
      <c r="J46" s="38"/>
    </row>
    <row r="47" spans="2:10" s="23" customFormat="1" ht="13.5" customHeight="1" x14ac:dyDescent="0.25">
      <c r="B47" s="37"/>
      <c r="C47" s="413" t="s">
        <v>193</v>
      </c>
      <c r="D47" s="114" t="str">
        <f>Metrado!D118</f>
        <v>MONTAJE DE ARRIOSTRAMIENTO</v>
      </c>
      <c r="E47" s="115" t="str">
        <f>Metrado!E118</f>
        <v>m</v>
      </c>
      <c r="F47" s="480">
        <f>Metrado!Q118</f>
        <v>64.199999999999989</v>
      </c>
      <c r="G47" s="479">
        <f>+F47</f>
        <v>64.199999999999989</v>
      </c>
      <c r="J47" s="38"/>
    </row>
    <row r="48" spans="2:10" s="23" customFormat="1" ht="13.5" customHeight="1" x14ac:dyDescent="0.25">
      <c r="B48" s="37"/>
      <c r="C48" s="413" t="s">
        <v>236</v>
      </c>
      <c r="D48" s="114" t="str">
        <f>Metrado!D119</f>
        <v>MONTAJE DE CANALETA</v>
      </c>
      <c r="E48" s="115" t="str">
        <f>Metrado!E119</f>
        <v>m</v>
      </c>
      <c r="F48" s="480">
        <f>Metrado!Q119</f>
        <v>56.84</v>
      </c>
      <c r="G48" s="479">
        <f t="shared" ref="G48" si="2">+F48</f>
        <v>56.84</v>
      </c>
      <c r="J48" s="38"/>
    </row>
    <row r="49" spans="2:10" s="460" customFormat="1" ht="13.5" customHeight="1" x14ac:dyDescent="0.25">
      <c r="B49" s="461"/>
      <c r="C49" s="414" t="str">
        <f>+Metrado!C120</f>
        <v>01.07</v>
      </c>
      <c r="D49" s="470" t="str">
        <f>+Metrado!D120</f>
        <v>PRUEBAS DE LABORATORIO</v>
      </c>
      <c r="E49" s="324"/>
      <c r="F49" s="479"/>
      <c r="G49" s="479"/>
      <c r="J49" s="463"/>
    </row>
    <row r="50" spans="2:10" s="460" customFormat="1" ht="13.5" customHeight="1" x14ac:dyDescent="0.25">
      <c r="B50" s="461"/>
      <c r="C50" s="415" t="s">
        <v>154</v>
      </c>
      <c r="D50" s="155" t="str">
        <f>+Metrado!D121</f>
        <v>ENSAYOS NO DESTRUCTIVOS</v>
      </c>
      <c r="E50" s="156" t="str">
        <f>Metrado!E121</f>
        <v>Glb</v>
      </c>
      <c r="F50" s="479">
        <f>Metrado!Q121</f>
        <v>1</v>
      </c>
      <c r="G50" s="479">
        <f t="shared" ref="G50" si="3">+F50</f>
        <v>1</v>
      </c>
      <c r="J50" s="463"/>
    </row>
    <row r="51" spans="2:10" x14ac:dyDescent="0.25">
      <c r="C51" s="414" t="str">
        <f>Metrado!C122</f>
        <v>01.08</v>
      </c>
      <c r="D51" s="470" t="str">
        <f>Metrado!D122</f>
        <v>PINTURAS</v>
      </c>
      <c r="E51" s="482"/>
      <c r="F51" s="487"/>
      <c r="G51" s="487"/>
    </row>
    <row r="52" spans="2:10" x14ac:dyDescent="0.25">
      <c r="C52" s="415" t="s">
        <v>172</v>
      </c>
      <c r="D52" s="471" t="str">
        <f>Metrado!D123</f>
        <v>PINTURA - COLUMNA METÁLICA CIRCULAR TIPO 1 - L=8.37 m</v>
      </c>
      <c r="E52" s="483" t="str">
        <f>Metrado!E123</f>
        <v>und</v>
      </c>
      <c r="F52" s="484">
        <f>Metrado!Q123</f>
        <v>4</v>
      </c>
      <c r="G52" s="479">
        <f t="shared" ref="G52:G57" si="4">+F52</f>
        <v>4</v>
      </c>
    </row>
    <row r="53" spans="2:10" x14ac:dyDescent="0.25">
      <c r="C53" s="415" t="s">
        <v>173</v>
      </c>
      <c r="D53" s="471" t="str">
        <f>Metrado!D127</f>
        <v>PINTURA -COLUMNA METÁLICA CIRCULAR TIPO 2 -  L=4.87 m</v>
      </c>
      <c r="E53" s="483" t="str">
        <f>Metrado!E127</f>
        <v>und</v>
      </c>
      <c r="F53" s="484">
        <f>Metrado!F127</f>
        <v>4</v>
      </c>
      <c r="G53" s="479">
        <f t="shared" si="4"/>
        <v>4</v>
      </c>
    </row>
    <row r="54" spans="2:10" x14ac:dyDescent="0.25">
      <c r="C54" s="415" t="s">
        <v>194</v>
      </c>
      <c r="D54" s="471" t="str">
        <f>Metrado!D131</f>
        <v>PINTURA - CERCHA PRINCIPAL</v>
      </c>
      <c r="E54" s="483" t="str">
        <f>Metrado!E131</f>
        <v>und</v>
      </c>
      <c r="F54" s="484">
        <f>Metrado!F131</f>
        <v>7</v>
      </c>
      <c r="G54" s="479">
        <f t="shared" si="4"/>
        <v>7</v>
      </c>
    </row>
    <row r="55" spans="2:10" x14ac:dyDescent="0.25">
      <c r="C55" s="415" t="s">
        <v>195</v>
      </c>
      <c r="D55" s="471" t="str">
        <f>Metrado!D135</f>
        <v>PINTURA - VIGA ENCAJONADA</v>
      </c>
      <c r="E55" s="483" t="str">
        <f>Metrado!E135</f>
        <v>und</v>
      </c>
      <c r="F55" s="484">
        <f>Metrado!F135</f>
        <v>2</v>
      </c>
      <c r="G55" s="479">
        <f t="shared" si="4"/>
        <v>2</v>
      </c>
    </row>
    <row r="56" spans="2:10" x14ac:dyDescent="0.25">
      <c r="C56" s="415" t="s">
        <v>196</v>
      </c>
      <c r="D56" s="114" t="str">
        <f>Metrado!D139</f>
        <v>PINTURA - CERCHA LONGITUDINAL L=4.05m</v>
      </c>
      <c r="E56" s="115" t="str">
        <f>Metrado!E139</f>
        <v>und</v>
      </c>
      <c r="F56" s="485">
        <f>Metrado!F139</f>
        <v>12</v>
      </c>
      <c r="G56" s="479">
        <f t="shared" si="4"/>
        <v>12</v>
      </c>
    </row>
    <row r="57" spans="2:10" x14ac:dyDescent="0.25">
      <c r="C57" s="415" t="s">
        <v>197</v>
      </c>
      <c r="D57" s="114" t="str">
        <f>Metrado!D143</f>
        <v xml:space="preserve">PINTURA - CORREAS METALICAS </v>
      </c>
      <c r="E57" s="115" t="str">
        <f>Metrado!E143</f>
        <v>m</v>
      </c>
      <c r="F57" s="479">
        <f>Metrado!Q143</f>
        <v>625.24</v>
      </c>
      <c r="G57" s="479">
        <f t="shared" si="4"/>
        <v>625.24</v>
      </c>
    </row>
    <row r="58" spans="2:10" x14ac:dyDescent="0.25">
      <c r="C58" s="414" t="str">
        <f>+Metrado!C151</f>
        <v>01.09</v>
      </c>
      <c r="D58" s="365" t="s">
        <v>97</v>
      </c>
      <c r="E58" s="157"/>
      <c r="F58" s="479"/>
      <c r="G58" s="479"/>
    </row>
    <row r="59" spans="2:10" x14ac:dyDescent="0.25">
      <c r="C59" s="415" t="s">
        <v>199</v>
      </c>
      <c r="D59" s="325" t="str">
        <f>Metrado!D152</f>
        <v xml:space="preserve">SUMINISTRO E INSTALACION DE COBERTURA </v>
      </c>
      <c r="E59" s="156" t="str">
        <f>Metrado!E152</f>
        <v>m2</v>
      </c>
      <c r="F59" s="479">
        <f>Metrado!Q152</f>
        <v>720.73120000000006</v>
      </c>
      <c r="G59" s="479">
        <f>+Metrado!Q152</f>
        <v>720.73120000000006</v>
      </c>
    </row>
    <row r="60" spans="2:10" s="23" customFormat="1" x14ac:dyDescent="0.25"/>
    <row r="61" spans="2:10" s="23" customFormat="1" x14ac:dyDescent="0.25"/>
    <row r="62" spans="2:10" s="23" customFormat="1" x14ac:dyDescent="0.25"/>
    <row r="63" spans="2:10" s="23" customFormat="1" x14ac:dyDescent="0.25">
      <c r="C63" s="335"/>
      <c r="D63" s="335"/>
      <c r="E63" s="336"/>
      <c r="F63" s="337"/>
      <c r="G63" s="337"/>
    </row>
    <row r="64" spans="2:10" s="23" customFormat="1" x14ac:dyDescent="0.25">
      <c r="C64" s="335"/>
      <c r="D64" s="338"/>
      <c r="E64" s="339"/>
      <c r="F64" s="340"/>
      <c r="G64" s="340"/>
    </row>
    <row r="65" spans="3:7" s="23" customFormat="1" x14ac:dyDescent="0.25">
      <c r="C65" s="335"/>
      <c r="D65" s="338"/>
      <c r="E65" s="339"/>
      <c r="F65" s="340"/>
      <c r="G65" s="340"/>
    </row>
    <row r="66" spans="3:7" s="23" customFormat="1" x14ac:dyDescent="0.25">
      <c r="C66" s="335"/>
      <c r="D66" s="338"/>
      <c r="E66" s="339"/>
      <c r="F66" s="340"/>
      <c r="G66" s="340"/>
    </row>
    <row r="67" spans="3:7" s="23" customFormat="1" x14ac:dyDescent="0.25">
      <c r="C67" s="335"/>
      <c r="D67" s="338"/>
      <c r="E67" s="339"/>
      <c r="F67" s="340"/>
      <c r="G67" s="340"/>
    </row>
    <row r="68" spans="3:7" s="23" customFormat="1" x14ac:dyDescent="0.25">
      <c r="C68" s="335"/>
      <c r="D68" s="338"/>
      <c r="E68" s="339"/>
      <c r="F68" s="340"/>
      <c r="G68" s="340"/>
    </row>
    <row r="69" spans="3:7" s="23" customFormat="1" x14ac:dyDescent="0.25">
      <c r="C69" s="333"/>
      <c r="D69" s="333"/>
      <c r="E69" s="341"/>
      <c r="F69" s="334"/>
      <c r="G69" s="334"/>
    </row>
    <row r="70" spans="3:7" s="23" customFormat="1" x14ac:dyDescent="0.25">
      <c r="C70" s="342"/>
      <c r="D70" s="342"/>
      <c r="E70" s="339"/>
      <c r="F70" s="343"/>
      <c r="G70" s="343"/>
    </row>
    <row r="71" spans="3:7" s="23" customFormat="1" x14ac:dyDescent="0.25">
      <c r="C71" s="333"/>
      <c r="D71" s="333"/>
      <c r="E71" s="344"/>
      <c r="F71" s="345"/>
      <c r="G71" s="345"/>
    </row>
    <row r="72" spans="3:7" s="23" customFormat="1" x14ac:dyDescent="0.25">
      <c r="C72" s="338"/>
      <c r="D72" s="338"/>
      <c r="E72" s="339"/>
      <c r="F72" s="343"/>
      <c r="G72" s="343"/>
    </row>
    <row r="73" spans="3:7" s="23" customFormat="1" x14ac:dyDescent="0.25">
      <c r="C73" s="333"/>
      <c r="D73" s="333"/>
      <c r="E73" s="341"/>
      <c r="F73" s="334"/>
      <c r="G73" s="334"/>
    </row>
    <row r="74" spans="3:7" s="23" customFormat="1" x14ac:dyDescent="0.25">
      <c r="C74" s="335"/>
      <c r="D74" s="335"/>
      <c r="E74" s="336"/>
      <c r="F74" s="337"/>
      <c r="G74" s="337"/>
    </row>
    <row r="75" spans="3:7" s="23" customFormat="1" x14ac:dyDescent="0.25">
      <c r="C75" s="102"/>
      <c r="D75" s="338"/>
      <c r="E75" s="339"/>
      <c r="F75" s="340"/>
      <c r="G75" s="340"/>
    </row>
    <row r="76" spans="3:7" s="23" customFormat="1" x14ac:dyDescent="0.25">
      <c r="C76" s="335"/>
      <c r="D76" s="338"/>
      <c r="E76" s="339"/>
      <c r="F76" s="340"/>
      <c r="G76" s="340"/>
    </row>
    <row r="77" spans="3:7" s="23" customFormat="1" x14ac:dyDescent="0.25">
      <c r="C77" s="335"/>
      <c r="D77" s="338"/>
      <c r="E77" s="339"/>
      <c r="F77" s="340"/>
      <c r="G77" s="340"/>
    </row>
    <row r="78" spans="3:7" s="23" customFormat="1" x14ac:dyDescent="0.25">
      <c r="C78" s="335"/>
      <c r="D78" s="338"/>
      <c r="E78" s="339"/>
      <c r="F78" s="340"/>
      <c r="G78" s="340"/>
    </row>
    <row r="79" spans="3:7" s="23" customFormat="1" x14ac:dyDescent="0.25">
      <c r="C79" s="335"/>
      <c r="D79" s="338"/>
      <c r="E79" s="339"/>
      <c r="F79" s="340"/>
      <c r="G79" s="340"/>
    </row>
    <row r="80" spans="3:7" s="23" customFormat="1" x14ac:dyDescent="0.25">
      <c r="C80" s="335"/>
      <c r="D80" s="338"/>
      <c r="E80" s="339"/>
      <c r="F80" s="340"/>
      <c r="G80" s="340"/>
    </row>
    <row r="81" spans="3:7" s="23" customFormat="1" x14ac:dyDescent="0.25">
      <c r="C81" s="335"/>
      <c r="D81" s="338"/>
      <c r="E81" s="339"/>
      <c r="F81" s="340"/>
      <c r="G81" s="340"/>
    </row>
    <row r="82" spans="3:7" s="23" customFormat="1" x14ac:dyDescent="0.25">
      <c r="C82" s="335"/>
      <c r="D82" s="346"/>
      <c r="E82" s="339"/>
      <c r="F82" s="340"/>
      <c r="G82" s="340"/>
    </row>
    <row r="83" spans="3:7" s="23" customFormat="1" x14ac:dyDescent="0.25">
      <c r="C83" s="333"/>
      <c r="D83" s="333"/>
      <c r="E83" s="341"/>
      <c r="F83" s="334"/>
      <c r="G83" s="334"/>
    </row>
    <row r="84" spans="3:7" s="23" customFormat="1" x14ac:dyDescent="0.25">
      <c r="C84" s="342"/>
      <c r="D84" s="342"/>
      <c r="E84" s="339"/>
      <c r="F84" s="343"/>
      <c r="G84" s="343"/>
    </row>
    <row r="85" spans="3:7" s="23" customFormat="1" x14ac:dyDescent="0.25">
      <c r="C85" s="333"/>
      <c r="D85" s="333"/>
      <c r="E85" s="344"/>
      <c r="F85" s="345"/>
      <c r="G85" s="345"/>
    </row>
    <row r="86" spans="3:7" s="23" customFormat="1" x14ac:dyDescent="0.25">
      <c r="C86" s="338"/>
      <c r="D86" s="338"/>
      <c r="E86" s="339"/>
      <c r="F86" s="343"/>
      <c r="G86" s="343"/>
    </row>
    <row r="87" spans="3:7" s="23" customFormat="1" ht="13.5" x14ac:dyDescent="0.25">
      <c r="C87" s="358"/>
      <c r="D87" s="358"/>
      <c r="E87" s="358"/>
      <c r="F87" s="359"/>
      <c r="G87" s="359"/>
    </row>
    <row r="88" spans="3:7" s="23" customFormat="1" ht="13.5" x14ac:dyDescent="0.25">
      <c r="C88" s="347"/>
      <c r="D88" s="347"/>
      <c r="E88" s="348"/>
      <c r="F88" s="349"/>
      <c r="G88" s="349"/>
    </row>
    <row r="89" spans="3:7" s="23" customFormat="1" ht="13.5" x14ac:dyDescent="0.25">
      <c r="C89" s="350"/>
      <c r="D89" s="350"/>
      <c r="E89" s="348"/>
      <c r="F89" s="351"/>
      <c r="G89" s="351"/>
    </row>
    <row r="90" spans="3:7" s="23" customFormat="1" ht="13.5" x14ac:dyDescent="0.25">
      <c r="C90" s="347"/>
      <c r="D90" s="347"/>
      <c r="E90" s="348"/>
      <c r="F90" s="352"/>
      <c r="G90" s="352"/>
    </row>
    <row r="91" spans="3:7" s="23" customFormat="1" ht="13.5" x14ac:dyDescent="0.25">
      <c r="C91" s="350"/>
      <c r="D91" s="353"/>
      <c r="E91" s="354"/>
      <c r="F91" s="355"/>
      <c r="G91" s="355"/>
    </row>
    <row r="92" spans="3:7" s="23" customFormat="1" ht="13.5" x14ac:dyDescent="0.25">
      <c r="C92" s="350"/>
      <c r="D92" s="350"/>
      <c r="E92" s="354"/>
      <c r="F92" s="351"/>
      <c r="G92" s="351"/>
    </row>
    <row r="93" spans="3:7" s="23" customFormat="1" ht="13.5" x14ac:dyDescent="0.25">
      <c r="C93" s="350"/>
      <c r="D93" s="350"/>
      <c r="E93" s="354"/>
      <c r="F93" s="351"/>
      <c r="G93" s="351"/>
    </row>
    <row r="94" spans="3:7" s="23" customFormat="1" ht="13.5" x14ac:dyDescent="0.25">
      <c r="C94" s="350"/>
      <c r="D94" s="350"/>
      <c r="E94" s="354"/>
      <c r="F94" s="351"/>
      <c r="G94" s="351"/>
    </row>
    <row r="95" spans="3:7" s="23" customFormat="1" ht="13.5" x14ac:dyDescent="0.25">
      <c r="C95" s="350"/>
      <c r="D95" s="350"/>
      <c r="E95" s="354"/>
      <c r="F95" s="351"/>
      <c r="G95" s="351"/>
    </row>
    <row r="96" spans="3:7" s="23" customFormat="1" ht="13.5" x14ac:dyDescent="0.25">
      <c r="C96" s="350"/>
      <c r="D96" s="350"/>
      <c r="E96" s="354"/>
      <c r="F96" s="351"/>
      <c r="G96" s="351"/>
    </row>
    <row r="97" spans="3:7" s="23" customFormat="1" ht="13.5" x14ac:dyDescent="0.25">
      <c r="C97" s="350"/>
      <c r="D97" s="350"/>
      <c r="E97" s="354"/>
      <c r="F97" s="351"/>
      <c r="G97" s="351"/>
    </row>
    <row r="98" spans="3:7" s="23" customFormat="1" ht="13.5" x14ac:dyDescent="0.25">
      <c r="C98" s="350"/>
      <c r="D98" s="350"/>
      <c r="E98" s="354"/>
      <c r="F98" s="351"/>
      <c r="G98" s="351"/>
    </row>
    <row r="99" spans="3:7" s="23" customFormat="1" ht="13.5" x14ac:dyDescent="0.25">
      <c r="C99" s="350"/>
      <c r="D99" s="350"/>
      <c r="E99" s="354"/>
      <c r="F99" s="351"/>
      <c r="G99" s="351"/>
    </row>
    <row r="100" spans="3:7" s="23" customFormat="1" ht="13.5" x14ac:dyDescent="0.25">
      <c r="C100" s="347"/>
      <c r="D100" s="347"/>
      <c r="E100" s="348"/>
      <c r="F100" s="349"/>
      <c r="G100" s="349"/>
    </row>
    <row r="101" spans="3:7" s="23" customFormat="1" ht="13.5" x14ac:dyDescent="0.25">
      <c r="C101" s="353"/>
      <c r="D101" s="353"/>
      <c r="E101" s="354"/>
      <c r="F101" s="355"/>
      <c r="G101" s="355"/>
    </row>
    <row r="102" spans="3:7" s="23" customFormat="1" ht="13.5" x14ac:dyDescent="0.25">
      <c r="C102" s="353"/>
      <c r="D102" s="350"/>
      <c r="E102" s="354"/>
      <c r="F102" s="351"/>
      <c r="G102" s="351"/>
    </row>
    <row r="103" spans="3:7" s="23" customFormat="1" ht="13.5" x14ac:dyDescent="0.25">
      <c r="C103" s="353"/>
      <c r="D103" s="350"/>
      <c r="E103" s="354"/>
      <c r="F103" s="351"/>
      <c r="G103" s="351"/>
    </row>
    <row r="104" spans="3:7" s="23" customFormat="1" ht="13.5" x14ac:dyDescent="0.25">
      <c r="C104" s="353"/>
      <c r="D104" s="350"/>
      <c r="E104" s="354"/>
      <c r="F104" s="351"/>
      <c r="G104" s="351"/>
    </row>
    <row r="105" spans="3:7" s="23" customFormat="1" ht="13.5" x14ac:dyDescent="0.25">
      <c r="C105" s="353"/>
      <c r="D105" s="350"/>
      <c r="E105" s="354"/>
      <c r="F105" s="351"/>
      <c r="G105" s="351"/>
    </row>
    <row r="106" spans="3:7" s="23" customFormat="1" ht="13.5" x14ac:dyDescent="0.25">
      <c r="C106" s="353"/>
      <c r="D106" s="350"/>
      <c r="E106" s="354"/>
      <c r="F106" s="351"/>
      <c r="G106" s="351"/>
    </row>
    <row r="107" spans="3:7" s="23" customFormat="1" ht="13.5" x14ac:dyDescent="0.25">
      <c r="C107" s="353"/>
      <c r="D107" s="350"/>
      <c r="E107" s="354"/>
      <c r="F107" s="351"/>
      <c r="G107" s="351"/>
    </row>
    <row r="108" spans="3:7" s="23" customFormat="1" ht="13.5" x14ac:dyDescent="0.25">
      <c r="C108" s="353"/>
      <c r="D108" s="350"/>
      <c r="E108" s="354"/>
      <c r="F108" s="351"/>
      <c r="G108" s="351"/>
    </row>
    <row r="109" spans="3:7" s="23" customFormat="1" ht="13.5" x14ac:dyDescent="0.25">
      <c r="C109" s="353"/>
      <c r="D109" s="350"/>
      <c r="E109" s="354"/>
      <c r="F109" s="351"/>
      <c r="G109" s="351"/>
    </row>
    <row r="110" spans="3:7" s="23" customFormat="1" ht="13.5" x14ac:dyDescent="0.25">
      <c r="C110" s="347"/>
      <c r="D110" s="347"/>
      <c r="E110" s="348"/>
      <c r="F110" s="349"/>
      <c r="G110" s="349"/>
    </row>
    <row r="111" spans="3:7" s="23" customFormat="1" ht="13.5" x14ac:dyDescent="0.25">
      <c r="C111" s="356"/>
      <c r="D111" s="356"/>
      <c r="E111" s="348"/>
      <c r="F111" s="351"/>
      <c r="G111" s="351"/>
    </row>
    <row r="112" spans="3:7" s="23" customFormat="1" ht="13.5" x14ac:dyDescent="0.25">
      <c r="C112" s="347"/>
      <c r="D112" s="347"/>
      <c r="E112" s="357"/>
      <c r="F112" s="352"/>
      <c r="G112" s="352"/>
    </row>
    <row r="113" spans="3:7" s="23" customFormat="1" ht="13.5" x14ac:dyDescent="0.25">
      <c r="C113" s="350"/>
      <c r="D113" s="350"/>
      <c r="E113" s="348"/>
      <c r="F113" s="351"/>
      <c r="G113" s="351"/>
    </row>
    <row r="114" spans="3:7" s="23" customFormat="1" ht="13.5" x14ac:dyDescent="0.25">
      <c r="C114" s="363"/>
      <c r="D114" s="348"/>
      <c r="E114" s="348"/>
      <c r="F114" s="349"/>
      <c r="G114" s="349"/>
    </row>
    <row r="115" spans="3:7" s="23" customFormat="1" ht="13.5" x14ac:dyDescent="0.25">
      <c r="C115" s="363"/>
      <c r="D115" s="348"/>
      <c r="E115" s="348"/>
      <c r="F115" s="349"/>
      <c r="G115" s="349"/>
    </row>
    <row r="116" spans="3:7" s="23" customFormat="1" ht="13.5" x14ac:dyDescent="0.25">
      <c r="C116" s="363"/>
      <c r="D116" s="348"/>
      <c r="E116" s="348"/>
      <c r="F116" s="349"/>
      <c r="G116" s="349"/>
    </row>
    <row r="117" spans="3:7" s="23" customFormat="1" ht="13.5" x14ac:dyDescent="0.25">
      <c r="C117" s="363"/>
      <c r="D117" s="348"/>
      <c r="E117" s="348"/>
      <c r="F117" s="349"/>
      <c r="G117" s="349"/>
    </row>
    <row r="118" spans="3:7" s="23" customFormat="1" ht="13.5" x14ac:dyDescent="0.25">
      <c r="C118" s="363"/>
      <c r="D118" s="348"/>
      <c r="E118" s="348"/>
      <c r="F118" s="349"/>
      <c r="G118" s="349"/>
    </row>
    <row r="119" spans="3:7" s="23" customFormat="1" ht="13.5" x14ac:dyDescent="0.25">
      <c r="C119" s="363"/>
      <c r="D119" s="348"/>
      <c r="E119" s="348"/>
      <c r="F119" s="349"/>
      <c r="G119" s="349"/>
    </row>
    <row r="120" spans="3:7" s="23" customFormat="1" ht="13.5" x14ac:dyDescent="0.25">
      <c r="C120" s="363"/>
      <c r="D120" s="348"/>
      <c r="E120" s="348"/>
      <c r="F120" s="349"/>
      <c r="G120" s="349"/>
    </row>
    <row r="121" spans="3:7" s="23" customFormat="1" ht="13.5" x14ac:dyDescent="0.25">
      <c r="C121" s="363"/>
      <c r="D121" s="348"/>
      <c r="E121" s="348"/>
      <c r="F121" s="349"/>
      <c r="G121" s="349"/>
    </row>
    <row r="122" spans="3:7" s="23" customFormat="1" ht="13.5" x14ac:dyDescent="0.25">
      <c r="C122" s="363"/>
      <c r="D122" s="348"/>
      <c r="E122" s="348"/>
      <c r="F122" s="349"/>
      <c r="G122" s="349"/>
    </row>
    <row r="123" spans="3:7" s="23" customFormat="1" ht="13.5" x14ac:dyDescent="0.25">
      <c r="C123" s="363"/>
      <c r="D123" s="348"/>
      <c r="E123" s="348"/>
      <c r="F123" s="349"/>
      <c r="G123" s="349"/>
    </row>
    <row r="124" spans="3:7" s="23" customFormat="1" ht="13.5" x14ac:dyDescent="0.25">
      <c r="C124" s="363"/>
      <c r="D124" s="348"/>
      <c r="E124" s="348"/>
      <c r="F124" s="349"/>
      <c r="G124" s="349"/>
    </row>
  </sheetData>
  <autoFilter ref="D17:D48" xr:uid="{00000000-0009-0000-0000-000003000000}"/>
  <mergeCells count="8">
    <mergeCell ref="J14:J15"/>
    <mergeCell ref="C3:G3"/>
    <mergeCell ref="D6:G7"/>
    <mergeCell ref="C14:C15"/>
    <mergeCell ref="D14:D15"/>
    <mergeCell ref="E14:E15"/>
    <mergeCell ref="F14:F15"/>
    <mergeCell ref="G14:G15"/>
  </mergeCells>
  <phoneticPr fontId="31" type="noConversion"/>
  <pageMargins left="0.54" right="0" top="0.19685039370078741" bottom="0.78740157480314965" header="0.19685039370078741" footer="0.39370078740157483"/>
  <pageSetup paperSize="9" scale="80" orientation="portrait" r:id="rId1"/>
  <headerFooter alignWithMargins="0">
    <oddFooter>&amp;C&amp;6Página &amp;P</oddFooter>
  </headerFooter>
  <colBreaks count="1" manualBreakCount="1">
    <brk id="8" min="1" max="317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5</vt:i4>
      </vt:variant>
    </vt:vector>
  </HeadingPairs>
  <TitlesOfParts>
    <vt:vector size="9" baseType="lpstr">
      <vt:lpstr>Anexo</vt:lpstr>
      <vt:lpstr>Metrado</vt:lpstr>
      <vt:lpstr>RESUMEN MATERIALES</vt:lpstr>
      <vt:lpstr>RESUMEN</vt:lpstr>
      <vt:lpstr>Anexo!Área_de_impresión</vt:lpstr>
      <vt:lpstr>Metrado!Área_de_impresión</vt:lpstr>
      <vt:lpstr>RESUMEN!Área_de_impresión</vt:lpstr>
      <vt:lpstr>Metrado!Títulos_a_imprimir</vt:lpstr>
      <vt:lpstr>RESUMEN!Títulos_a_imprimir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Ronald</cp:lastModifiedBy>
  <cp:lastPrinted>2022-04-06T04:27:24Z</cp:lastPrinted>
  <dcterms:created xsi:type="dcterms:W3CDTF">2016-12-16T13:53:47Z</dcterms:created>
  <dcterms:modified xsi:type="dcterms:W3CDTF">2022-04-06T04:30:05Z</dcterms:modified>
</cp:coreProperties>
</file>